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christianzubcic/Documents/Monash University/2023/Semester 2/FYP/FYP/springer_scripts/"/>
    </mc:Choice>
  </mc:AlternateContent>
  <xr:revisionPtr revIDLastSave="0" documentId="8_{AFE1E59F-8B84-0049-9598-4B5E94446CD8}" xr6:coauthVersionLast="47" xr6:coauthVersionMax="47" xr10:uidLastSave="{00000000-0000-0000-0000-000000000000}"/>
  <bookViews>
    <workbookView xWindow="360" yWindow="760" windowWidth="14940" windowHeight="9160"/>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F5" i="1"/>
  <c r="BT5" i="1"/>
  <c r="BF6"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F52" i="1"/>
  <c r="BT52" i="1"/>
  <c r="BF53" i="1"/>
  <c r="BT53" i="1"/>
  <c r="BF54" i="1"/>
  <c r="BT54" i="1"/>
  <c r="BF55" i="1"/>
  <c r="BT55" i="1"/>
  <c r="BF56" i="1"/>
  <c r="BT56" i="1"/>
  <c r="BF57" i="1"/>
  <c r="BT57" i="1"/>
  <c r="BF58" i="1"/>
  <c r="BT58" i="1"/>
  <c r="BF59" i="1"/>
  <c r="BT59" i="1"/>
  <c r="BF60" i="1"/>
  <c r="BT60" i="1"/>
  <c r="BF61" i="1"/>
  <c r="BT61" i="1"/>
  <c r="BF62" i="1"/>
  <c r="BT62" i="1"/>
  <c r="BF63" i="1"/>
  <c r="BT63" i="1"/>
  <c r="BF64" i="1"/>
  <c r="BT64" i="1"/>
  <c r="BF65"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F78" i="1"/>
  <c r="BT78" i="1"/>
  <c r="BF79" i="1"/>
  <c r="BT79" i="1"/>
  <c r="BF80" i="1"/>
  <c r="BT80" i="1"/>
  <c r="BF81" i="1"/>
  <c r="BT81" i="1"/>
  <c r="BF82" i="1"/>
  <c r="BT82" i="1"/>
  <c r="BF83" i="1"/>
  <c r="BT83" i="1"/>
  <c r="BF84" i="1"/>
  <c r="BT84" i="1"/>
  <c r="BF85" i="1"/>
  <c r="BT85" i="1"/>
  <c r="BF86" i="1"/>
  <c r="BT86" i="1"/>
  <c r="BF87" i="1"/>
  <c r="BT87" i="1"/>
  <c r="BF88" i="1"/>
  <c r="BT88" i="1"/>
  <c r="BF89" i="1"/>
  <c r="BT89" i="1"/>
  <c r="BF90" i="1"/>
  <c r="BT90" i="1"/>
  <c r="BF91" i="1"/>
  <c r="BT91" i="1"/>
  <c r="BF92" i="1"/>
  <c r="BT92" i="1"/>
  <c r="BF93" i="1"/>
  <c r="BT93" i="1"/>
  <c r="BF94" i="1"/>
  <c r="BT94" i="1"/>
  <c r="BF95" i="1"/>
  <c r="BT95" i="1"/>
  <c r="BF96" i="1"/>
  <c r="BT96" i="1"/>
  <c r="BF97" i="1"/>
  <c r="BT97" i="1"/>
  <c r="BF98" i="1"/>
  <c r="BT98" i="1"/>
  <c r="BF99" i="1"/>
  <c r="BT99" i="1"/>
  <c r="BF100" i="1"/>
  <c r="BT100" i="1"/>
  <c r="BF101" i="1"/>
  <c r="BT101" i="1"/>
  <c r="BF102" i="1"/>
  <c r="BT102" i="1"/>
  <c r="BF103" i="1"/>
  <c r="BT103" i="1"/>
  <c r="BF104" i="1"/>
  <c r="BT104" i="1"/>
  <c r="BF105" i="1"/>
  <c r="BT105" i="1"/>
  <c r="BF106" i="1"/>
  <c r="BT106" i="1"/>
  <c r="BF107" i="1"/>
  <c r="BT107" i="1"/>
  <c r="BF108" i="1"/>
  <c r="BT108" i="1"/>
  <c r="BF109" i="1"/>
  <c r="BT109" i="1"/>
  <c r="BF110" i="1"/>
  <c r="BT110" i="1"/>
  <c r="BF111" i="1"/>
  <c r="BT111" i="1"/>
  <c r="BF112" i="1"/>
  <c r="BT112" i="1"/>
  <c r="BF113" i="1"/>
  <c r="BT113" i="1"/>
  <c r="BF114" i="1"/>
  <c r="BT114" i="1"/>
  <c r="BF115" i="1"/>
  <c r="BT115" i="1"/>
  <c r="BF116" i="1"/>
  <c r="BT116" i="1"/>
  <c r="BF117" i="1"/>
  <c r="BT117" i="1"/>
  <c r="BF118" i="1"/>
  <c r="BT118" i="1"/>
  <c r="BF119" i="1"/>
  <c r="BT119" i="1"/>
  <c r="BF120" i="1"/>
  <c r="BT120" i="1"/>
  <c r="BF121" i="1"/>
  <c r="BT121" i="1"/>
  <c r="BF122" i="1"/>
  <c r="BT122" i="1"/>
  <c r="BF123" i="1"/>
  <c r="BT123" i="1"/>
  <c r="BF124" i="1"/>
  <c r="BT124" i="1"/>
  <c r="BF125" i="1"/>
  <c r="BT125" i="1"/>
  <c r="BF126" i="1"/>
  <c r="BT126" i="1"/>
  <c r="BF127" i="1"/>
  <c r="BT127" i="1"/>
  <c r="BF128" i="1"/>
  <c r="BT128" i="1"/>
  <c r="BF129" i="1"/>
  <c r="BT129" i="1"/>
  <c r="BF130" i="1"/>
  <c r="BT130" i="1"/>
  <c r="BF131" i="1"/>
  <c r="BT131" i="1"/>
  <c r="BF132" i="1"/>
  <c r="BT132" i="1"/>
  <c r="BF133" i="1"/>
  <c r="BT133" i="1"/>
  <c r="BF134" i="1"/>
  <c r="BT134" i="1"/>
  <c r="BF135" i="1"/>
  <c r="BT135" i="1"/>
  <c r="BF136" i="1"/>
  <c r="BT136" i="1"/>
  <c r="BF137" i="1"/>
  <c r="BT137" i="1"/>
  <c r="BF138" i="1"/>
  <c r="BT138" i="1"/>
  <c r="BF139" i="1"/>
  <c r="BT139" i="1"/>
  <c r="BF140" i="1"/>
  <c r="BT140" i="1"/>
  <c r="BF141" i="1"/>
  <c r="BT141" i="1"/>
  <c r="BF142" i="1"/>
  <c r="BT142" i="1"/>
  <c r="BF143" i="1"/>
  <c r="BT143" i="1"/>
  <c r="BF144" i="1"/>
  <c r="BT144" i="1"/>
  <c r="BF145" i="1"/>
  <c r="BT145" i="1"/>
  <c r="BF146" i="1"/>
  <c r="BT146" i="1"/>
  <c r="BF147" i="1"/>
  <c r="BT147" i="1"/>
  <c r="BF148" i="1"/>
  <c r="BT148" i="1"/>
  <c r="BF149" i="1"/>
  <c r="BT149" i="1"/>
  <c r="BF150" i="1"/>
  <c r="BT150" i="1"/>
  <c r="BF151" i="1"/>
  <c r="BT151" i="1"/>
  <c r="BF152" i="1"/>
  <c r="BT152" i="1"/>
  <c r="BF153" i="1"/>
  <c r="BT153" i="1"/>
  <c r="BF154" i="1"/>
  <c r="BT154" i="1"/>
  <c r="BF155" i="1"/>
  <c r="BT155" i="1"/>
  <c r="BF156" i="1"/>
  <c r="BT156" i="1"/>
  <c r="BF157" i="1"/>
  <c r="BT157" i="1"/>
  <c r="BF158" i="1"/>
  <c r="BT158" i="1"/>
  <c r="BF159" i="1"/>
  <c r="BT159" i="1"/>
  <c r="BF160" i="1"/>
  <c r="BT160" i="1"/>
  <c r="BF161" i="1"/>
  <c r="BT161" i="1"/>
  <c r="BF162" i="1"/>
  <c r="BT162" i="1"/>
  <c r="BF163" i="1"/>
  <c r="BT163" i="1"/>
  <c r="BF164" i="1"/>
  <c r="BT164" i="1"/>
  <c r="BF165" i="1"/>
  <c r="BT165" i="1"/>
  <c r="BF166" i="1"/>
  <c r="BT166" i="1"/>
  <c r="BF167" i="1"/>
  <c r="BT167" i="1"/>
  <c r="BF168" i="1"/>
  <c r="BT168" i="1"/>
  <c r="BF169" i="1"/>
  <c r="BT169" i="1"/>
  <c r="BF170" i="1"/>
  <c r="BT170" i="1"/>
  <c r="BF171" i="1"/>
  <c r="BT171" i="1"/>
  <c r="BF172" i="1"/>
  <c r="BT172" i="1"/>
  <c r="BF173" i="1"/>
  <c r="BT173" i="1"/>
  <c r="BF174" i="1"/>
  <c r="BT174" i="1"/>
  <c r="BF175" i="1"/>
  <c r="BT175" i="1"/>
  <c r="BF176" i="1"/>
  <c r="BT176" i="1"/>
  <c r="BF177" i="1"/>
  <c r="BT177" i="1"/>
  <c r="BF178" i="1"/>
  <c r="BT178" i="1"/>
  <c r="BF179" i="1"/>
  <c r="BT179" i="1"/>
  <c r="BF180" i="1"/>
  <c r="BT180" i="1"/>
  <c r="BF181" i="1"/>
  <c r="BT181" i="1"/>
  <c r="BF182" i="1"/>
  <c r="BT182" i="1"/>
  <c r="BF183" i="1"/>
  <c r="BT183" i="1"/>
  <c r="BF184" i="1"/>
  <c r="BT184" i="1"/>
  <c r="BF185" i="1"/>
  <c r="BT185" i="1"/>
  <c r="BF186" i="1"/>
  <c r="BT186" i="1"/>
  <c r="BF187" i="1"/>
  <c r="BT187" i="1"/>
  <c r="BF188" i="1"/>
  <c r="BT188" i="1"/>
  <c r="BF189" i="1"/>
  <c r="BT189" i="1"/>
  <c r="BF190" i="1"/>
  <c r="BT190" i="1"/>
  <c r="BF191" i="1"/>
  <c r="BT191" i="1"/>
  <c r="BF192" i="1"/>
  <c r="BT192" i="1"/>
  <c r="BF193" i="1"/>
  <c r="BT193" i="1"/>
  <c r="BF194" i="1"/>
  <c r="BT194" i="1"/>
  <c r="BF195" i="1"/>
  <c r="BT195" i="1"/>
  <c r="BF196" i="1"/>
  <c r="BT196" i="1"/>
  <c r="BF197" i="1"/>
  <c r="BT197" i="1"/>
  <c r="BF198" i="1"/>
  <c r="BT198" i="1"/>
  <c r="BF199" i="1"/>
  <c r="BT199" i="1"/>
  <c r="BF200" i="1"/>
  <c r="BT200" i="1"/>
  <c r="BF201" i="1"/>
  <c r="BT201" i="1"/>
  <c r="BF202" i="1"/>
  <c r="BT202" i="1"/>
  <c r="BF203" i="1"/>
  <c r="BT203" i="1"/>
  <c r="BF204" i="1"/>
  <c r="BT204" i="1"/>
  <c r="BF205" i="1"/>
  <c r="BT205" i="1"/>
  <c r="BF206" i="1"/>
  <c r="BT206" i="1"/>
  <c r="BF207" i="1"/>
  <c r="BT207" i="1"/>
  <c r="BF208" i="1"/>
  <c r="BT208" i="1"/>
  <c r="BF209" i="1"/>
  <c r="BT209" i="1"/>
  <c r="BF210" i="1"/>
  <c r="BT210" i="1"/>
  <c r="BF211" i="1"/>
  <c r="BT211" i="1"/>
  <c r="BF212" i="1"/>
  <c r="BT212" i="1"/>
  <c r="BF213" i="1"/>
  <c r="BT213" i="1"/>
  <c r="BF214" i="1"/>
  <c r="BT214" i="1"/>
  <c r="BF215" i="1"/>
  <c r="BT215" i="1"/>
  <c r="BF216" i="1"/>
  <c r="BT216" i="1"/>
  <c r="BF217" i="1"/>
  <c r="BT217" i="1"/>
  <c r="BF218" i="1"/>
  <c r="BT218" i="1"/>
  <c r="BF219" i="1"/>
  <c r="BT219" i="1"/>
  <c r="BF220" i="1"/>
  <c r="BT220" i="1"/>
  <c r="BF221" i="1"/>
  <c r="BT221" i="1"/>
  <c r="BF222" i="1"/>
  <c r="BT222" i="1"/>
  <c r="BF223" i="1"/>
  <c r="BT223" i="1"/>
  <c r="BF224" i="1"/>
  <c r="BT224" i="1"/>
  <c r="BF225" i="1"/>
  <c r="BT225" i="1"/>
  <c r="BF226" i="1"/>
  <c r="BT226" i="1"/>
  <c r="BF227" i="1"/>
  <c r="BT227" i="1"/>
  <c r="BF228" i="1"/>
  <c r="BT228" i="1"/>
  <c r="BF229" i="1"/>
  <c r="BT229" i="1"/>
  <c r="BF230" i="1"/>
  <c r="BT230" i="1"/>
  <c r="BF231" i="1"/>
  <c r="BT231" i="1"/>
  <c r="BF232" i="1"/>
  <c r="BT232" i="1"/>
  <c r="BF233" i="1"/>
  <c r="BT233" i="1"/>
  <c r="BF234" i="1"/>
  <c r="BT234" i="1"/>
  <c r="BF235" i="1"/>
  <c r="BT235" i="1"/>
  <c r="BF236" i="1"/>
  <c r="BT236" i="1"/>
  <c r="BF237" i="1"/>
  <c r="BT237" i="1"/>
  <c r="BF238" i="1"/>
  <c r="BT238" i="1"/>
  <c r="BF239" i="1"/>
  <c r="BT239" i="1"/>
  <c r="BF240" i="1"/>
  <c r="BT240" i="1"/>
  <c r="BF241" i="1"/>
  <c r="BT241" i="1"/>
  <c r="BF242" i="1"/>
  <c r="BT242" i="1"/>
  <c r="BF243" i="1"/>
  <c r="BT243" i="1"/>
  <c r="BF244" i="1"/>
  <c r="BT244" i="1"/>
  <c r="BF245" i="1"/>
  <c r="BT245" i="1"/>
  <c r="BF246" i="1"/>
  <c r="BT246" i="1"/>
  <c r="BF247" i="1"/>
  <c r="BT247" i="1"/>
  <c r="BF248" i="1"/>
  <c r="BT248" i="1"/>
  <c r="BF249" i="1"/>
  <c r="BT249" i="1"/>
  <c r="BF250" i="1"/>
  <c r="BT250" i="1"/>
  <c r="BF251" i="1"/>
  <c r="BT251" i="1"/>
  <c r="BF252" i="1"/>
  <c r="BT252" i="1"/>
  <c r="BF253" i="1"/>
  <c r="BT253" i="1"/>
  <c r="BF254" i="1"/>
  <c r="BT254" i="1"/>
  <c r="BF255" i="1"/>
  <c r="BT255" i="1"/>
  <c r="BF256" i="1"/>
  <c r="BT256" i="1"/>
  <c r="BF257" i="1"/>
  <c r="BT257" i="1"/>
  <c r="BF258" i="1"/>
  <c r="BT258" i="1"/>
  <c r="BF259" i="1"/>
  <c r="BT259" i="1"/>
  <c r="BF260" i="1"/>
  <c r="BT260" i="1"/>
  <c r="BF261" i="1"/>
  <c r="BT261" i="1"/>
  <c r="BF262" i="1"/>
  <c r="BT262" i="1"/>
  <c r="BF263" i="1"/>
  <c r="BT263" i="1"/>
  <c r="BF264" i="1"/>
  <c r="BT264" i="1"/>
  <c r="BF265" i="1"/>
  <c r="BT265" i="1"/>
  <c r="BF266" i="1"/>
  <c r="BT266" i="1"/>
  <c r="BF267" i="1"/>
  <c r="BT267" i="1"/>
  <c r="BF268" i="1"/>
  <c r="BT268" i="1"/>
  <c r="BF269" i="1"/>
  <c r="BT269" i="1"/>
  <c r="BF270" i="1"/>
  <c r="BT270" i="1"/>
  <c r="BF271" i="1"/>
  <c r="BT271" i="1"/>
  <c r="BF272" i="1"/>
  <c r="BT272" i="1"/>
  <c r="BF273" i="1"/>
  <c r="BT273" i="1"/>
  <c r="BF274" i="1"/>
  <c r="BT274" i="1"/>
  <c r="BF275" i="1"/>
  <c r="BT275" i="1"/>
  <c r="BF276" i="1"/>
  <c r="BT276" i="1"/>
  <c r="BF277" i="1"/>
  <c r="BT277" i="1"/>
  <c r="BF278" i="1"/>
  <c r="BT278" i="1"/>
  <c r="BF279" i="1"/>
  <c r="BT279" i="1"/>
  <c r="BF280" i="1"/>
  <c r="BT280" i="1"/>
  <c r="BF281" i="1"/>
  <c r="BT281" i="1"/>
  <c r="BF282" i="1"/>
  <c r="BT282" i="1"/>
  <c r="BF283" i="1"/>
  <c r="BT283" i="1"/>
  <c r="BF284" i="1"/>
  <c r="BT284" i="1"/>
  <c r="BF285" i="1"/>
  <c r="BT285" i="1"/>
  <c r="BF286" i="1"/>
  <c r="BT286" i="1"/>
  <c r="BF287" i="1"/>
  <c r="BT287" i="1"/>
  <c r="BF288" i="1"/>
  <c r="BT288" i="1"/>
  <c r="BF289" i="1"/>
  <c r="BT289" i="1"/>
  <c r="BF290" i="1"/>
  <c r="BT290" i="1"/>
  <c r="BF291" i="1"/>
  <c r="BT291" i="1"/>
  <c r="BF292" i="1"/>
  <c r="BT292" i="1"/>
  <c r="BF293" i="1"/>
  <c r="BT293" i="1"/>
  <c r="BF294" i="1"/>
  <c r="BT294" i="1"/>
  <c r="BF295" i="1"/>
  <c r="BT295" i="1"/>
  <c r="BF296" i="1"/>
  <c r="BT296" i="1"/>
  <c r="BF297" i="1"/>
  <c r="BT297" i="1"/>
  <c r="BF298" i="1"/>
  <c r="BT298" i="1"/>
  <c r="BF299" i="1"/>
  <c r="BT299" i="1"/>
  <c r="BF300" i="1"/>
  <c r="BT300" i="1"/>
  <c r="BF301" i="1"/>
  <c r="BT301" i="1"/>
  <c r="BF302" i="1"/>
  <c r="BT302" i="1"/>
  <c r="BF303" i="1"/>
  <c r="BT303" i="1"/>
  <c r="BF304" i="1"/>
  <c r="BT304" i="1"/>
  <c r="BF305" i="1"/>
  <c r="BT305" i="1"/>
  <c r="BF306" i="1"/>
  <c r="BT306" i="1"/>
  <c r="BF307" i="1"/>
  <c r="BT307" i="1"/>
  <c r="BF308" i="1"/>
  <c r="BT308" i="1"/>
  <c r="BF309" i="1"/>
  <c r="BT309" i="1"/>
  <c r="BF310" i="1"/>
  <c r="BT310" i="1"/>
  <c r="BF311" i="1"/>
  <c r="BT311" i="1"/>
  <c r="BF312" i="1"/>
  <c r="BT312" i="1"/>
  <c r="BF313" i="1"/>
  <c r="BT313" i="1"/>
  <c r="BF314" i="1"/>
  <c r="BT314" i="1"/>
  <c r="BF315" i="1"/>
  <c r="BT315" i="1"/>
  <c r="BF316" i="1"/>
  <c r="BT316" i="1"/>
  <c r="BF317" i="1"/>
  <c r="BT317" i="1"/>
  <c r="BF318" i="1"/>
  <c r="BT318" i="1"/>
  <c r="BF319" i="1"/>
  <c r="BT319" i="1"/>
  <c r="BF320" i="1"/>
  <c r="BT320" i="1"/>
  <c r="BF321" i="1"/>
  <c r="BT321" i="1"/>
  <c r="BF322" i="1"/>
  <c r="BT322" i="1"/>
  <c r="BF323" i="1"/>
  <c r="BT323" i="1"/>
  <c r="BF324" i="1"/>
  <c r="BT324" i="1"/>
  <c r="BF325" i="1"/>
  <c r="BT325" i="1"/>
  <c r="BF326" i="1"/>
  <c r="BT326" i="1"/>
  <c r="BF327" i="1"/>
  <c r="BT327" i="1"/>
  <c r="BF328" i="1"/>
  <c r="BT328" i="1"/>
  <c r="BF329" i="1"/>
  <c r="BT329" i="1"/>
  <c r="BF330" i="1"/>
  <c r="BT330" i="1"/>
  <c r="BF331" i="1"/>
  <c r="BT331" i="1"/>
  <c r="BF332" i="1"/>
  <c r="BT332" i="1"/>
  <c r="BF333" i="1"/>
  <c r="BT333" i="1"/>
  <c r="BF334" i="1"/>
  <c r="BT334" i="1"/>
  <c r="BF335" i="1"/>
  <c r="BT335" i="1"/>
  <c r="BF336" i="1"/>
  <c r="BT336" i="1"/>
  <c r="BF337" i="1"/>
  <c r="BT337" i="1"/>
  <c r="BF338" i="1"/>
  <c r="BT338" i="1"/>
  <c r="BF339" i="1"/>
  <c r="BT339" i="1"/>
  <c r="BF340" i="1"/>
  <c r="BT340" i="1"/>
  <c r="BF341" i="1"/>
  <c r="BT341" i="1"/>
  <c r="BF342" i="1"/>
  <c r="BT342" i="1"/>
  <c r="BF343" i="1"/>
  <c r="BT343" i="1"/>
  <c r="BF344" i="1"/>
  <c r="BT344" i="1"/>
  <c r="BF345" i="1"/>
  <c r="BT345" i="1"/>
  <c r="BF346" i="1"/>
  <c r="BT346" i="1"/>
  <c r="BF347" i="1"/>
  <c r="BT347" i="1"/>
  <c r="BF348" i="1"/>
  <c r="BT348" i="1"/>
  <c r="BF349" i="1"/>
  <c r="BT349" i="1"/>
  <c r="BF350" i="1"/>
  <c r="BT350" i="1"/>
  <c r="BF351" i="1"/>
  <c r="BT351" i="1"/>
  <c r="BF352" i="1"/>
  <c r="BT352" i="1"/>
  <c r="BF353" i="1"/>
  <c r="BT353" i="1"/>
  <c r="BF354" i="1"/>
  <c r="BT354" i="1"/>
  <c r="BF355" i="1"/>
  <c r="BT355" i="1"/>
  <c r="BF356" i="1"/>
  <c r="BT356" i="1"/>
  <c r="BF357" i="1"/>
  <c r="BT357" i="1"/>
  <c r="BF358" i="1"/>
  <c r="BT358" i="1"/>
  <c r="BF359" i="1"/>
  <c r="BT359" i="1"/>
  <c r="BF360" i="1"/>
  <c r="BT360" i="1"/>
  <c r="BF361" i="1"/>
  <c r="BT361" i="1"/>
  <c r="BF362" i="1"/>
  <c r="BT362" i="1"/>
  <c r="BF363" i="1"/>
  <c r="BT363" i="1"/>
  <c r="BF364" i="1"/>
  <c r="BT364" i="1"/>
  <c r="BF365" i="1"/>
  <c r="BT365" i="1"/>
  <c r="BF366" i="1"/>
  <c r="BT366" i="1"/>
  <c r="BF367" i="1"/>
  <c r="BT367" i="1"/>
  <c r="BF368" i="1"/>
  <c r="BT368" i="1"/>
  <c r="BF369" i="1"/>
  <c r="BT369" i="1"/>
  <c r="BF370" i="1"/>
  <c r="BT370" i="1"/>
  <c r="BF371" i="1"/>
  <c r="BT371" i="1"/>
  <c r="BF372" i="1"/>
  <c r="BT372" i="1"/>
  <c r="BF373" i="1"/>
  <c r="BT373" i="1"/>
  <c r="BF374" i="1"/>
  <c r="BT374" i="1"/>
  <c r="BF375" i="1"/>
  <c r="BT375" i="1"/>
  <c r="BF376" i="1"/>
  <c r="BT376" i="1"/>
  <c r="BF377" i="1"/>
  <c r="BT377" i="1"/>
  <c r="BF378" i="1"/>
  <c r="BT378" i="1"/>
  <c r="BF379" i="1"/>
  <c r="BT379" i="1"/>
  <c r="BF380" i="1"/>
  <c r="BT380" i="1"/>
  <c r="BF381" i="1"/>
  <c r="BT381" i="1"/>
  <c r="BF382" i="1"/>
  <c r="BT382" i="1"/>
  <c r="BF383" i="1"/>
  <c r="BT383" i="1"/>
  <c r="BF384" i="1"/>
  <c r="BT384" i="1"/>
  <c r="BF385" i="1"/>
  <c r="BT385" i="1"/>
  <c r="BF386" i="1"/>
  <c r="BT386" i="1"/>
  <c r="BF387" i="1"/>
  <c r="BT387" i="1"/>
  <c r="BF388" i="1"/>
  <c r="BT388" i="1"/>
  <c r="BF389" i="1"/>
  <c r="BT389" i="1"/>
  <c r="BF390" i="1"/>
  <c r="BT390" i="1"/>
  <c r="BF391" i="1"/>
  <c r="BT391" i="1"/>
  <c r="BF392" i="1"/>
  <c r="BT392" i="1"/>
  <c r="BF393" i="1"/>
  <c r="BT393" i="1"/>
  <c r="BF394" i="1"/>
  <c r="BT394" i="1"/>
  <c r="BF395" i="1"/>
  <c r="BT395" i="1"/>
  <c r="BF396" i="1"/>
  <c r="BT396" i="1"/>
  <c r="BF397" i="1"/>
  <c r="BT397" i="1"/>
  <c r="BF398" i="1"/>
  <c r="BT398" i="1"/>
  <c r="BF399" i="1"/>
  <c r="BT399" i="1"/>
  <c r="BF400" i="1"/>
  <c r="BT400" i="1"/>
  <c r="BF401" i="1"/>
  <c r="BT401" i="1"/>
  <c r="BF402" i="1"/>
  <c r="BT402" i="1"/>
  <c r="BF403" i="1"/>
  <c r="BT403" i="1"/>
  <c r="BF404" i="1"/>
  <c r="BT404" i="1"/>
  <c r="BF405" i="1"/>
  <c r="BT405" i="1"/>
  <c r="BF406" i="1"/>
  <c r="BT406" i="1"/>
  <c r="BF407" i="1"/>
  <c r="BT407" i="1"/>
  <c r="BF408" i="1"/>
  <c r="BT408" i="1"/>
  <c r="BF409" i="1"/>
  <c r="BT409" i="1"/>
  <c r="BF410" i="1"/>
  <c r="BT410" i="1"/>
  <c r="BF411" i="1"/>
  <c r="BT411" i="1"/>
  <c r="BF412" i="1"/>
  <c r="BT412" i="1"/>
  <c r="BF413" i="1"/>
  <c r="BT413" i="1"/>
  <c r="BF414" i="1"/>
  <c r="BT414" i="1"/>
  <c r="BF415" i="1"/>
  <c r="BT415" i="1"/>
  <c r="BF416" i="1"/>
  <c r="BT416" i="1"/>
  <c r="BF417" i="1"/>
  <c r="BT417" i="1"/>
  <c r="BF418" i="1"/>
  <c r="BT418" i="1"/>
  <c r="BF419" i="1"/>
  <c r="BT419" i="1"/>
  <c r="BF420" i="1"/>
  <c r="BT420" i="1"/>
  <c r="BF421" i="1"/>
  <c r="BT421" i="1"/>
  <c r="BF422" i="1"/>
  <c r="BT422" i="1"/>
  <c r="BF423" i="1"/>
  <c r="BT423" i="1"/>
  <c r="BF424" i="1"/>
  <c r="BT424" i="1"/>
  <c r="BF425" i="1"/>
  <c r="BT425" i="1"/>
  <c r="BF426" i="1"/>
  <c r="BT426" i="1"/>
  <c r="BF427" i="1"/>
  <c r="BT427" i="1"/>
  <c r="BF428" i="1"/>
  <c r="BT428" i="1"/>
  <c r="BF429" i="1"/>
  <c r="BT429" i="1"/>
  <c r="BF430" i="1"/>
  <c r="BT430" i="1"/>
  <c r="BF431" i="1"/>
  <c r="BT431" i="1"/>
  <c r="BF432" i="1"/>
  <c r="BT432" i="1"/>
  <c r="BF433" i="1"/>
  <c r="BT433" i="1"/>
  <c r="BF434" i="1"/>
  <c r="BT434" i="1"/>
  <c r="BF435" i="1"/>
  <c r="BT435" i="1"/>
  <c r="BF436" i="1"/>
  <c r="BT436" i="1"/>
  <c r="BF437" i="1"/>
  <c r="BT437" i="1"/>
  <c r="BF438" i="1"/>
  <c r="BT438" i="1"/>
  <c r="BF439" i="1"/>
  <c r="BT439" i="1"/>
  <c r="BF440" i="1"/>
  <c r="BT440" i="1"/>
  <c r="BF441" i="1"/>
  <c r="BT441" i="1"/>
  <c r="BF442" i="1"/>
  <c r="BT442" i="1"/>
  <c r="BF443" i="1"/>
  <c r="BT443" i="1"/>
  <c r="BF444" i="1"/>
  <c r="BT444" i="1"/>
  <c r="BF445" i="1"/>
  <c r="BT445" i="1"/>
  <c r="BF446" i="1"/>
  <c r="BT446" i="1"/>
  <c r="BF447" i="1"/>
  <c r="BT447" i="1"/>
  <c r="BF448" i="1"/>
  <c r="BT448" i="1"/>
  <c r="BF449" i="1"/>
  <c r="BT449" i="1"/>
  <c r="BF450" i="1"/>
  <c r="BT450" i="1"/>
  <c r="BF451" i="1"/>
  <c r="BT451" i="1"/>
  <c r="BF452" i="1"/>
  <c r="BT452" i="1"/>
  <c r="BF453" i="1"/>
  <c r="BT453" i="1"/>
  <c r="BF454" i="1"/>
  <c r="BT454" i="1"/>
  <c r="BF455" i="1"/>
  <c r="BT455" i="1"/>
  <c r="BF456" i="1"/>
  <c r="BT456" i="1"/>
  <c r="BF457" i="1"/>
  <c r="BT457" i="1"/>
  <c r="BF458" i="1"/>
  <c r="BT458" i="1"/>
  <c r="BF459" i="1"/>
  <c r="BT459" i="1"/>
  <c r="BF460" i="1"/>
  <c r="BT460" i="1"/>
  <c r="BF461" i="1"/>
  <c r="BT461" i="1"/>
  <c r="BF462" i="1"/>
  <c r="BT462" i="1"/>
  <c r="BF463" i="1"/>
  <c r="BT463" i="1"/>
  <c r="BF464" i="1"/>
  <c r="BT464" i="1"/>
  <c r="BF465" i="1"/>
  <c r="BT465" i="1"/>
  <c r="BF466" i="1"/>
  <c r="BT466" i="1"/>
  <c r="BF467" i="1"/>
  <c r="BT467" i="1"/>
  <c r="BF468" i="1"/>
  <c r="BT468" i="1"/>
  <c r="BF469" i="1"/>
  <c r="BT469" i="1"/>
  <c r="BF470" i="1"/>
  <c r="BT470" i="1"/>
  <c r="BF471" i="1"/>
  <c r="BT471" i="1"/>
  <c r="BF472" i="1"/>
  <c r="BT472" i="1"/>
  <c r="BF473" i="1"/>
  <c r="BT473" i="1"/>
  <c r="BF474" i="1"/>
  <c r="BT474" i="1"/>
  <c r="BF475" i="1"/>
  <c r="BT475" i="1"/>
  <c r="BF476" i="1"/>
  <c r="BT476" i="1"/>
  <c r="BF477" i="1"/>
  <c r="BT477" i="1"/>
  <c r="BF478" i="1"/>
  <c r="BT478" i="1"/>
  <c r="BF479" i="1"/>
  <c r="BT479" i="1"/>
  <c r="BF480" i="1"/>
  <c r="BT480" i="1"/>
  <c r="BF481" i="1"/>
  <c r="BT481" i="1"/>
  <c r="BF482" i="1"/>
  <c r="BT482" i="1"/>
  <c r="BF483" i="1"/>
  <c r="BT483" i="1"/>
  <c r="BF484" i="1"/>
  <c r="BT484" i="1"/>
  <c r="BF485" i="1"/>
  <c r="BT485" i="1"/>
  <c r="BF486" i="1"/>
  <c r="BT486" i="1"/>
  <c r="BF487" i="1"/>
  <c r="BT487" i="1"/>
  <c r="BF488" i="1"/>
  <c r="BT488" i="1"/>
  <c r="BF489" i="1"/>
  <c r="BT489" i="1"/>
  <c r="BF490" i="1"/>
  <c r="BT490" i="1"/>
  <c r="BF491" i="1"/>
  <c r="BT491" i="1"/>
  <c r="BF492" i="1"/>
  <c r="BT492" i="1"/>
  <c r="BF493" i="1"/>
  <c r="BT493" i="1"/>
  <c r="BF494" i="1"/>
  <c r="BT494" i="1"/>
  <c r="BF495" i="1"/>
  <c r="BT495" i="1"/>
  <c r="BF496" i="1"/>
  <c r="BT496" i="1"/>
  <c r="BF497" i="1"/>
  <c r="BT497" i="1"/>
  <c r="BF498" i="1"/>
  <c r="BT498" i="1"/>
  <c r="BF499" i="1"/>
  <c r="BT499" i="1"/>
  <c r="BF500" i="1"/>
  <c r="BT500" i="1"/>
  <c r="BF501" i="1"/>
  <c r="BT501" i="1"/>
  <c r="BF502" i="1"/>
  <c r="BT502" i="1"/>
  <c r="BF503" i="1"/>
  <c r="BT503" i="1"/>
  <c r="BF504" i="1"/>
  <c r="BT504" i="1"/>
  <c r="BF505" i="1"/>
  <c r="BT505" i="1"/>
  <c r="BF506" i="1"/>
  <c r="BT506" i="1"/>
  <c r="BF507" i="1"/>
  <c r="BT507" i="1"/>
  <c r="BF508" i="1"/>
  <c r="BT508" i="1"/>
  <c r="BF509" i="1"/>
  <c r="BT509" i="1"/>
  <c r="BF510" i="1"/>
  <c r="BT510" i="1"/>
  <c r="BF511" i="1"/>
  <c r="BT511" i="1"/>
  <c r="BF512" i="1"/>
  <c r="BT512" i="1"/>
  <c r="BF513" i="1"/>
  <c r="BT513" i="1"/>
  <c r="BF514" i="1"/>
  <c r="BT514" i="1"/>
  <c r="BF515" i="1"/>
  <c r="BT515" i="1"/>
  <c r="BF516" i="1"/>
  <c r="BT516" i="1"/>
  <c r="BF517" i="1"/>
  <c r="BT517" i="1"/>
  <c r="BF518" i="1"/>
  <c r="BT518" i="1"/>
  <c r="BF519" i="1"/>
  <c r="BT519" i="1"/>
  <c r="BF520" i="1"/>
  <c r="BT520" i="1"/>
  <c r="BF521" i="1"/>
  <c r="BT521" i="1"/>
  <c r="BF522" i="1"/>
  <c r="BT522" i="1"/>
  <c r="BF523" i="1"/>
  <c r="BT523" i="1"/>
  <c r="BF524" i="1"/>
  <c r="BT524" i="1"/>
  <c r="BF525" i="1"/>
  <c r="BT525" i="1"/>
  <c r="BF526" i="1"/>
  <c r="BT526" i="1"/>
  <c r="BF527" i="1"/>
  <c r="BT527" i="1"/>
  <c r="BF528" i="1"/>
  <c r="BT528" i="1"/>
  <c r="BF529" i="1"/>
  <c r="BT529" i="1"/>
  <c r="BF530" i="1"/>
  <c r="BT530" i="1"/>
  <c r="BF531" i="1"/>
  <c r="BT531" i="1"/>
  <c r="BF532" i="1"/>
  <c r="BT532" i="1"/>
  <c r="BF533" i="1"/>
  <c r="BT533" i="1"/>
  <c r="BF534" i="1"/>
  <c r="BT534" i="1"/>
  <c r="BF535" i="1"/>
  <c r="BT535" i="1"/>
  <c r="BF536" i="1"/>
  <c r="BT536" i="1"/>
  <c r="BF537" i="1"/>
  <c r="BT537" i="1"/>
  <c r="BF538" i="1"/>
  <c r="BT538" i="1"/>
  <c r="BF539" i="1"/>
  <c r="BT539" i="1"/>
  <c r="BF540" i="1"/>
  <c r="BT540" i="1"/>
  <c r="BF541" i="1"/>
  <c r="BT541" i="1"/>
  <c r="BF542" i="1"/>
  <c r="BT542" i="1"/>
  <c r="BF543" i="1"/>
  <c r="BT543" i="1"/>
  <c r="BF544" i="1"/>
  <c r="BT544" i="1"/>
  <c r="BF545" i="1"/>
  <c r="BT545" i="1"/>
  <c r="BF546" i="1"/>
  <c r="BT546" i="1"/>
  <c r="BF547" i="1"/>
  <c r="BT547" i="1"/>
  <c r="BF548" i="1"/>
  <c r="BT548" i="1"/>
  <c r="BF549" i="1"/>
  <c r="BT549" i="1"/>
  <c r="BF550" i="1"/>
  <c r="BT550" i="1"/>
  <c r="BF551" i="1"/>
  <c r="BT551" i="1"/>
  <c r="BF552" i="1"/>
  <c r="BT552" i="1"/>
  <c r="BF553" i="1"/>
  <c r="BT553" i="1"/>
  <c r="BF554" i="1"/>
  <c r="BT554" i="1"/>
  <c r="BF555" i="1"/>
  <c r="BT555" i="1"/>
  <c r="BF556" i="1"/>
  <c r="BT556" i="1"/>
  <c r="BF557" i="1"/>
  <c r="BT557" i="1"/>
  <c r="BF558" i="1"/>
  <c r="BT558" i="1"/>
  <c r="BF559" i="1"/>
  <c r="BT559" i="1"/>
  <c r="BF560" i="1"/>
  <c r="BT560" i="1"/>
  <c r="BF561" i="1"/>
  <c r="BT561" i="1"/>
  <c r="BF562" i="1"/>
  <c r="BT562" i="1"/>
  <c r="BF563" i="1"/>
  <c r="BT563" i="1"/>
  <c r="BF564" i="1"/>
  <c r="BT564" i="1"/>
  <c r="BF565" i="1"/>
  <c r="BT565" i="1"/>
  <c r="BF566" i="1"/>
  <c r="BT566" i="1"/>
  <c r="BF567" i="1"/>
  <c r="BT567" i="1"/>
  <c r="BF568" i="1"/>
  <c r="BT568" i="1"/>
  <c r="BF569" i="1"/>
  <c r="BT569" i="1"/>
  <c r="BF570" i="1"/>
  <c r="BT570" i="1"/>
  <c r="BF571" i="1"/>
  <c r="BT571" i="1"/>
  <c r="BF572" i="1"/>
  <c r="BT572" i="1"/>
  <c r="BF573" i="1"/>
  <c r="BT573" i="1"/>
  <c r="BF574" i="1"/>
  <c r="BT574" i="1"/>
  <c r="BF575" i="1"/>
  <c r="BT575" i="1"/>
  <c r="BF576" i="1"/>
  <c r="BT576" i="1"/>
  <c r="BF577" i="1"/>
  <c r="BT577" i="1"/>
  <c r="BF578" i="1"/>
  <c r="BT578" i="1"/>
  <c r="BF579" i="1"/>
  <c r="BT579" i="1"/>
  <c r="BF580" i="1"/>
  <c r="BT580" i="1"/>
  <c r="BF581" i="1"/>
  <c r="BT581" i="1"/>
  <c r="BF582" i="1"/>
  <c r="BT582" i="1"/>
  <c r="BF583" i="1"/>
  <c r="BT583" i="1"/>
  <c r="BF584" i="1"/>
  <c r="BT584" i="1"/>
  <c r="BF585" i="1"/>
  <c r="BT585" i="1"/>
  <c r="BF586" i="1"/>
  <c r="BT586" i="1"/>
  <c r="BF587" i="1"/>
  <c r="BT587" i="1"/>
  <c r="BF588" i="1"/>
  <c r="BT588" i="1"/>
  <c r="BF589" i="1"/>
  <c r="BT589" i="1"/>
  <c r="BF590" i="1"/>
  <c r="BT590" i="1"/>
  <c r="BF591" i="1"/>
  <c r="BT591" i="1"/>
  <c r="BF592" i="1"/>
  <c r="BT592" i="1"/>
  <c r="BF593" i="1"/>
  <c r="BT593" i="1"/>
  <c r="BF594" i="1"/>
  <c r="BT594" i="1"/>
  <c r="BF595" i="1"/>
  <c r="BT595" i="1"/>
  <c r="BF596" i="1"/>
  <c r="BT596" i="1"/>
  <c r="BF597" i="1"/>
  <c r="BT597" i="1"/>
  <c r="BF598" i="1"/>
  <c r="BT598" i="1"/>
  <c r="BF599" i="1"/>
  <c r="BT599" i="1"/>
  <c r="BF600" i="1"/>
  <c r="BT600" i="1"/>
  <c r="BF601" i="1"/>
  <c r="BT601" i="1"/>
  <c r="BF602" i="1"/>
  <c r="BT602" i="1"/>
  <c r="BF603" i="1"/>
  <c r="BT603" i="1"/>
  <c r="BF604" i="1"/>
  <c r="BT604" i="1"/>
  <c r="BF605" i="1"/>
  <c r="BT605" i="1"/>
  <c r="BF606" i="1"/>
  <c r="BT606" i="1"/>
  <c r="BF607" i="1"/>
  <c r="BT607" i="1"/>
  <c r="BF608" i="1"/>
  <c r="BT608" i="1"/>
  <c r="BF609" i="1"/>
  <c r="BT609" i="1"/>
  <c r="BF610" i="1"/>
  <c r="BT610" i="1"/>
  <c r="BF611" i="1"/>
  <c r="BT611" i="1"/>
  <c r="BF612" i="1"/>
  <c r="BT612" i="1"/>
  <c r="BF613" i="1"/>
  <c r="BT613" i="1"/>
  <c r="BF614" i="1"/>
  <c r="BT614" i="1"/>
  <c r="BF615" i="1"/>
  <c r="BT615" i="1"/>
  <c r="BF616" i="1"/>
  <c r="BT616" i="1"/>
  <c r="BF617" i="1"/>
  <c r="BT617" i="1"/>
  <c r="BF618" i="1"/>
  <c r="BT618" i="1"/>
  <c r="BF619" i="1"/>
  <c r="BT619" i="1"/>
  <c r="BF620" i="1"/>
  <c r="BT620" i="1"/>
  <c r="BF621" i="1"/>
  <c r="BT621" i="1"/>
  <c r="BF622" i="1"/>
  <c r="BT622" i="1"/>
  <c r="BF623" i="1"/>
  <c r="BT623" i="1"/>
  <c r="BF624" i="1"/>
  <c r="BT624" i="1"/>
  <c r="BF625" i="1"/>
  <c r="BT625" i="1"/>
  <c r="BF626" i="1"/>
  <c r="BT626" i="1"/>
  <c r="BF627" i="1"/>
  <c r="BT627" i="1"/>
  <c r="BF628" i="1"/>
  <c r="BT628" i="1"/>
  <c r="BF629" i="1"/>
  <c r="BT629" i="1"/>
  <c r="BF630" i="1"/>
  <c r="BT630" i="1"/>
  <c r="BF631" i="1"/>
  <c r="BT631" i="1"/>
  <c r="BF632" i="1"/>
  <c r="BT632" i="1"/>
  <c r="BF633" i="1"/>
  <c r="BT633" i="1"/>
  <c r="BF634" i="1"/>
  <c r="BT634" i="1"/>
  <c r="BF635" i="1"/>
  <c r="BT635" i="1"/>
  <c r="BF636" i="1"/>
  <c r="BT636" i="1"/>
  <c r="BF637" i="1"/>
  <c r="BT637" i="1"/>
  <c r="BF638" i="1"/>
  <c r="BT638" i="1"/>
  <c r="BF639" i="1"/>
  <c r="BT639" i="1"/>
  <c r="BF640" i="1"/>
  <c r="BT640" i="1"/>
  <c r="BF641" i="1"/>
  <c r="BT641" i="1"/>
  <c r="BF642" i="1"/>
  <c r="BT642" i="1"/>
  <c r="BF643" i="1"/>
  <c r="BT643" i="1"/>
  <c r="BF644" i="1"/>
  <c r="BT644" i="1"/>
  <c r="BF645" i="1"/>
  <c r="BT645" i="1"/>
  <c r="BF646" i="1"/>
  <c r="BT646" i="1"/>
  <c r="BF647" i="1"/>
  <c r="BT647" i="1"/>
  <c r="BF648" i="1"/>
  <c r="BT648" i="1"/>
  <c r="BF649" i="1"/>
  <c r="BT649" i="1"/>
  <c r="BF650" i="1"/>
  <c r="BT650" i="1"/>
  <c r="BF651" i="1"/>
  <c r="BT651" i="1"/>
  <c r="BF652" i="1"/>
  <c r="BT652" i="1"/>
  <c r="BF653" i="1"/>
  <c r="BT653" i="1"/>
  <c r="BF654" i="1"/>
  <c r="BT654" i="1"/>
  <c r="BF655" i="1"/>
  <c r="BT655" i="1"/>
  <c r="BF656" i="1"/>
  <c r="BT656" i="1"/>
  <c r="BF657" i="1"/>
  <c r="BT657" i="1"/>
  <c r="BF658" i="1"/>
  <c r="BT658" i="1"/>
  <c r="BF659" i="1"/>
  <c r="BT659" i="1"/>
  <c r="BF660" i="1"/>
  <c r="BT660" i="1"/>
  <c r="BF661" i="1"/>
  <c r="BT661" i="1"/>
  <c r="BF662" i="1"/>
  <c r="BT662" i="1"/>
  <c r="BF663" i="1"/>
  <c r="BT663" i="1"/>
  <c r="BF664" i="1"/>
  <c r="BT664" i="1"/>
  <c r="BF665" i="1"/>
  <c r="BT665" i="1"/>
  <c r="BF666" i="1"/>
  <c r="BT666" i="1"/>
  <c r="BF667" i="1"/>
  <c r="BT667" i="1"/>
  <c r="BF668" i="1"/>
  <c r="BT668" i="1"/>
  <c r="BF669" i="1"/>
  <c r="BT669" i="1"/>
  <c r="BF670" i="1"/>
  <c r="BT670" i="1"/>
  <c r="BF671" i="1"/>
  <c r="BT671" i="1"/>
  <c r="BF672" i="1"/>
  <c r="BT672" i="1"/>
  <c r="BF673" i="1"/>
  <c r="BT673" i="1"/>
  <c r="BF674" i="1"/>
  <c r="BT674" i="1"/>
  <c r="BF675" i="1"/>
  <c r="BT675" i="1"/>
  <c r="BF676" i="1"/>
  <c r="BT676" i="1"/>
  <c r="BF677" i="1"/>
  <c r="BT677" i="1"/>
  <c r="BF678" i="1"/>
  <c r="BT678" i="1"/>
  <c r="BF679" i="1"/>
  <c r="BT679" i="1"/>
  <c r="BF680" i="1"/>
  <c r="BT680" i="1"/>
  <c r="BF681" i="1"/>
  <c r="BT681" i="1"/>
  <c r="BF682" i="1"/>
  <c r="BT682" i="1"/>
  <c r="BF683" i="1"/>
  <c r="BT683" i="1"/>
  <c r="BF684" i="1"/>
  <c r="BT684" i="1"/>
  <c r="BF685" i="1"/>
  <c r="BT685" i="1"/>
  <c r="BF686" i="1"/>
  <c r="BT686" i="1"/>
  <c r="BF687" i="1"/>
  <c r="BT687" i="1"/>
  <c r="BF688" i="1"/>
  <c r="BT688" i="1"/>
  <c r="BF689" i="1"/>
  <c r="BT689" i="1"/>
  <c r="BF690" i="1"/>
  <c r="BT690" i="1"/>
  <c r="BF691" i="1"/>
  <c r="BT691" i="1"/>
  <c r="BF692" i="1"/>
  <c r="BT692" i="1"/>
  <c r="BF693" i="1"/>
  <c r="BT693" i="1"/>
  <c r="BF694" i="1"/>
  <c r="BT694" i="1"/>
  <c r="BF695" i="1"/>
  <c r="BT695" i="1"/>
  <c r="BF696" i="1"/>
  <c r="BT696" i="1"/>
  <c r="BF697" i="1"/>
  <c r="BT697" i="1"/>
  <c r="BF698" i="1"/>
  <c r="BT698" i="1"/>
  <c r="BF699" i="1"/>
  <c r="BT699" i="1"/>
  <c r="BF700" i="1"/>
  <c r="BT700" i="1"/>
  <c r="BF701" i="1"/>
  <c r="BT701" i="1"/>
  <c r="BF702" i="1"/>
  <c r="BT702" i="1"/>
  <c r="BF703" i="1"/>
  <c r="BT703" i="1"/>
  <c r="BF704" i="1"/>
  <c r="BT704" i="1"/>
  <c r="BF705" i="1"/>
  <c r="BT705" i="1"/>
  <c r="BF706" i="1"/>
  <c r="BT706" i="1"/>
  <c r="BF707" i="1"/>
  <c r="BT707" i="1"/>
  <c r="BF708" i="1"/>
  <c r="BT708" i="1"/>
  <c r="BF709" i="1"/>
  <c r="BT709" i="1"/>
  <c r="BF710" i="1"/>
  <c r="BT710" i="1"/>
  <c r="BF711" i="1"/>
  <c r="BT711" i="1"/>
  <c r="BF712" i="1"/>
  <c r="BT712" i="1"/>
  <c r="BF713" i="1"/>
  <c r="BT713" i="1"/>
  <c r="BF714" i="1"/>
  <c r="BT714" i="1"/>
  <c r="BF715" i="1"/>
  <c r="BT715" i="1"/>
  <c r="BF716" i="1"/>
  <c r="BT716" i="1"/>
  <c r="BF717" i="1"/>
  <c r="BT717" i="1"/>
  <c r="BF718" i="1"/>
  <c r="BT718" i="1"/>
  <c r="BF719" i="1"/>
  <c r="BT719" i="1"/>
  <c r="BF720" i="1"/>
  <c r="BT720" i="1"/>
  <c r="BF721" i="1"/>
  <c r="BT721" i="1"/>
  <c r="BF722" i="1"/>
  <c r="BT722" i="1"/>
  <c r="BF723" i="1"/>
  <c r="BT723" i="1"/>
  <c r="BF724" i="1"/>
  <c r="BT724" i="1"/>
  <c r="BF725" i="1"/>
  <c r="BT725" i="1"/>
  <c r="BF726" i="1"/>
  <c r="BT726" i="1"/>
  <c r="BF727" i="1"/>
  <c r="BT727" i="1"/>
  <c r="BF728" i="1"/>
  <c r="BT728" i="1"/>
  <c r="BF729" i="1"/>
  <c r="BT729" i="1"/>
  <c r="BF730" i="1"/>
  <c r="BT730" i="1"/>
  <c r="BF731" i="1"/>
  <c r="BT731" i="1"/>
  <c r="BF732" i="1"/>
  <c r="BT732" i="1"/>
  <c r="BF733" i="1"/>
  <c r="BT733" i="1"/>
  <c r="BF734" i="1"/>
  <c r="BT734" i="1"/>
  <c r="BF735" i="1"/>
  <c r="BT735" i="1"/>
  <c r="BF736" i="1"/>
  <c r="BT736" i="1"/>
  <c r="BF737" i="1"/>
  <c r="BT737" i="1"/>
  <c r="BF738" i="1"/>
  <c r="BT738" i="1"/>
  <c r="BF739" i="1"/>
  <c r="BT739" i="1"/>
  <c r="BF740" i="1"/>
  <c r="BT740" i="1"/>
  <c r="BF741" i="1"/>
  <c r="BT741" i="1"/>
  <c r="BF742" i="1"/>
  <c r="BT742" i="1"/>
  <c r="BF743" i="1"/>
  <c r="BT743" i="1"/>
  <c r="BF744" i="1"/>
  <c r="BT744" i="1"/>
  <c r="BF745" i="1"/>
  <c r="BT745" i="1"/>
  <c r="BF746" i="1"/>
  <c r="BT746" i="1"/>
  <c r="BF747" i="1"/>
  <c r="BT747" i="1"/>
  <c r="BF748" i="1"/>
  <c r="BT748" i="1"/>
  <c r="BF749" i="1"/>
  <c r="BT749" i="1"/>
  <c r="BF750" i="1"/>
  <c r="BT750" i="1"/>
  <c r="BF751" i="1"/>
  <c r="BT751" i="1"/>
  <c r="BF752" i="1"/>
  <c r="BT752" i="1"/>
  <c r="BF753" i="1"/>
  <c r="BT753" i="1"/>
  <c r="BF754" i="1"/>
  <c r="BT754" i="1"/>
  <c r="BF755" i="1"/>
  <c r="BT755" i="1"/>
  <c r="BF756" i="1"/>
  <c r="BT756" i="1"/>
  <c r="BF757" i="1"/>
  <c r="BT757" i="1"/>
  <c r="BF758" i="1"/>
  <c r="BT758" i="1"/>
  <c r="BF759" i="1"/>
  <c r="BT759" i="1"/>
  <c r="BF760" i="1"/>
  <c r="BT760" i="1"/>
  <c r="BF761" i="1"/>
  <c r="BT761" i="1"/>
  <c r="BF762" i="1"/>
  <c r="BT762" i="1"/>
  <c r="BF763" i="1"/>
  <c r="BT763" i="1"/>
  <c r="BF764" i="1"/>
  <c r="BT764" i="1"/>
  <c r="BF765" i="1"/>
  <c r="BT765" i="1"/>
  <c r="BF766" i="1"/>
  <c r="BT766" i="1"/>
  <c r="BF767" i="1"/>
  <c r="BT767" i="1"/>
  <c r="BF768" i="1"/>
  <c r="BT768" i="1"/>
  <c r="BF769" i="1"/>
  <c r="BT769" i="1"/>
  <c r="BF770" i="1"/>
  <c r="BT770" i="1"/>
  <c r="BF771" i="1"/>
  <c r="BT771" i="1"/>
  <c r="BF772" i="1"/>
  <c r="BT772" i="1"/>
  <c r="BF773" i="1"/>
  <c r="BT773" i="1"/>
  <c r="BF774" i="1"/>
  <c r="BT774" i="1"/>
  <c r="BF775" i="1"/>
  <c r="BT775" i="1"/>
  <c r="BF776" i="1"/>
  <c r="BT776" i="1"/>
  <c r="BF777" i="1"/>
  <c r="BT777" i="1"/>
  <c r="BF778" i="1"/>
  <c r="BT778" i="1"/>
  <c r="BF779" i="1"/>
  <c r="BT779" i="1"/>
  <c r="BF780" i="1"/>
  <c r="BT780" i="1"/>
  <c r="BF781" i="1"/>
  <c r="BT781" i="1"/>
  <c r="BF782" i="1"/>
  <c r="BT782" i="1"/>
  <c r="BF783" i="1"/>
  <c r="BT783" i="1"/>
  <c r="BF784" i="1"/>
  <c r="BT784" i="1"/>
  <c r="BF785" i="1"/>
  <c r="BT785" i="1"/>
  <c r="BF786" i="1"/>
  <c r="BT786" i="1"/>
  <c r="BF787" i="1"/>
  <c r="BT787" i="1"/>
  <c r="BF788" i="1"/>
  <c r="BT788" i="1"/>
  <c r="BF789" i="1"/>
  <c r="BT789" i="1"/>
  <c r="BF790" i="1"/>
  <c r="BT790" i="1"/>
  <c r="BF791" i="1"/>
  <c r="BT791" i="1"/>
  <c r="BF792" i="1"/>
  <c r="BT792" i="1"/>
  <c r="BF793" i="1"/>
  <c r="BT793" i="1"/>
  <c r="BF794" i="1"/>
  <c r="BT794" i="1"/>
  <c r="BF795" i="1"/>
  <c r="BT795" i="1"/>
  <c r="BF796" i="1"/>
  <c r="BT796" i="1"/>
  <c r="BF797" i="1"/>
  <c r="BT797" i="1"/>
  <c r="BF798" i="1"/>
  <c r="BT798" i="1"/>
  <c r="BF799" i="1"/>
  <c r="BT799" i="1"/>
  <c r="BF800" i="1"/>
  <c r="BT800" i="1"/>
  <c r="BF801" i="1"/>
  <c r="BT801" i="1"/>
  <c r="BF802" i="1"/>
  <c r="BT802" i="1"/>
  <c r="BF803" i="1"/>
  <c r="BT803" i="1"/>
  <c r="BF804" i="1"/>
  <c r="BT804" i="1"/>
  <c r="BF805" i="1"/>
  <c r="BT805" i="1"/>
  <c r="BF806" i="1"/>
  <c r="BT806" i="1"/>
  <c r="BF807" i="1"/>
  <c r="BT807" i="1"/>
  <c r="BF808" i="1"/>
  <c r="BT808" i="1"/>
  <c r="BF809" i="1"/>
  <c r="BT809" i="1"/>
  <c r="BF810" i="1"/>
  <c r="BT810" i="1"/>
  <c r="BF811" i="1"/>
  <c r="BT811" i="1"/>
  <c r="BF812" i="1"/>
  <c r="BT812" i="1"/>
  <c r="BF813" i="1"/>
  <c r="BT813" i="1"/>
  <c r="BF814" i="1"/>
  <c r="BT814" i="1"/>
  <c r="BF815" i="1"/>
  <c r="BT815" i="1"/>
  <c r="BF816" i="1"/>
  <c r="BT816" i="1"/>
  <c r="BF817" i="1"/>
  <c r="BT817" i="1"/>
  <c r="BF818" i="1"/>
  <c r="BT818" i="1"/>
  <c r="BF819" i="1"/>
  <c r="BT819" i="1"/>
  <c r="BF820" i="1"/>
  <c r="BT820" i="1"/>
  <c r="BF821" i="1"/>
  <c r="BT821" i="1"/>
  <c r="BF822" i="1"/>
  <c r="BT822" i="1"/>
  <c r="BF823" i="1"/>
  <c r="BT823" i="1"/>
  <c r="BF824" i="1"/>
  <c r="BT824" i="1"/>
  <c r="BF825" i="1"/>
  <c r="BT825" i="1"/>
  <c r="BF826" i="1"/>
  <c r="BT826" i="1"/>
  <c r="BF827" i="1"/>
  <c r="BT827" i="1"/>
  <c r="BF828" i="1"/>
  <c r="BT828" i="1"/>
  <c r="BF829" i="1"/>
  <c r="BT829" i="1"/>
  <c r="BF830" i="1"/>
  <c r="BT830" i="1"/>
  <c r="BF831" i="1"/>
  <c r="BT831" i="1"/>
  <c r="BF832" i="1"/>
  <c r="BT832" i="1"/>
  <c r="BF833" i="1"/>
  <c r="BT833" i="1"/>
  <c r="BF834" i="1"/>
  <c r="BT834" i="1"/>
  <c r="BF835" i="1"/>
  <c r="BT835" i="1"/>
  <c r="BF836" i="1"/>
  <c r="BT836" i="1"/>
  <c r="BF837" i="1"/>
  <c r="BT837" i="1"/>
  <c r="BF838" i="1"/>
  <c r="BT838" i="1"/>
  <c r="BF839" i="1"/>
  <c r="BT839" i="1"/>
  <c r="BF840" i="1"/>
  <c r="BT840" i="1"/>
  <c r="BF841" i="1"/>
  <c r="BT841" i="1"/>
  <c r="BF842" i="1"/>
  <c r="BT842" i="1"/>
  <c r="BF843" i="1"/>
  <c r="BT843" i="1"/>
  <c r="BF844" i="1"/>
  <c r="BT844" i="1"/>
  <c r="BF845" i="1"/>
  <c r="BT845" i="1"/>
  <c r="BF846" i="1"/>
  <c r="BT846" i="1"/>
  <c r="BF847" i="1"/>
  <c r="BT847" i="1"/>
  <c r="BF848" i="1"/>
  <c r="BT848" i="1"/>
  <c r="BF849" i="1"/>
  <c r="BT849" i="1"/>
  <c r="BF850" i="1"/>
  <c r="BT850" i="1"/>
  <c r="BF851" i="1"/>
  <c r="BT851" i="1"/>
  <c r="BF852" i="1"/>
  <c r="BT852" i="1"/>
  <c r="BF853" i="1"/>
  <c r="BT853" i="1"/>
  <c r="BF854" i="1"/>
  <c r="BT854" i="1"/>
  <c r="BF855" i="1"/>
  <c r="BT855" i="1"/>
  <c r="BF856" i="1"/>
  <c r="BT856" i="1"/>
  <c r="BF857" i="1"/>
  <c r="BT857" i="1"/>
  <c r="BF858" i="1"/>
  <c r="BT858" i="1"/>
  <c r="BF859" i="1"/>
  <c r="BT859" i="1"/>
  <c r="BF860" i="1"/>
  <c r="BT860" i="1"/>
  <c r="BF861" i="1"/>
  <c r="BT861" i="1"/>
  <c r="BF862" i="1"/>
  <c r="BT862" i="1"/>
  <c r="BF863" i="1"/>
  <c r="BT863" i="1"/>
  <c r="BF864" i="1"/>
  <c r="BT864" i="1"/>
  <c r="BF865" i="1"/>
  <c r="BT865" i="1"/>
  <c r="BF866" i="1"/>
  <c r="BT866" i="1"/>
  <c r="BF867" i="1"/>
  <c r="BT867" i="1"/>
  <c r="BF868" i="1"/>
  <c r="BT868" i="1"/>
  <c r="BF869" i="1"/>
  <c r="BT869" i="1"/>
  <c r="BF870" i="1"/>
  <c r="BT870" i="1"/>
  <c r="BF871" i="1"/>
  <c r="BT871" i="1"/>
  <c r="BF872" i="1"/>
  <c r="BT872" i="1"/>
  <c r="BF873" i="1"/>
  <c r="BT873" i="1"/>
  <c r="BF874" i="1"/>
  <c r="BT874" i="1"/>
  <c r="BF875" i="1"/>
  <c r="BT875" i="1"/>
  <c r="BF876" i="1"/>
  <c r="BT876" i="1"/>
  <c r="BF877" i="1"/>
  <c r="BT877" i="1"/>
  <c r="BF878" i="1"/>
  <c r="BT878" i="1"/>
  <c r="BF879" i="1"/>
  <c r="BT879" i="1"/>
  <c r="BF880" i="1"/>
  <c r="BT880" i="1"/>
  <c r="BF881" i="1"/>
  <c r="BT881" i="1"/>
  <c r="BF882" i="1"/>
  <c r="BT882" i="1"/>
  <c r="BF883" i="1"/>
  <c r="BT883" i="1"/>
  <c r="BF884" i="1"/>
  <c r="BT884" i="1"/>
  <c r="BF885" i="1"/>
  <c r="BT885" i="1"/>
  <c r="BF886" i="1"/>
  <c r="BT886" i="1"/>
  <c r="BF887" i="1"/>
  <c r="BT887" i="1"/>
  <c r="BF888" i="1"/>
  <c r="BT888" i="1"/>
  <c r="BF889" i="1"/>
  <c r="BT889" i="1"/>
  <c r="BF890" i="1"/>
  <c r="BT890" i="1"/>
  <c r="BF891" i="1"/>
  <c r="BT891" i="1"/>
  <c r="BF892" i="1"/>
  <c r="BT892" i="1"/>
  <c r="BF893" i="1"/>
  <c r="BT893" i="1"/>
  <c r="BF894" i="1"/>
  <c r="BT894" i="1"/>
  <c r="BF895" i="1"/>
  <c r="BT895" i="1"/>
  <c r="BF896" i="1"/>
  <c r="BT896" i="1"/>
  <c r="BF897" i="1"/>
  <c r="BT897" i="1"/>
  <c r="BF898" i="1"/>
  <c r="BT898" i="1"/>
  <c r="BF899" i="1"/>
  <c r="BT899" i="1"/>
  <c r="BF900" i="1"/>
  <c r="BT900" i="1"/>
  <c r="BF901" i="1"/>
  <c r="BT901" i="1"/>
  <c r="BF902" i="1"/>
  <c r="BT902" i="1"/>
  <c r="BF903" i="1"/>
  <c r="BT903" i="1"/>
  <c r="BF904" i="1"/>
  <c r="BT904" i="1"/>
  <c r="BF905" i="1"/>
  <c r="BT905" i="1"/>
  <c r="BF906" i="1"/>
  <c r="BT906" i="1"/>
  <c r="BF907" i="1"/>
  <c r="BT907" i="1"/>
  <c r="BF908" i="1"/>
  <c r="BT908" i="1"/>
  <c r="BF909" i="1"/>
  <c r="BT909" i="1"/>
  <c r="BF910" i="1"/>
  <c r="BT910" i="1"/>
  <c r="BF911" i="1"/>
  <c r="BT911" i="1"/>
  <c r="BF912" i="1"/>
  <c r="BT912" i="1"/>
  <c r="BF913" i="1"/>
  <c r="BT913" i="1"/>
  <c r="BF914" i="1"/>
  <c r="BT914" i="1"/>
  <c r="BF915" i="1"/>
  <c r="BT915" i="1"/>
  <c r="BF916" i="1"/>
  <c r="BT916" i="1"/>
  <c r="BF917" i="1"/>
  <c r="BT917" i="1"/>
  <c r="BF918" i="1"/>
  <c r="BT918" i="1"/>
  <c r="BF919" i="1"/>
  <c r="BT919" i="1"/>
  <c r="BF920" i="1"/>
  <c r="BT920" i="1"/>
  <c r="BF921" i="1"/>
  <c r="BT921" i="1"/>
  <c r="BF922" i="1"/>
  <c r="BT922" i="1"/>
  <c r="BF923" i="1"/>
  <c r="BT923" i="1"/>
  <c r="BF924" i="1"/>
  <c r="BT924" i="1"/>
  <c r="BF925" i="1"/>
  <c r="BT925" i="1"/>
  <c r="BF926" i="1"/>
  <c r="BT926" i="1"/>
  <c r="BF927" i="1"/>
  <c r="BT927" i="1"/>
  <c r="BF928" i="1"/>
  <c r="BT928" i="1"/>
  <c r="BF929" i="1"/>
  <c r="BT929" i="1"/>
  <c r="BF930" i="1"/>
  <c r="BT930" i="1"/>
  <c r="BF931" i="1"/>
  <c r="BT931" i="1"/>
  <c r="BF932" i="1"/>
  <c r="BT932" i="1"/>
  <c r="BF933" i="1"/>
  <c r="BT933" i="1"/>
  <c r="BF934" i="1"/>
  <c r="BT934" i="1"/>
  <c r="BF935" i="1"/>
  <c r="BT935" i="1"/>
  <c r="BF936" i="1"/>
  <c r="BT936" i="1"/>
  <c r="BF937" i="1"/>
  <c r="BT937" i="1"/>
  <c r="BF938" i="1"/>
  <c r="BT938" i="1"/>
  <c r="BF939" i="1"/>
  <c r="BT939" i="1"/>
  <c r="BF940" i="1"/>
  <c r="BT940" i="1"/>
  <c r="BF941" i="1"/>
  <c r="BT941" i="1"/>
  <c r="BF942" i="1"/>
  <c r="BT942" i="1"/>
  <c r="BF943" i="1"/>
  <c r="BT943" i="1"/>
  <c r="BF944" i="1"/>
  <c r="BT944" i="1"/>
  <c r="BF945" i="1"/>
  <c r="BT945" i="1"/>
  <c r="BF946" i="1"/>
  <c r="BT946" i="1"/>
  <c r="BF947" i="1"/>
  <c r="BT947" i="1"/>
  <c r="BF948" i="1"/>
  <c r="BT948" i="1"/>
  <c r="BF949" i="1"/>
  <c r="BT949" i="1"/>
  <c r="BF950" i="1"/>
  <c r="BT950" i="1"/>
  <c r="BF951" i="1"/>
  <c r="BT951" i="1"/>
  <c r="BF952" i="1"/>
  <c r="BT952" i="1"/>
  <c r="BF953" i="1"/>
  <c r="BT953" i="1"/>
  <c r="BF954" i="1"/>
  <c r="BT954" i="1"/>
  <c r="BF955" i="1"/>
  <c r="BT955" i="1"/>
  <c r="BF956" i="1"/>
  <c r="BT956" i="1"/>
  <c r="BF957" i="1"/>
  <c r="BT957" i="1"/>
  <c r="BF958" i="1"/>
  <c r="BT958" i="1"/>
  <c r="BF959" i="1"/>
  <c r="BT959" i="1"/>
  <c r="BF960" i="1"/>
  <c r="BT960" i="1"/>
  <c r="BF961" i="1"/>
  <c r="BT961" i="1"/>
  <c r="BF962" i="1"/>
  <c r="BT962" i="1"/>
  <c r="BF963" i="1"/>
  <c r="BT963" i="1"/>
  <c r="BF964" i="1"/>
  <c r="BT964" i="1"/>
  <c r="BF965" i="1"/>
  <c r="BT965" i="1"/>
  <c r="BF966" i="1"/>
  <c r="BT966" i="1"/>
  <c r="BF967" i="1"/>
  <c r="BT967" i="1"/>
  <c r="BF968" i="1"/>
  <c r="BT968" i="1"/>
  <c r="BF969" i="1"/>
  <c r="BT969" i="1"/>
  <c r="BF970" i="1"/>
  <c r="BT970" i="1"/>
  <c r="BF971" i="1"/>
  <c r="BT971" i="1"/>
  <c r="BF972" i="1"/>
  <c r="BT972" i="1"/>
  <c r="BF973" i="1"/>
  <c r="BT973" i="1"/>
  <c r="BF974" i="1"/>
  <c r="BT974" i="1"/>
  <c r="BF975" i="1"/>
  <c r="BT975" i="1"/>
  <c r="BF976" i="1"/>
  <c r="BT976" i="1"/>
  <c r="BF977" i="1"/>
  <c r="BT977" i="1"/>
  <c r="BF978" i="1"/>
  <c r="BT978" i="1"/>
  <c r="BF979" i="1"/>
  <c r="BT979" i="1"/>
  <c r="BF980" i="1"/>
  <c r="BT980" i="1"/>
  <c r="BF981" i="1"/>
  <c r="BT981" i="1"/>
  <c r="BF982" i="1"/>
  <c r="BT982" i="1"/>
  <c r="BF983" i="1"/>
  <c r="BT983" i="1"/>
  <c r="BF984" i="1"/>
  <c r="BT984" i="1"/>
  <c r="BF985" i="1"/>
  <c r="BT985" i="1"/>
  <c r="BF986" i="1"/>
  <c r="BT986" i="1"/>
  <c r="BF987" i="1"/>
  <c r="BT987" i="1"/>
  <c r="BF988" i="1"/>
  <c r="BT988" i="1"/>
  <c r="BF989" i="1"/>
  <c r="BT989" i="1"/>
  <c r="BF990" i="1"/>
  <c r="BT990" i="1"/>
  <c r="BF991" i="1"/>
  <c r="BT991" i="1"/>
  <c r="BF992" i="1"/>
  <c r="BT992" i="1"/>
  <c r="BF993" i="1"/>
  <c r="BT993" i="1"/>
  <c r="BF994" i="1"/>
  <c r="BT994" i="1"/>
  <c r="BF995" i="1"/>
  <c r="BT995" i="1"/>
  <c r="BF996" i="1"/>
  <c r="BT996" i="1"/>
  <c r="BF997" i="1"/>
  <c r="BT997" i="1"/>
  <c r="BF998" i="1"/>
  <c r="BT998" i="1"/>
  <c r="BF999" i="1"/>
  <c r="BT999" i="1"/>
  <c r="BF1000" i="1"/>
  <c r="BT1000" i="1"/>
  <c r="BF1001" i="1"/>
  <c r="BT1001" i="1"/>
</calcChain>
</file>

<file path=xl/sharedStrings.xml><?xml version="1.0" encoding="utf-8"?>
<sst xmlns="http://schemas.openxmlformats.org/spreadsheetml/2006/main" count="61181" uniqueCount="18300">
  <si>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</si>
  <si>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</si>
  <si>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</si>
  <si>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</si>
  <si>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</si>
  <si>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</si>
  <si>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</si>
  <si>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</si>
  <si>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</si>
  <si>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</si>
  <si>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</si>
  <si>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</si>
  <si>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</si>
  <si>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</si>
  <si>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</si>
  <si>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</si>
  <si>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</si>
  <si>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</si>
  <si>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</si>
  <si>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</si>
  <si>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</si>
  <si>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</si>
  <si>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</si>
  <si>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</si>
  <si>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</si>
  <si>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</si>
  <si>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</si>
  <si>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</si>
  <si>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</si>
  <si>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</si>
  <si>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</si>
  <si>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</si>
  <si>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</si>
  <si>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</si>
  <si>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</si>
  <si>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</si>
  <si>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</si>
  <si>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</si>
  <si>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</si>
  <si>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</si>
  <si>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</si>
  <si>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</si>
  <si>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</si>
  <si>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</si>
  <si>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</si>
  <si>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</si>
  <si>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</si>
  <si>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</si>
  <si>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</si>
  <si>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</si>
  <si>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</si>
  <si>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</si>
  <si>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</si>
  <si>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</si>
  <si>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</si>
  <si>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</si>
  <si>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</si>
  <si>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</si>
  <si>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</si>
  <si>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</si>
  <si>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</si>
  <si>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</si>
  <si>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</si>
  <si>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</si>
  <si>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</si>
  <si>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</si>
  <si>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</si>
  <si>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</si>
  <si>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</si>
  <si>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</si>
  <si>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</si>
  <si>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</si>
  <si>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</si>
  <si>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Apoorva, K; Amirtham, U; Patil, A; Agrawal, M; Pallavi, VR; Raghavendra, HV</t>
  </si>
  <si>
    <t/>
  </si>
  <si>
    <t>Apoorva, K.; Amirtham, Usha; Patil, Akkamahadevi; Agrawal, Mohit; Pallavi, V. R.; Raghavendra, H. V.</t>
  </si>
  <si>
    <t>Diagnostic Accuracy of Intraoperative Frozen Section in Ovarian Neoplasms: A Tertiary Cancer Center Experience</t>
  </si>
  <si>
    <t>INDIAN JOURNAL OF GYNECOLOGIC ONCOLOGY</t>
  </si>
  <si>
    <t>English</t>
  </si>
  <si>
    <t>Article</t>
  </si>
  <si>
    <t>Ovarian neoplasm; Frozen section; Intra-operative consultation</t>
  </si>
  <si>
    <t>TUMORS</t>
  </si>
  <si>
    <t>IntroductionThe clinical diagnosis of the nature of ovarian neoplasm is difficult. Invasive diagnostic techniques are contraindicated in ovarian neoplasm due to fear of tumor spillage and upstaging of the tumor. An intraoperative frozen section (FS) is a valuable diagnostic procedure to diagnose and determine the malignancy in ovarian tumors and thus guides the surgeon in tailoring surgical therapy, particularly in young women.Aims and ObjectivesThis study aims to determine the various statistical parameters of frozen section to diagnose ovarian epithelial neoplasm based on tumor behavior and histological subtypes.Materials and MethodsA retrospective study of intraoperative FS of ovarian neoplasm was conducted over a period of 5 years. The reports of FS and respective formalin-fixed paraffin sections (FFPS) were reviewed. The overall accuracy, sensitivity, specificity, positive predictive value (PPV), and negative predictive value (NPV) were determined separately for benign, borderline, and malignant epithelial tumors considering FFPS diagnosis as the gold standard.ResultsA total of 341 patients underwent a frozen section for ovarian masses. 68% of them were of epithelial origin. The overall accuracy of the FS to identify malignancy in ovarian neoplasm is 94.6%. The largest discordance in diagnosis was reported in mucinous borderline tumors.ConclusionWith relevant clinical details, representative tumor sampling, and experience frozen section can be a simple and effective diagnostic tool to guide surgeons to choose the appropriate intraoperative management.</t>
  </si>
  <si>
    <t>[Apoorva, K.] KS Hegde Med Acad, Dept Pathol, Deralakatte, Mangalore, India; [Amirtham, Usha; Patil, Akkamahadevi; Raghavendra, H. V.] Kidwai Mem Inst Oncol, Dept Pathol, Bangalore, India; [Agrawal, Mohit] Mahamana Pandit Madan Mohan Malviya Canc Ctr, Dept Pathol, Varanasi, Uttar Pradesh, India; [Agrawal, Mohit] Homi Babha Canc Hosp, Varanasi, Uttar Pradesh, India; [Pallavi, V. R.] Kidwai Mem Inst Oncol, Dept Gynecol Oncol, Bangalore, India</t>
  </si>
  <si>
    <t>NITTE (Deemed to be University); K.S. Hegde Medical Academy; Kidwai Memorial Institute of Oncology; Kidwai Memorial Institute of Oncology</t>
  </si>
  <si>
    <t>Agrawal, M (corresponding author), Mahamana Pandit Madan Mohan Malviya Canc Ctr, Dept Pathol, Varanasi, Uttar Pradesh, India.;Agrawal, M (corresponding author), Homi Babha Canc Hosp, Varanasi, Uttar Pradesh, India.</t>
  </si>
  <si>
    <t>mohit.medico@gmail.com</t>
  </si>
  <si>
    <t>SPRINGER INDIA</t>
  </si>
  <si>
    <t>NEW DELHI</t>
  </si>
  <si>
    <t>7TH FLOOR, VIJAYA BUILDING, 17, BARAKHAMBA ROAD, NEW DELHI, 110 001, INDIA</t>
  </si>
  <si>
    <t>2363-8397</t>
  </si>
  <si>
    <t>2363-8400</t>
  </si>
  <si>
    <t>INDIAN J GYNECOL ONC</t>
  </si>
  <si>
    <t>Indian J. Gynecol. Oncol.</t>
  </si>
  <si>
    <t>DEC</t>
  </si>
  <si>
    <t>10.1007/s40944-023-00740-6</t>
  </si>
  <si>
    <t>Obstetrics &amp; Gynecology</t>
  </si>
  <si>
    <t>Emerging Sources Citation Index (ESCI)</t>
  </si>
  <si>
    <t>R1PN7</t>
  </si>
  <si>
    <t>2023-10-09</t>
  </si>
  <si>
    <t>WOS:001062132200001</t>
  </si>
  <si>
    <t>Arcones, A; Thielemann, FK</t>
  </si>
  <si>
    <t>Arcones, Almudena; Thielemann, Friedrich-Karl</t>
  </si>
  <si>
    <t>Origin of the elements</t>
  </si>
  <si>
    <t>ASTRONOMY AND ASTROPHYSICS REVIEW</t>
  </si>
  <si>
    <t>Review</t>
  </si>
  <si>
    <t>Element abundance; Big Bang nucleosynthesis; Stellar evolution; Core collapse; Supernovae; Compact binary mergers; Galactic evolution</t>
  </si>
  <si>
    <t>GAMMA-RAY BURST; NEUTRINO-DRIVEN WINDS; ACCRETION-INDUCED COLLAPSE; R-PROCESS NUCLEOSYNTHESIS; S-PROCESS NUCLEOSYNTHESIS; BIG-BANG NUCLEOSYNTHESIS; ROTATING MASSIVE STARS; PRIMORDIAL HELIUM ABUNDANCE; PRE-SUPERNOVA EVOLUTION; NUCLEAR-REACTION RATES</t>
  </si>
  <si>
    <t>What is the origin of the oxygen we breathe, the hydrogen and oxygen (in form of water H2O) in rivers and oceans, the carbon in all organic compounds, the silicon in electronic hardware, the calcium in our bones, the iron in steel, silver and gold in jewels, the rare earths utilized, e.g. in magnets or lasers, lead or lithium in batteries, and also of naturally occurring uranium and plutonium? The answer lies in the skies. Astrophysical environments from the Big Bang to stars and stellar explosions are the cauldrons where all these elements are made. The papers by Burbidge (Rev Mod Phys 29:547-650, 1957) and Cameron (Publ Astron Soc Pac 69:201, 1957), as well as precursors by Bethe, von Weizsacker, Hoyle, Gamow, and Suess and Urey provided a very basic understanding of the nucleosynthesis processes responsible for their production, combined with nuclear physics input and required environment conditions such as temperature, density and the overall neutron/proton ratio in seed material. Since then a steady stream of nuclear experiments and nuclear structure theory, astrophysical models of the early universe as well as stars and stellar explosions in single and binary stellar systems has led to a deeper understanding. This involved improvements in stellar models, the composition of stellar wind ejecta, the mechanism of core-collapse supernovae as final fate of massive stars, and the transition (as a function of initial stellar mass) from core-collapse supernovae to hypernovae and long duration gamma-ray bursts (accompanied by the formation of a black hole) in case of single star progenitors. Binary stellar systems give rise to nova explosions, X-ray bursts, type Ia supernovae, neutron star, and neutron star-black hole mergers. All of these events (possibly with the exception of X-ray bursts) eject material with an abundance composition unique to the specific event and lead over time to the evolution of elemental (and isotopic) abundances in the galactic gas and their imprint on the next generation of stars. In the present review, we want to give a modern overview of the nucleosynthesis processes involved, their astrophysical sites, and their impact on the evolution of galaxies.</t>
  </si>
  <si>
    <t>[Arcones, Almudena] Tech Univ Darmstadt, Inst Kernphys, D-64289 Darmstadt, Germany; [Arcones, Almudena; Thielemann, Friedrich-Karl] GSI Helmholtzzentrum Schwerionenforsch GmbH, D-64291 Darmstadt, Germany; [Thielemann, Friedrich-Karl] Univ Basel, Dept Phys, Klingelbergstr 82, CH-4056 Basel, Switzerland</t>
  </si>
  <si>
    <t>Technical University of Darmstadt; Helmholtz Association; GSI Helmholtz-Center for Heavy Ion Research; University of Basel</t>
  </si>
  <si>
    <t>Thielemann, FK (corresponding author), GSI Helmholtzzentrum Schwerionenforsch GmbH, D-64291 Darmstadt, Germany.;Thielemann, FK (corresponding author), Univ Basel, Dept Phys, Klingelbergstr 82, CH-4056 Basel, Switzerland.</t>
  </si>
  <si>
    <t>almudena.arcones@physik.tu-darmstadt.de; f-k.thielemann@unibas.ch</t>
  </si>
  <si>
    <t>Thielemann, Friedrich Karl/ABG-1866-2020; Arcones, Almudena/HCH-2975-2022</t>
  </si>
  <si>
    <t>Thielemann, Friedrich Karl/0000-0002-7256-9330; Arcones, Almudena/0000-0002-6995-3032</t>
  </si>
  <si>
    <t>University of Basel</t>
  </si>
  <si>
    <t>Open access funding provided by University of Basel.</t>
  </si>
  <si>
    <t>SPRINGER</t>
  </si>
  <si>
    <t>NEW YORK</t>
  </si>
  <si>
    <t>ONE NEW YORK PLAZA, SUITE 4600, NEW YORK, NY, UNITED STATES</t>
  </si>
  <si>
    <t>0935-4956</t>
  </si>
  <si>
    <t>1432-0754</t>
  </si>
  <si>
    <t>ASTRON ASTROPHYS REV</t>
  </si>
  <si>
    <t>Astron. Astrophys. Rev.</t>
  </si>
  <si>
    <t>10.1007/s00159-022-00146-x</t>
  </si>
  <si>
    <t>Astronomy &amp; Astrophysics</t>
  </si>
  <si>
    <t>Science Citation Index Expanded (SCI-EXPANDED)</t>
  </si>
  <si>
    <t>7B0NR</t>
  </si>
  <si>
    <t>Green Accepted, hybrid</t>
  </si>
  <si>
    <t>WOS:000898841900001</t>
  </si>
  <si>
    <t>Askarizadeh, A; Mashreghi, M; Mirhadi, E; Mirzavi, F; Shargh, VH; Badiee, A; Alavizadeh, SH; Arabi, L; Jaafari, MR</t>
  </si>
  <si>
    <t>Askarizadeh, Anis; Mashreghi, Mohammad; Mirhadi, Elaheh; Mirzavi, Farshad; Shargh, Vahid Heravi; Badiee, Ali; Alavizadeh, Seyedeh Hoda; Arabi, Leila; Jaafari, Mahmoud Reza</t>
  </si>
  <si>
    <t>Doxorubicin-loaded liposomes surface engineered with the matrix metalloproteinase-2 cleavable polyethylene glycol conjugate for cancer therapy</t>
  </si>
  <si>
    <t>CANCER NANOTECHNOLOGY</t>
  </si>
  <si>
    <t>Doxorubicin; Cationic liposome; Matrix metalloproteinase-2; Vascular targeting; Cancer</t>
  </si>
  <si>
    <t>TUMOR ENDOTHELIAL-CELLS; CATIONIC LIPOSOMES; LIPID NANOPARTICLES; ANTITUMOR EFFICACY; IN-VITRO; DELIVERY; RELEASE; ACCUMULATION; PEGYLATION; CARCINOMA</t>
  </si>
  <si>
    <t>Background: Colorectal cancer is one of the prominent leading causes of fatality worldwide. Despite recent advancements within the field of cancer therapy, the cure rates and long-term survivals of patients suffering from colorectal cancer have changed little. The application of conventional chemotherapeutic agents like doxorubicin is limited by some drawbacks such as cardiotoxicity and hematotoxicity. Therefore, nanotechnology has been exploited as a promising solution to address these problems. In this study, we synthesized and compared the anticancer efficacy of doxorubicin-loaded liposomes that were surface engineered with the 1,2-dioleoyl-sn-glycero-3-phosphoethanolamine-matrix metalloproteinase-2 (MMP-2) cleavable peptide-polyethylene glycol (PEG) conjugate. The peptide linker was used to cleave in response to the upregulated MMP-2 in the tumor microenvironment, thus exposing a positive charge via PEG-deshielding and enhancing liposomal uptake by tumor cells/vasculature. Liposomal formulations were characterized in terms of size, surface charge and morphology, drug loading, release properties, cell binding and uptake, and cytotoxicity. Results: The formulations had particle sizes of similar to 100-170 nm, narrow distribution (PDI &lt; 0.2), and various surface charges (- 10.2 mV to + 17.6 mV). MMP-2 overexpression was shown in several cancer cell lines (C26, 4T1, and B16F10) as compared to the normal NIH-3T3 fibroblast cells by gelatin zymography and qRT-PCR. In vitro results demonstrated enhanced antitumor efficacy of the PEG-cleavable cationic liposomes (CLs) as compared to the commercial Caelyx((R)) (up to fivefold) and the chick chorioallantoic membrane assay showed their great antiangiogenesis potential to target and suppress tumor neovascularization. The pharmacokinetics and efficacy studies also indicated higher tumor accumulation and extended survival rates in C26 tumor-bearing mice treated with the MMP-2 cleavable CLs as compared to the non-cleavable CLs with no remarkable sign of toxicity in healthy tissues.ConclusionAltogether, the MMP-2-cleavable CLs have great potency to improve tumor-targeted drug delivery and cellular/tumor-vasculature uptake which merits further investigation. Conclusion: Altogether, the MMP-2- cleavable CLs have great potency to improve tumor-targeted drug delivery and cellular/tumor-vasculature uptake which merits further investigation.</t>
  </si>
  <si>
    <t>[Askarizadeh, Anis; Mashreghi, Mohammad; Mirhadi, Elaheh; Badiee, Ali; Alavizadeh, Seyedeh Hoda; Arabi, Leila; Jaafari, Mahmoud Reza] Mashhad Univ Med Sci, Pharmaceut Technol Inst, Nanotechnol Res Ctr, Mashhad, Iran; [Askarizadeh, Anis; Mashreghi, Mohammad; Mirhadi, Elaheh; Badiee, Ali; Alavizadeh, Seyedeh Hoda; Arabi, Leila; Jaafari, Mahmoud Reza] Mashhad Univ Med Sci, Sch Pharm, Dept Pharmaceut Nanotechnol, Mashhad, Iran; [Mirzavi, Farshad] Birjand Univ Med Sci, Cardiovasc Dis Res Ctr, Birjand, Iran; [Shargh, Vahid Heravi] Univ Manchester, Fac Biol, Sch Hlth Sci, Div Pharm &amp; Optometry, Manchester, England</t>
  </si>
  <si>
    <t>Mashhad University Medical Science; Mashhad University Medical Science; University of Manchester</t>
  </si>
  <si>
    <t>Jaafari, MR (corresponding author), Mashhad Univ Med Sci, Pharmaceut Technol Inst, Nanotechnol Res Ctr, Mashhad, Iran.;Jaafari, MR (corresponding author), Mashhad Univ Med Sci, Sch Pharm, Dept Pharmaceut Nanotechnol, Mashhad, Iran.;Shargh, VH (corresponding author), Univ Manchester, Fac Biol, Sch Hlth Sci, Div Pharm &amp; Optometry, Manchester, England.</t>
  </si>
  <si>
    <t>vahid.heravishargh@manchester.ac.uk; jafarimr@mums.ac.ir</t>
  </si>
  <si>
    <t>Mirzavi, Farshad/AAA-3336-2022; Arabi, Leila/H-2312-2018</t>
  </si>
  <si>
    <t>Mirzavi, Farshad/0000-0003-4686-1511; Arabi, Leila/0000-0003-1623-3346; Heravi Shargh, Vahid/0000-0002-6388-9877</t>
  </si>
  <si>
    <t>Nanotechnology Research Center of the Mashhad University of Medical Sciences (MUMS) [960880]</t>
  </si>
  <si>
    <t>Nanotechnology Research Center of the Mashhad University of Medical Sciences (MUMS)</t>
  </si>
  <si>
    <t>This work was part of Miss Anis Askarizadeh Ph.D. thesis (Grant number: 960880) supported by the Nanotechnology Research Center of the Mashhad University of Medical Sciences (MUMS).</t>
  </si>
  <si>
    <t>SPRINGER WIEN</t>
  </si>
  <si>
    <t>Vienna</t>
  </si>
  <si>
    <t>Prinz-Eugen-Strasse 8-10, A-1040 Vienna, AUSTRIA</t>
  </si>
  <si>
    <t>1868-6958</t>
  </si>
  <si>
    <t>1868-6966</t>
  </si>
  <si>
    <t>CANCER NANOTECHNOL</t>
  </si>
  <si>
    <t>Cancer Nanotechnol.</t>
  </si>
  <si>
    <t>10.1186/s12645-023-00169-8</t>
  </si>
  <si>
    <t>Oncology; Nanoscience &amp; Nanotechnology</t>
  </si>
  <si>
    <t>Oncology; Science &amp; Technology - Other Topics</t>
  </si>
  <si>
    <t>9P0WI</t>
  </si>
  <si>
    <t>Green Published, gold</t>
  </si>
  <si>
    <t>WOS:000944012100002</t>
  </si>
  <si>
    <t>Bao, WY; Zhu, JB; Han, DY; Bi, S; Hu, QJ; Liu, L</t>
  </si>
  <si>
    <t>Bao, Weiyue; Zhu, Jianbo; Han, Dongya; Bi, Shuo; Hu, Qijun; Liu, Lang</t>
  </si>
  <si>
    <t>Experimental study of shear behavior of rock-shotcrete interface under dynamic shearing: insights from interface roughness and strain rate</t>
  </si>
  <si>
    <t>GEOMECHANICS AND GEOPHYSICS FOR GEO-ENERGY AND GEO-RESOURCES</t>
  </si>
  <si>
    <t>Rock-shotcrete; Dynamic shear; Strain rate; Roughness</t>
  </si>
  <si>
    <t>SUGGESTED METHOD; STRENGTH; JOINTS; DEFORMATION; TENSION; ALLOY; TESTS</t>
  </si>
  <si>
    <t>Rock-shotcrete structures are often suffered from dynamic shearing. However, the understanding of the dynamic shear response of rock-shotcrete structures is still at its infancy. To investigate the effects of strain rate and interface roughness on the dynamic shear response of rock-shotcrete structure, laboratory tests were carried out on the modified double notched sandstone-concrete specimen. Testing results show that the dynamic shear strength and dynamic peak strain of sandstone-concrete specimens are both far less than those of sandstone and concrete specimens. With increasing strain rate, the dynamic shear strength of sandstone-concrete specimen increases and the failure mode changes from interfacial shear failure to the mixed failure, i.e., the interfacial, concrete and sandstone shear failure. With the increase in interface roughness, the failure mode changes from sliding fracture to shear-off fracture, leading to an increase in dynamic shear strength and shear peak strain of sandstone-concrete specimens. In addition, it is the smallest sawtooth angle at the sandstone-concrete interface that dominates the dynamic shear strength of sandstone-concrete specimens. The findings in the present study could facilitate understanding the shear behavior and failure mechanism of the rock-shotcrete structure subjected to dynamic loading and be helpful in the efficient design, reinforcement and stability of rock-shotcrete engineering.</t>
  </si>
  <si>
    <t>[Bao, Weiyue; Bi, Shuo] Tianjin Univ, Sch Civil Engn, State Key Lab Hydraul Engn Simulat &amp; Safety, Tianjin, Peoples R China; [Zhu, Jianbo] Shenzhen Univ, Inst Deep Earth Sci &amp; Green Energy, Coll Civil &amp; Transportat Engn, Guangdong Prov Key Lab Deep Earth Sci &amp; Geothermal, Shenzhen, Peoples R China; [Han, Dongya] Cent South Univ, Sch Resources &amp; Safety Engn, Changsha, Peoples R China; [Hu, Qijun] Southwest Petr Univ, Sch Civil Engn &amp; Geomat, Chengdu, Peoples R China; [Liu, Lang] Xian Univ Sci &amp; Technol, Coll Energy Engn, Xian, Peoples R China</t>
  </si>
  <si>
    <t>Tianjin University; Shenzhen University; Central South University; Southwest Petroleum University; Xi'an University of Science &amp; Technology</t>
  </si>
  <si>
    <t>Zhu, JB (corresponding author), Shenzhen Univ, Inst Deep Earth Sci &amp; Green Energy, Coll Civil &amp; Transportat Engn, Guangdong Prov Key Lab Deep Earth Sci &amp; Geothermal, Shenzhen, Peoples R China.</t>
  </si>
  <si>
    <t>jianbo.zhu@szu.edu.cn</t>
  </si>
  <si>
    <t>Zhu, Jianbo/L-4419-2014</t>
  </si>
  <si>
    <t>Zhu, Jianbo/0000-0001-5677-840X</t>
  </si>
  <si>
    <t>SPRINGER HEIDELBERG</t>
  </si>
  <si>
    <t>HEIDELBERG</t>
  </si>
  <si>
    <t>TIERGARTENSTRASSE 17, D-69121 HEIDELBERG, GERMANY</t>
  </si>
  <si>
    <t>2363-8419</t>
  </si>
  <si>
    <t>2363-8427</t>
  </si>
  <si>
    <t>GEOMECH GEOPHYS GEO</t>
  </si>
  <si>
    <t>Geomech. Geophys. Geo-Energy Geo-Resour.</t>
  </si>
  <si>
    <t>10.1007/s40948-023-00621-4</t>
  </si>
  <si>
    <t>Energy &amp; Fuels; Engineering, Geological; Geosciences, Multidisciplinary</t>
  </si>
  <si>
    <t>Energy &amp; Fuels; Engineering; Geology</t>
  </si>
  <si>
    <t>I0FK5</t>
  </si>
  <si>
    <t>hybrid</t>
  </si>
  <si>
    <t>WOS:000999617300002</t>
  </si>
  <si>
    <t>Biancardi, M; Iannucci, G; Villani, G</t>
  </si>
  <si>
    <t>Biancardi, Marta; Iannucci, Gianluca; Villani, Giovanni</t>
  </si>
  <si>
    <t>Groundwater management and illegality in a differential-evolutionary framework</t>
  </si>
  <si>
    <t>COMPUTATIONAL MANAGEMENT SCIENCE</t>
  </si>
  <si>
    <t>Groundwater management; Unauthorized water extraction; Illegal behaviors; Leader-follower differential game; Replicator dynamics</t>
  </si>
  <si>
    <t>RESOURCE; COMPETITION; EXPLOITATION; ADAPTATION; EXTRACTION; AQUIFER</t>
  </si>
  <si>
    <t>It is estimated that half of all the water extracted, both in developed and developing countries, is unauthorized. This phenomenon makes the management of a groundwater even more difficult to avoid over-exploitation. To study the interaction between farmers, that could be compliant and non-compliant, and a water agency, we built a leader-follower differential game. However, we assumed that the water agency does not know neither ex-ante nor ex-post the number of compliant farmers. After illustrating the results of the dynamic game through numerical simulation using the Western La Mancha (Spain) data, we endogenize the types' choice in an evolutionary context. Finally, we perform comparative dynamics in the steady state to understand the role of the sanction to counter illegal behaviors.</t>
  </si>
  <si>
    <t>[Biancardi, Marta; Villani, Giovanni] Univ Bari, Dept Econ &amp; Finance, Largo Abbazia S Scolastica 53, I-70124 Bari, Italy; [Iannucci, Gianluca] Univ Firenze, Dept Econ &amp; Management, Via Pandette 9, I-50127 Florence, Italy</t>
  </si>
  <si>
    <t>Universita degli Studi di Bari Aldo Moro; University of Florence</t>
  </si>
  <si>
    <t>Villani, G (corresponding author), Univ Bari, Dept Econ &amp; Finance, Largo Abbazia S Scolastica 53, I-70124 Bari, Italy.</t>
  </si>
  <si>
    <t>giovanni.villani@uniba.it</t>
  </si>
  <si>
    <t>Iannucci, Gianluca/0000-0001-9780-9962</t>
  </si>
  <si>
    <t>Italian Ministry of Ecological Transition</t>
  </si>
  <si>
    <t>The research has been funded by the Italian Ministry of Ecological Transition as part of the project  Water as Sustainable Product-WASP.</t>
  </si>
  <si>
    <t>1619-697X</t>
  </si>
  <si>
    <t>1619-6988</t>
  </si>
  <si>
    <t>COMPUT MANAG SCI</t>
  </si>
  <si>
    <t>Comput. Manag. Sci.</t>
  </si>
  <si>
    <t>10.1007/s10287-023-00449-z</t>
  </si>
  <si>
    <t>Social Sciences, Mathematical Methods</t>
  </si>
  <si>
    <t>Mathematical Methods In Social Sciences</t>
  </si>
  <si>
    <t>A8EE7</t>
  </si>
  <si>
    <t>WOS:000957387900001</t>
  </si>
  <si>
    <t>Catana, V; Scumpu, MG</t>
  </si>
  <si>
    <t>Catana, Viorel; Scumpu, Mihaela-Gratiela</t>
  </si>
  <si>
    <t>Localization operators and wavelet multipliers involving two-dimensional linear canonical curvelet transform</t>
  </si>
  <si>
    <t>JOURNAL OF PSEUDO-DIFFERENTIAL OPERATORS AND APPLICATIONS</t>
  </si>
  <si>
    <t>Two-dimensional linear canonical transform; Curvelet transform; Wavelet multipliers; Localization operators; Schatten-von Neumann classes</t>
  </si>
  <si>
    <t>NORM INEQUALITIES</t>
  </si>
  <si>
    <t>The main purpose of this paper is to introduce and study the localization operators and the wavelet multipliers associated to two-dimensional linear canonical curvelet transform. We investigate the L-2-boundedness, compactness and Schatten-von Neumann properties for these classes of operators.</t>
  </si>
  <si>
    <t>[Catana, Viorel; Scumpu, Mihaela-Gratiela] Univ Politehn Bucuresti, Fac Appl Sci, Dept Math Informat, Bucharest, Romania</t>
  </si>
  <si>
    <t>Polytechnic University of Bucharest</t>
  </si>
  <si>
    <t>Catana, V (corresponding author), Univ Politehn Bucuresti, Fac Appl Sci, Dept Math Informat, Bucharest, Romania.</t>
  </si>
  <si>
    <t>catana_viorel@yahoo.co.uk; gratiela.scumpu@gmail.com</t>
  </si>
  <si>
    <t>SPRINGER BASEL AG</t>
  </si>
  <si>
    <t>BASEL</t>
  </si>
  <si>
    <t>PICASSOPLATZ 4, BASEL, 4052, SWITZERLAND</t>
  </si>
  <si>
    <t>1662-9981</t>
  </si>
  <si>
    <t>1662-999X</t>
  </si>
  <si>
    <t>J PSEUDO-DIFFER OPER</t>
  </si>
  <si>
    <t>J. Pseudo-Differ. Oper. Appl.</t>
  </si>
  <si>
    <t>10.1007/s11868-023-00547-1</t>
  </si>
  <si>
    <t>Mathematics, Applied; Mathematics</t>
  </si>
  <si>
    <t>Mathematics</t>
  </si>
  <si>
    <t>N3AC5</t>
  </si>
  <si>
    <t>WOS:001035772300001</t>
  </si>
  <si>
    <t>Chamberlain, M; Miller, J; Dowd, T; Rhim, JS; Heflin, D; Akturk, I; Coffing, J; Fassnacht, M; Mansson, JA</t>
  </si>
  <si>
    <t>Chamberlain, Morgan; Miller, Justin; Dowd, Teal; Rhim, Jung Soo; Heflin, Diana; Akturk, Ilke; Coffing, Jacob; Fassnacht, Michael; Mansson, Jan-Anders</t>
  </si>
  <si>
    <t>Development of a bicycle crank arm demonstrator via Industry 4.0 principles for sustainable and cost-effective manufacturing</t>
  </si>
  <si>
    <t>SPORTS ENGINEERING</t>
  </si>
  <si>
    <t>SYSTEMS</t>
  </si>
  <si>
    <t>The development and validation of an original aluminum bicycle crank arm design is presented with an emphasis on design for manufacturing and cost-efficiency via Industry 4.0 principles. The facets of Industry 4.0 that were utilized in this work include the development of a predictive technical cost model, real-time data acquisition from the processing equipment, as well as intentional design for manufacturability. Two crank arm designs were manufactured and tested in a custom mechanical testing jig. The adjustable apparatus was used to test the crank arms in multiple loading cases realistic to those experienced during a typical service life, in addition to testing the load case defined by the International Organization for Standardization (ISO). Metrology was then conducted of all crank arms to assess the part deformation after mechanical testing. A predictive technical cost model was also developed of the entire design and manufacturing process that allows for factors such as cycle time, energy consumption, and production efficiency to be utilized to maximize sustainability in the manufacturing process. The crank arms presented met the ISO specifications for crank arm safety, and showed comparable performance to a commercial aluminum crank arm. This successful product development cycle can be utilized in future research to adopt different material systems into the process for increased sustainability or performance or both, as well as to serve as a demonstrator of the implementation of next-generation manufacturing principles.</t>
  </si>
  <si>
    <t>[Chamberlain, Morgan; Miller, Justin; Dowd, Teal; Rhim, Jung Soo; Heflin, Diana; Akturk, Ilke; Mansson, Jan-Anders] Purdue Univ, Ray Ewry Sports Engn Ctr, 1105 Endeavour Dr,Suite 400, W Lafayette, IN 47906 USA; [Coffing, Jacob; Fassnacht, Michael; Mansson, Jan-Anders] Indiana Next Generat Mfg Competitiveness Ctr, 1105 Endeavour Dr,Suite 400, W Lafayette, IN 47906 USA</t>
  </si>
  <si>
    <t>Purdue University System; Purdue University; Purdue University West Lafayette Campus</t>
  </si>
  <si>
    <t>Mansson, JA (corresponding author), Purdue Univ, Ray Ewry Sports Engn Ctr, 1105 Endeavour Dr,Suite 400, W Lafayette, IN 47906 USA.;Mansson, JA (corresponding author), Indiana Next Generat Mfg Competitiveness Ctr, 1105 Endeavour Dr,Suite 400, W Lafayette, IN 47906 USA.</t>
  </si>
  <si>
    <t>jmansson@purdue.edu</t>
  </si>
  <si>
    <t>Dowd, Teal/0000-0002-6282-975X</t>
  </si>
  <si>
    <t>Ray Ewry Sports Engineering Center (RESEC) at PurdueUniversity; Indiana Next Generation Manufacturing Competitiveness Center</t>
  </si>
  <si>
    <t>Financial support for this study was provided by the Ray Ewry Sports Engineering Center (RESEC) at PurdueUniversity, as well as the Indiana Next Generation Manufacturing Competitiveness Center (IN-MaC).</t>
  </si>
  <si>
    <t>SPRINGER LONDON LTD</t>
  </si>
  <si>
    <t>LONDON</t>
  </si>
  <si>
    <t>236 GRAYS INN RD, 6TH FLOOR, LONDON WC1X 8HL, ENGLAND</t>
  </si>
  <si>
    <t>1369-7072</t>
  </si>
  <si>
    <t>1460-2687</t>
  </si>
  <si>
    <t>SPORTS ENG</t>
  </si>
  <si>
    <t>Sports Eng.</t>
  </si>
  <si>
    <t>10.1007/s12283-022-00394-1</t>
  </si>
  <si>
    <t>Sport Sciences</t>
  </si>
  <si>
    <t>7C3UQ</t>
  </si>
  <si>
    <t>WOS:000899742100001</t>
  </si>
  <si>
    <t>Chau, AL; Pugsley, CD; Miyamoto, ME; Tang, YK; Eisenbach, CD; Mates, TE; Hawker, CJ; Valentine, MT; Pitenis, AA</t>
  </si>
  <si>
    <t>Chau, Allison L.; Pugsley, Conor D.; Miyamoto, Madeleine E.; Tang, Yongkui; Eisenbach, Claus D.; Mates, Thomas E.; Hawker, Craig J.; Valentine, Megan T.; Pitenis, Angela A.</t>
  </si>
  <si>
    <t>pH-Dependent Friction of Polyacrylamide Hydrogels</t>
  </si>
  <si>
    <t>TRIBOLOGY LETTERS</t>
  </si>
  <si>
    <t>Photoinitiated polymerization; Redox-initiated polymerization; Hydrolysis</t>
  </si>
  <si>
    <t>COPOLYMER HYDROGEL; NETWORK STRUCTURE; HYDROLYSIS; GELS; TEMPERATURE; POLY(ACRYLAMIDE); ACID); LUBRICATION; PARAMETERS; COLLAPSE</t>
  </si>
  <si>
    <t>Polyacrylamide hydrogels are widely used in biomedical applications due to their tunable mechanical properties and charge neutrality. Our recent tribological investigations of polyacrylamide gels have revealed tunable and pH-dependent friction behavior. To determine the origins of this pH-responsiveness, we prepared polyacrylamide hydrogels with two different initiating chemistries: a reduction-oxidation (redox)-initiated system using ammonium persulfate (APS) and N,N,N &amp; PRIME;N &amp; PRIME;-tetramethylethylenediamine (TEMED) and a UV-initiated system with 2-hydroxy-4 &amp; PRIME;-(2-hydroxyethoxy)-2-methylpropiophenone (Irgacure 2959). Hydrogel swelling, mechanical properties, and tribological behavior were investigated in response to solution pH (ranging from &amp; AP; 0.34 to 13.5). For polyacrylamide hydrogels in sliding contact with glass hemispherical probes, friction coefficients decreased from &amp; mu; = 0.07 &amp; PLUSMN; 0.02 to &amp; mu; = 0.002 &amp; PLUSMN; 0.002 (redox-initiated) and from &amp; mu; = 0.05 &amp; PLUSMN; 0.03 to &amp; mu; = 0.003 &amp; PLUSMN; 0.003 (UV-initiated) with increasing solution pH. With hemispherical polytetrafluoroethylene (PTFE) probes, friction coefficients of redox-initiated hydrogels similarly decreased from &amp; mu; = 0.06 &amp; PLUSMN; 0.01 to &amp; mu; = 0.002 &amp; PLUSMN; 0.001 with increasing pH. Raman spectroscopy measurements demonstrated hydrolysis and the conversion of amide groups to carboxylic acid in basic conditions. We therefore propose that the mechanism for pH-responsive friction in polyacrylamide hydrogels may be credited to hydrolysis-driven swelling through the conversion of side chain amide groups into carboxylic groups and/or crosslinker degradation. Our results could assist in the rational design of hydrogel-based tribological pairs for biomedical applications from acidic to alkaline conditions.</t>
  </si>
  <si>
    <t>[Chau, Allison L.; Mates, Thomas E.; Hawker, Craig J.; Pitenis, Angela A.] Univ Calif Santa Barbara, Mat Dept, Santa Barbara, CA 93106 USA; [Chau, Allison L.; Tang, Yongkui; Eisenbach, Claus D.; Hawker, Craig J.; Valentine, Megan T.; Pitenis, Angela A.] Univ Calif Santa Barbara, Mat Res Lab, Santa Barbara, CA 93106 USA; [Pugsley, Conor D.; Miyamoto, Madeleine E.; Hawker, Craig J.] Univ Calif Santa Barbara, Dept Chem &amp; Biochem, Santa Barbara, CA USA; [Tang, Yongkui; Valentine, Megan T.] Univ Calif Santa Barbara, Dept Mech Engn, Santa Barbara, CA 93106 USA; [Eisenbach, Claus D.] Univ Stuttgart, Inst Polymer Chem, D-70569 Stuttgart, Germany</t>
  </si>
  <si>
    <t>University of California System; University of California Santa Barbara; University of California System; University of California Santa Barbara; University of California System; University of California Santa Barbara; University of California System; University of California Santa Barbara; University of Stuttgart</t>
  </si>
  <si>
    <t>Pitenis, AA (corresponding author), Univ Calif Santa Barbara, Mat Dept, Santa Barbara, CA 93106 USA.;Pitenis, AA (corresponding author), Univ Calif Santa Barbara, Mat Res Lab, Santa Barbara, CA 93106 USA.</t>
  </si>
  <si>
    <t>apitenis@ucsb.edu</t>
  </si>
  <si>
    <t>National Science Foundation (NSF) Materials Research Science and Engineering Center (MRSEC) at UC Santa Barbara [DMR-2308708]; University of California, Santa Barbara; University of California, Office of the President; NSF Graduate Research Fellowship [1650114]; NSF CAREER award [CMMI-CAREER-2048043]; NSF [DMR-2004937]; BioPACIFIC Materials Innovation Platform of the National Science Foundation [DMR-1933487]</t>
  </si>
  <si>
    <t>National Science Foundation (NSF) Materials Research Science and Engineering Center (MRSEC) at UC Santa Barbara(National Science Foundation (NSF)NSF - Directorate for Mathematical &amp; Physical Sciences (MPS)); University of California, Santa Barbara(University of California System); University of California, Office of the President(University of California System); NSF Graduate Research Fellowship(National Science Foundation (NSF)); NSF CAREER award(National Science Foundation (NSF)NSF - Office of the Director (OD)); NSF(National Science Foundation (NSF)); BioPACIFIC Materials Innovation Platform of the National Science Foundation</t>
  </si>
  <si>
    <t>This work was supported by the National Science Foundation (NSF) Materials Research Science and Engineering Center (MRSEC) at UC Santa Barbara through DMR-2308708 (IRG-2). Use of the shared facilities of the MRSEC is gratefully acknowledged. The UC Santa Barbara MRSEC is a member of the Materials Research Facili-ties Network (https://www.mrfn.org/). The confocal Raman microscope was provided by the Quantum Structures Facility within the California NanoSystems Institute, supported by the University of California, Santa Barbara and the University of California, Office of the President. ALC acknowledges support from the NSF Graduate Research Fellowship Program under Grant No. 1650114. AAP acknowledges funding support from the NSF CAREER award (CMMI-CAREER-2048043). MTV acknowledges funding support from the NSF (DMR-2004937). This work was partially supported by the BioPACIFIC Materials Innovation Platform of the National Science Foundation under Award No. DMR-1933487.</t>
  </si>
  <si>
    <t>SPRINGER/PLENUM PUBLISHERS</t>
  </si>
  <si>
    <t>233 SPRING ST, NEW YORK, NY 10013 USA</t>
  </si>
  <si>
    <t>1023-8883</t>
  </si>
  <si>
    <t>1573-2711</t>
  </si>
  <si>
    <t>TRIBOL LETT</t>
  </si>
  <si>
    <t>Tribol. Lett.</t>
  </si>
  <si>
    <t>10.1007/s11249-023-01779-4</t>
  </si>
  <si>
    <t>Engineering, Chemical; Engineering, Mechanical</t>
  </si>
  <si>
    <t>Engineering</t>
  </si>
  <si>
    <t>Q4ZV9</t>
  </si>
  <si>
    <t>WOS:001057628300001</t>
  </si>
  <si>
    <t>Chen, G; Wang, YQ; Jian, LY; Zhou, Y; Liu, SM</t>
  </si>
  <si>
    <t>Chen, Geng; Wang, Yuqi; Jian, Liya; Zhou, Yi; Liu, Shiming</t>
  </si>
  <si>
    <t>Quantum identity authentication based on the extension of quantum rotation</t>
  </si>
  <si>
    <t>EPJ QUANTUM TECHNOLOGY</t>
  </si>
  <si>
    <t>Quantum identity authentication; Qubit rotation; High-dimensional quantum state</t>
  </si>
  <si>
    <t>PING-PONG TECHNIQUE; STATE</t>
  </si>
  <si>
    <t>In this work, we propose a bit-oriented QIA protocol based on special properties of quantum rotation and the public key cryptographic framework. The proposed protocol exhibited good resistance to both forward search and measure-resend attacks, whereby its security performance was directly related to the length of the authentication code. From our analysis, it was demonstrated that the protocol has good performance, in terms of quantum bit efficiency. In addition, the protocol is well-expandable. The developed protocol is resource-efficient and can be also applied in quantum computing networks.</t>
  </si>
  <si>
    <t>[Chen, Geng; Wang, Yuqi; Jian, Liya; Zhou, Yi; Liu, Shiming] Minnan Normal Univ, Sch Comp, Xianqianzhi St, Zhangzhou 363000, Fujian, Peoples R China; [Chen, Geng; Wang, Yuqi; Jian, Liya; Zhou, Yi; Liu, Shiming] Fujian Prov Univ, Key Lab Data Sci &amp; Intelligence Applicat, Xianqianzhi St, Zhangzhou 363000, Fujian, Peoples R China</t>
  </si>
  <si>
    <t>MinNan Normal University; Fuzhou University</t>
  </si>
  <si>
    <t>Wang, YQ (corresponding author), Minnan Normal Univ, Sch Comp, Xianqianzhi St, Zhangzhou 363000, Fujian, Peoples R China.;Wang, YQ (corresponding author), Fujian Prov Univ, Key Lab Data Sci &amp; Intelligence Applicat, Xianqianzhi St, Zhangzhou 363000, Fujian, Peoples R China.</t>
  </si>
  <si>
    <t>paiter_w@126.com</t>
  </si>
  <si>
    <t>Natural Science Foundation of Fujian Province, China [2020J01812]</t>
  </si>
  <si>
    <t>Natural Science Foundation of Fujian Province, China(Natural Science Foundation of Fujian Province)</t>
  </si>
  <si>
    <t>AcknowledgementsWe acknowledge the financial supports from the Natural Science Foundation of Fujian Province, China (Grant No. 2020J01812).</t>
  </si>
  <si>
    <t>2662-4400</t>
  </si>
  <si>
    <t>2196-0763</t>
  </si>
  <si>
    <t>EPJ QUANTUM TECHNOL</t>
  </si>
  <si>
    <t>EPJ Quantum Technol.</t>
  </si>
  <si>
    <t>10.1140/epjqt/s40507-023-00170-5</t>
  </si>
  <si>
    <t>Quantum Science &amp; Technology; Optics; Physics, Atomic, Molecular &amp; Chemical</t>
  </si>
  <si>
    <t>Physics; Optics</t>
  </si>
  <si>
    <t>E2UM3</t>
  </si>
  <si>
    <t>gold</t>
  </si>
  <si>
    <t>WOS:000974148300001</t>
  </si>
  <si>
    <t>Cherrat, E; Kerenidis, I; Prakash, A</t>
  </si>
  <si>
    <t>Cherrat, El Amine; Kerenidis, Iordanis; Prakash, Anupam</t>
  </si>
  <si>
    <t>Quantum reinforcement learning via policy iteration</t>
  </si>
  <si>
    <t>QUANTUM MACHINE INTELLIGENCE</t>
  </si>
  <si>
    <t>Quantum computing; Quantum machine learning; Reinforcement learning; Policy iteration</t>
  </si>
  <si>
    <t>Quantum computing has shown the potential to substantially speed up machine learning applications, in particular for supervised and unsupervised learning. Reinforcement learning, on the other hand, has become essential for solving many decision-making problems and policy iteration methods remain the foundation of such approaches. In this paper, we provide a general framework for performing quantum reinforcement learning via policy iteration. We validate our framework by designing and analyzing quantum policy evaluation methods for infinite-horizon discounted problems by building quantum states that approximately encode the value function of a policy, and quantum policy improvement methods by post-processing measurement outcomes on these quantum states. Last, we study the theoretical and experimental performance of our quantum algorithms on two environments from OpenAI's Gym.</t>
  </si>
  <si>
    <t>[Cherrat, El Amine; Kerenidis, Iordanis; Prakash, Anupam] Univ Paris, CNRS, IRIF, F-75006 Paris, France</t>
  </si>
  <si>
    <t>Centre National de la Recherche Scientifique (CNRS); UDICE-French Research Universities; Universite Paris Cite</t>
  </si>
  <si>
    <t>Cherrat, E (corresponding author), Univ Paris, CNRS, IRIF, F-75006 Paris, France.</t>
  </si>
  <si>
    <t>cherrat@irif.fr; jkeren@irif.fr; anupam.prakash@qcware.com</t>
  </si>
  <si>
    <t>French ANR (Project QUDATA); QuantERA ERA-NET Cofund (Project QOPT); EuroHPC (Project HPCQS); EPIQ [ANR-22-PETQ-0007]; HQI (France Hybrid HPC Quantum Initiative)</t>
  </si>
  <si>
    <t>French ANR (Project QUDATA)(Agence Nationale de la Recherche (ANR)); QuantERA ERA-NET Cofund (Project QOPT); EuroHPC (Project HPCQS); EPIQ; HQI (France Hybrid HPC Quantum Initiative)</t>
  </si>
  <si>
    <t>This work has been supported by the following grants:- French ANR (Project QUDATA)- QuantERA ERA-NET Cofund (Project QOPT)- EuroHPC (Project HPCQS)- EPIQ (ANR-22-PETQ-0007)- HQI (France Hybrid HPC Quantum Initiative)</t>
  </si>
  <si>
    <t>SPRINGERNATURE</t>
  </si>
  <si>
    <t>CAMPUS, 4 CRINAN ST, LONDON, N1 9XW, ENGLAND</t>
  </si>
  <si>
    <t>2524-4906</t>
  </si>
  <si>
    <t>2524-4914</t>
  </si>
  <si>
    <t>QUANT MACH INTELL</t>
  </si>
  <si>
    <t>Quant. Mach. Intell.</t>
  </si>
  <si>
    <t>10.1007/s42484-023-00116-1</t>
  </si>
  <si>
    <t>Computer Science, Artificial Intelligence; Quantum Science &amp; Technology</t>
  </si>
  <si>
    <t>Computer Science; Physics</t>
  </si>
  <si>
    <t>M7PW4</t>
  </si>
  <si>
    <t>Green Submitted</t>
  </si>
  <si>
    <t>WOS:001032110600001</t>
  </si>
  <si>
    <t>Choi, JH; Kim, I</t>
  </si>
  <si>
    <t>Choi, Jae-Hwan; Kim, Ildoo</t>
  </si>
  <si>
    <t>A weighted L-p-regularity theory for parabolic partial differential equations with time-measurable pseudo-differential operators</t>
  </si>
  <si>
    <t>Pseudo-differential operator; Muckenhoupt weight; Cauchy problem</t>
  </si>
  <si>
    <t>MAXIMAL REGULARITY; INTEGRODIFFERENTIAL EQUATIONS; CAUCHY-PROBLEM; DRIVEN; SPACES</t>
  </si>
  <si>
    <t>We obtain the existence, uniqueness, and regularity estimates of the following Cauchy problem {partial derivative(t)u(t, x) = psi(t, -i del)u(t, x) + f (t, x), (t, x) is an element of(0, T) x R-d, u(0, x) = 0, x is an element of R-d, (0.1) in (Muckenhoupt) weighted L-p-spaces with time-measurable pseudo-differential operators psi(t,-i del)u(t, x) := F-1 [psi(t, center dot)F[u](t, center dot)] (x). (0.2) More precisely, we find sufficient conditions of the symbol psi(t, xi) (especially depending on the smoothness of the symbol with respect to xi) to guarantee that equation (0.1) is well-posed in (Muckenhoupt) weighted L-p-spaces. Here the symbol psi(t, xi) is merely measurable with respect to t, and the sufficient smoothness of psi(t, xi) with respect to xi is characterized by a property of each weight. In particular, we prove the existence of a positive constant N such that for any solution u to equation (0.1), integral(T)(0) integral(Rd) vertical bar(-Delta)(gamma/2)u(t, x)vertical bar(p)(t(2) + vertical bar x vertical bar(2))(alpha/2)dxdt (0.3) &lt;= N integral(T)(0) integral(Rd) vertical bar f(t, x)vertical bar(p)(t(2) + vertical bar x vertical bar(2))(alpha/2)dxdt and integral(T)(0) (integral(Rd) vertical bar(-Delta)(gamma/2)u(t, x)vertical bar(p)vertical bar x vertical bar)(alpha/2)dx)(q/p) t(alpha 1)dt (0.4) &lt;= N integral(T)(0) (integral(Rd) vertical bar f(t, x)vertical bar(p)vertical bar x vertical bar(alpha/2)dx)(q/p) t(alpha 1)dt, where p, q is an element of(1, infinity), -d - 1 &lt; alpha &lt; (d + 1)(p - 1), -1 &lt; alpha(1) &lt; q - 1, -d &lt; alpha(2) &lt; d(p - 1), and gamma is the order of the operator psi(t, -i del).</t>
  </si>
  <si>
    <t>[Choi, Jae-Hwan] Korea Adv Inst Sci &amp; Technol, Dept Math Sci, 291 Daehak Ro, Daejeon 34141, South Korea; [Kim, Ildoo] Korea Univ, Dept Math, 145 Anam Ro, Seoul 02841, South Korea</t>
  </si>
  <si>
    <t>Korea Advanced Institute of Science &amp; Technology (KAIST); Korea University</t>
  </si>
  <si>
    <t>Kim, I (corresponding author), Korea Univ, Dept Math, 145 Anam Ro, Seoul 02841, South Korea.</t>
  </si>
  <si>
    <t>jaehwanchoi@kaist.ac.kr; waldoo@korea.ac.kr</t>
  </si>
  <si>
    <t>National Research Foundation of Korea(NRF) - Korea government(MSIT) [2020R1A2C1A01003959]</t>
  </si>
  <si>
    <t>National Research Foundation of Korea(NRF) - Korea government(MSIT)(National Research Foundation of KoreaMinistry of Science, ICT &amp; Future Planning, Republic of KoreaMinistry of Science &amp; ICT (MSIT), Republic of Korea)</t>
  </si>
  <si>
    <t>The authors were supported by the National Research Foundation of Korea(NRF) grant funded by the Korea government(MSIT) (No.2020R1A2C1A01003959).</t>
  </si>
  <si>
    <t>10.1007/s11868-023-00550-6</t>
  </si>
  <si>
    <t>P8LT4</t>
  </si>
  <si>
    <t>WOS:001053137700002</t>
  </si>
  <si>
    <t>Chow, CWK; Rameezdeen, R; Chen, GY; Xu, HL; Rahman, MM; Ma, X; Yan, ZG; Gorjian, N; Gao, J</t>
  </si>
  <si>
    <t>Chow, Christopher W. K.; Rameezdeen, Raufdeen; Chen, George Y. Y.; Xu, Haolan; Rahman, Md Mizanur; Ma, Xing; Yan, Zhuge; Gorjian, Nima; Gao, Jing</t>
  </si>
  <si>
    <t>Real-Time Humidity Monitoring Using Distributed Optical Sensor for Water Asset Condition Assessment</t>
  </si>
  <si>
    <t>WATER CONSERVATION SCIENCE AND ENGINEERING</t>
  </si>
  <si>
    <t>Real-time monitoring; Distributed optical fibre sensor; Asset condition assessment; Concrete infrastructure; Soil moisture</t>
  </si>
  <si>
    <t>RELATIVE-HUMIDITY; FIBER</t>
  </si>
  <si>
    <t>It is well accepted that moisture ingress in concrete reduces durability and life span of water assets. Condition assessment is an important tool to inform decision for maintenance, retrofit or replacement. However, the most significant challenge is to obtain accurate condition information, particularly when the inspection points are physically difficult to access or inaccessible. Therefore, a reliable and cost-effective monitoring (sensor) system, preferably real-time with ability to streaming online, would be a useful management tool, particularly for water utilities. This paper describes an approach to develop a distributed optical fibre humidly sensor for condition assessment and environmental monitoring both inside and outside of infrastructures, such as inside the concrete and surrounding soil. A new polyelectrolyte multilayer (PEM) coating with higher sensitive was evaluated for relative humidity measurement in soil and concrete, respectively. In this study, two simulated conditions, in concrete and soil, were conducted to evaluate the sensing concept with the development of appropriate measuring methodologies including fibre installation and protection. The optical fibre sensor setup in laboratory environment showed that optical sensor can detect and indicate voltage change with the variation of moisture contents in both soil and concrete. The test results indicate a good correlation between high levels of relative humidity/moisture and transmitted optical power. A simple relative humidity (RH) calibration can be used to convert signal to RH in percentage for soil and concrete measurements and the procedure used to imbed the fibre in both samples is effective. Nevertheless, the sensor measures soil humidity (not moisture content); therefore, further investigation is required to identify the consequence for the variation of the measured parameter.</t>
  </si>
  <si>
    <t>[Chow, Christopher W. K.; Rameezdeen, Raufdeen; Rahman, Md Mizanur; Ma, Xing; Yan, Zhuge; Gorjian, Nima; Gao, Jing] Univ South Australia, Sustainable Infrastruct &amp; Resource Management SIRM, UniSA STEM, Mawson Lakes, SA 5095, Australia; [Chow, Christopher W. K.; Xu, Haolan; Rahman, Md Mizanur] Univ South Australia, Future Ind Inst, Mawson Lakes, SA, Australia; [Chen, George Y. Y.] Shenzhen Univ, Guangdong &amp; Hong Kong Joint Res Ctr Opt Fibre Sens, Shenzhen 518060, Peoples R China; [Gorjian, Nima] South Australian Water Corp, Adelaide, SA, Australia</t>
  </si>
  <si>
    <t>University of South Australia; University of South Australia; Shenzhen University</t>
  </si>
  <si>
    <t>Chow, CWK (corresponding author), Univ South Australia, Sustainable Infrastruct &amp; Resource Management SIRM, UniSA STEM, Mawson Lakes, SA 5095, Australia.;Chow, CWK (corresponding author), Univ South Australia, Future Ind Inst, Mawson Lakes, SA, Australia.</t>
  </si>
  <si>
    <t>christopher.chow@unisa.edu.au</t>
  </si>
  <si>
    <t>Xu, Haolan/F-1705-2010; Rahman, Mizanur/C-1463-2009; Chow, Christopher W.K./F-4147-2013; Zhuge, Yan/B-1903-2019; Rameezdeen, Raufdeen/F-4614-2013</t>
  </si>
  <si>
    <t>Xu, Haolan/0000-0002-9126-1593; Rahman, Mizanur/0000-0002-0638-4055; Chow, Christopher W.K./0000-0001-5829-8944; Zhuge, Yan/0000-0003-1620-6743; Rameezdeen, Raufdeen/0000-0001-9639-2624; Gao, Jing/0000-0002-2857-5266</t>
  </si>
  <si>
    <t>CAUL; Member Institutions Asset Institute (Australia); University of South Australia (Australia)-Transforming Industry Manufacturing Enabler Grant</t>
  </si>
  <si>
    <t>Open Access funding enabled and organized by CAUL and its Member Institutions Asset Institute (Australia) and University of South Australia (Australia)-Transforming Industry Manufacturing Enabler Grant.Fig. 7 Measurement in concrete disk after calibration: a 65-point moving average was applied to the raw signal</t>
  </si>
  <si>
    <t>2366-3340</t>
  </si>
  <si>
    <t>2364-5687</t>
  </si>
  <si>
    <t>WATER CONSERV SCI EN</t>
  </si>
  <si>
    <t>Water Conserv. Sci. Eng.</t>
  </si>
  <si>
    <t>10.1007/s41101-023-00195-y</t>
  </si>
  <si>
    <t>Green &amp; Sustainable Science &amp; Technology; Engineering, Environmental; Environmental Sciences; Water Resources</t>
  </si>
  <si>
    <t>Science &amp; Technology - Other Topics; Engineering; Environmental Sciences &amp; Ecology; Water Resources</t>
  </si>
  <si>
    <t>I5DY9</t>
  </si>
  <si>
    <t>WOS:001002997000001</t>
  </si>
  <si>
    <t>Christopher, IFF; Karuppiah, A; Thanapalan, VG; Selestin, AV; Suyambu, T</t>
  </si>
  <si>
    <t>Christopher, Infant Francita Fonseka; Karuppiah, Amudhavalli; Thanapalan, Vinoline Golda; Selestin, Arul Vathana; Suyambu, Thangeswari</t>
  </si>
  <si>
    <t>SiO2 Nanomatrix Engendered from Coal Fly Ash Encrusted with NiFe2O4 Nanocomposites for High-Performance Supercapacitor</t>
  </si>
  <si>
    <t>BRAZILIAN JOURNAL OF PHYSICS</t>
  </si>
  <si>
    <t>Fly ash; Spinel ferrites; SiO2-NiFe2O4; Supercapacitors; Energy storage device</t>
  </si>
  <si>
    <t>ELECTRODE MATERIAL; NANOPARTICLES; SILICA</t>
  </si>
  <si>
    <t>The present study focuses on the advancement of novel electrode materials for supercapacitors by dispersing SiO2 nanoma-trix engendered from coal fly ash (Tuticorin Thermal Power Plant) encrusting with spinel metal ferrites (NiFe2O4 (1:1)) to form SiO2-NiFe2O4 nanocomposites with excellent electrochemical performance. Changes in the morphology of NiFe2O4 and SiO2-NiFe2O4 can appreciably increase the specific capacitance of the energy storage device (supercapacitor). Typically, a morphology with a high surface area is essential for a supercapacitor. In this study, spherical-shaped NiFe2O4 and SiO2-NiFe2O4 nanocomposites were successfully fabricated using a facile, low-cost, self-template route, and the follow-ing characterization was performed. X-ray diffractometer (XRD), Fourier-transform infrared spectrographs (FTIR), field emission scanning electron micrographs (FESEM), and diffuse reflectance spectroscopy analyses (DRS) are used to assess the physicochemical properties of SiO2-NiFe2O4 nanostructures. Galvanostatic charge-discharge (GCD) and voltametric techniques (CV) were used to analyze their electrochemical behavior. The fabricated electrodes NiFe2O4 and SiO2-NiFe2O4 exhibited pseudocapacitive behavior due to their Faradic redox properties within the potential range from 0.0 to 0.6 V and obtained a high specific capacitance of 619 F g(-1) for NiFe2O4 and 974 F g(-1) for SiO2-NiFe2O4 at an applied scan rate of 10 mVs(-1) from CV curve. Similarly, in GCD at a current density of 1 A g(-1), the specific capacitance of NiFe2O4 and SiO2-NiFe2O4 was 480 F g(-1) and 808 F g(-1), respectively, with retention of 95% and 98% of capacitance even after 1000 cycles at 20 mA cm(-2) and with the coulombic efficiency of 87.8% for NiFe2O4 and 98.4% for SiO2-NiFe2O4. Due to the high surface area of the SiO2-NiFe2O4 electrode and the prompt diffusion process, the electrochemical implementation of the electrode has enhanced redox reactions.</t>
  </si>
  <si>
    <t>[Christopher, Infant Francita Fonseka; Karuppiah, Amudhavalli; Thanapalan, Vinoline Golda; Selestin, Arul Vathana; Suyambu, Thangeswari] V O Chidambaram Coll, Thoothukudi 628008, Tamil Nadu, India; [Christopher, Infant Francita Fonseka; Karuppiah, Amudhavalli; Thanapalan, Vinoline Golda; Selestin, Arul Vathana; Suyambu, Thangeswari] Manonmaniam Sundaranar Univ, Abishekapatti 627012, Tamil Nadu, India</t>
  </si>
  <si>
    <t>Manonmaniam Sundaranar University</t>
  </si>
  <si>
    <t>Christopher, IFF (corresponding author), V O Chidambaram Coll, Thoothukudi 628008, Tamil Nadu, India.;Christopher, IFF (corresponding author), Manonmaniam Sundaranar Univ, Abishekapatti 627012, Tamil Nadu, India.</t>
  </si>
  <si>
    <t>francitafonseka@gmail.com</t>
  </si>
  <si>
    <t>We are very grateful to the Department of Physics and Chemistry V.O.Chidambaram College, Tuticorin for providing us with the lab facilities to carry out our research work.</t>
  </si>
  <si>
    <t>0103-9733</t>
  </si>
  <si>
    <t>1678-4448</t>
  </si>
  <si>
    <t>BRAZ J PHYS</t>
  </si>
  <si>
    <t>Braz. J. Phys.</t>
  </si>
  <si>
    <t>10.1007/s13538-023-01362-1</t>
  </si>
  <si>
    <t>Physics, Multidisciplinary</t>
  </si>
  <si>
    <t>Physics</t>
  </si>
  <si>
    <t>S1TQ4</t>
  </si>
  <si>
    <t>WOS:001069069700001</t>
  </si>
  <si>
    <t>Chrysostomidis, T; Roumpos, I; Outerelo, DA; Troncoso-Costas, M; Moskalenko, V; Garcia-Escartin, JC; Diaz-Otero, FJ; Vyrsokinos, K</t>
  </si>
  <si>
    <t>Chrysostomidis, Themistoklis; Roumpos, Ioannis; Outerelo, David Alvarez; Troncoso-Costas, Marcos; Moskalenko, Valentina; Garcia-Escartin, Juan Carlos; Diaz-Otero, Francisco J. J.; Vyrsokinos, Konstantinos</t>
  </si>
  <si>
    <t>Long term experimental verification of a single chip quantum random number generator fabricated on the InP platform</t>
  </si>
  <si>
    <t>Quantum random number generator; InP platform; Integrated optics; Integrated quantum devices</t>
  </si>
  <si>
    <t>This work presents the results from the experimental evaluation of a quantum random number generator circuit over a period of 300 minutes based on a single chip fabricated on the InP platform. The circuit layout contains a gain switched laser diode (LD), followed by a balanced Mach Zehnder Interferometer for proper light power distribution to the two arms of an unbalanced MZI incorporating a 65.4 mm long spiral waveguide that translates the random phase fluctuations to power variations. The LD was gain-switched at 1.3 GHz and the chip delivered a min-entropy of 0.5875 per bit after removal of the classical noise, resulting a total aggregate bit rate of 6.11 Gbps. The recoded data set successfully passed the 15-battery test NIST statistical test suite for all data sets.</t>
  </si>
  <si>
    <t>[Chrysostomidis, Themistoklis; Roumpos, Ioannis; Vyrsokinos, Konstantinos] Aristotle Univ Thessaloniki, Sch Phys, Thessaloniki 54124, Greece; [Outerelo, David Alvarez; Diaz-Otero, Francisco J. J.] Univ Vigo, atlanTT Res Ctr, El Telecommun, Campus Univ SN, Vigo 36310, Spain; [Troncoso-Costas, Marcos] Dublin City Univ, Sch Elect Engn, Dublin, Ireland; [Moskalenko, Valentina] Keysight Technol, Santa Clara, CA USA; [Garcia-Escartin, Juan Carlos] Univ Valladolid, Dept Teoria Senal &amp; Comunicac Ingn Telematica, Campus Miguel Delibes,Paseo Belen 15, Valladolid 47011, Spain</t>
  </si>
  <si>
    <t>Aristotle University of Thessaloniki; Universidade de Vigo; Dublin City University; Keysight Technologies; Universidad de Valladolid</t>
  </si>
  <si>
    <t>Chrysostomidis, T (corresponding author), Aristotle Univ Thessaloniki, Sch Phys, Thessaloniki 54124, Greece.</t>
  </si>
  <si>
    <t>tchrysos@auth.gr</t>
  </si>
  <si>
    <t>Moskalenko, Valentina/AAC-4244-2020; Alvarez outerelo, David/ITT-5409-2023; Garcia-Escartin, Juan Carlos/G-6139-2010</t>
  </si>
  <si>
    <t>Moskalenko, Valentina/0000-0001-5257-3167; Alvarez outerelo, David/0000-0001-8475-0228; Chrysostomidis, Themistoklis/0000-0002-7233-6756; Garcia-Escartin, Juan Carlos/0000-0002-9813-5004</t>
  </si>
  <si>
    <t>EU [871658]; Ministerio de Ciencia e Innovacion [PID2020-119418GB-I00]; Regional Government of Castilla y Leon (Junta de Castilla y Leon); EU-FEDER [CL-EI-2021-07, UIC 105]</t>
  </si>
  <si>
    <t>EU(European Union (EU)); Ministerio de Ciencia e Innovacion(Instituto de Salud Carlos IIISpanish Government); Regional Government of Castilla y Leon (Junta de Castilla y Leon); EU-FEDER(European Union (EU))</t>
  </si>
  <si>
    <t>AcknowledgementsThis work was supported by EU H2020 projects NEBULA (Contract Number 871658). We would also like to acknowledge Mr. Panagiotis Triantafullou for the custom mechanical items of the experimental setup. J.C. Garcia-Escartin has been funded by Ministerio de Ciencia e Innovacion grant number PID2020-119418GB-I00 and by the Regional Government of Castilla y Leon (Junta de Castilla y Leon) and the EU-FEDER (CL-EI-2021-07, UIC 105).</t>
  </si>
  <si>
    <t>10.1140/epjqt/s40507-023-00162-5</t>
  </si>
  <si>
    <t>8X2IA</t>
  </si>
  <si>
    <t>Green Accepted, Green Published, gold</t>
  </si>
  <si>
    <t>WOS:000931839700001</t>
  </si>
  <si>
    <t>den Hartigh, E; Stolwijk, CCM; Ortt, JR; Punter, LM</t>
  </si>
  <si>
    <t>den Hartigh, Erik; Stolwijk, Claire C. M.; Ortt, J. Roland; Punter, L. Matthijs</t>
  </si>
  <si>
    <t>Configurations of digital platforms for manufacturing: An analysis of seven cases according to platform functions and types</t>
  </si>
  <si>
    <t>ELECTRONIC MARKETS</t>
  </si>
  <si>
    <t>Digital platforms; Platforms; Platform innovation; Manufacturing; Digitalization</t>
  </si>
  <si>
    <t>BUSINESS; INFRASTRUCTURES; INNOVATION; FUTURE; MARKET</t>
  </si>
  <si>
    <t>We analyze organizational configurations of digital platforms for manufacturing according to two dimensions: platform functions and platform types. Platform functions refer to the organizational functions of platforms: manufacturing, data sharing, market making, and innovation. Platform types refer to a typology of how platforms are organized: as internal, supply chain, or industry type. We combine those dimensions into a framework and use that to analyze seven cases of digital platforms from the manufacturing sector. Our research answers calls for conceptual clarity and scoping of the digital platform concept and mends relative lack of attention toward digital platforms for the manufacturing sector. We find that digital platforms for manufacturing come in different, partly unexpected, configurations: (1) not all functions are necessarily organizationally part of the platform, (2) not all functions are necessarily organized according to the same platform type, but (3) also not all random configurations of platform types and functions seem to be possible. This complexity highlights the importance of the innovation function for exploring effective configurations of digital platforms for manufacturing.</t>
  </si>
  <si>
    <t>[den Hartigh, Erik] Ozyegin Univ, Fac Business, Orman Sokak 34-36, TR-34794 Istanbul, Turkiye; [Stolwijk, Claire C. M.] TNO, Strateg Anal &amp; Policy, Amsterdam, Netherlands; [Ortt, J. Roland] Delft Univ Technol, Fac Technol Policy &amp; Management, Dept Values Technol &amp; Innovat, Delft, Netherlands; [Punter, L. Matthijs] TNO, Data Ecosyst, Amsterdam, Netherlands</t>
  </si>
  <si>
    <t>Ozyegin University; Netherlands Organization Applied Science Research; Delft University of Technology; Netherlands Organization Applied Science Research</t>
  </si>
  <si>
    <t>den Hartigh, E (corresponding author), Ozyegin Univ, Fac Business, Orman Sokak 34-36, TR-34794 Istanbul, Turkiye.</t>
  </si>
  <si>
    <t>erik.denhartigh@ozyegin.edu.tr</t>
  </si>
  <si>
    <t>1019-6781</t>
  </si>
  <si>
    <t>1422-8890</t>
  </si>
  <si>
    <t>ELECTRON MARK</t>
  </si>
  <si>
    <t>Electron. Mark.</t>
  </si>
  <si>
    <t>10.1007/s12525-023-00653-4</t>
  </si>
  <si>
    <t>Business; Management</t>
  </si>
  <si>
    <t>Social Science Citation Index (SSCI)</t>
  </si>
  <si>
    <t>Business &amp; Economics</t>
  </si>
  <si>
    <t>K5MN2</t>
  </si>
  <si>
    <t>Green Published</t>
  </si>
  <si>
    <t>WOS:001016879800001</t>
  </si>
  <si>
    <t>Deng, XY; Liu, XM; Zhang, Y; Ke, D; Yan, R; Wang, Q; Tian, XP; Li, MT; Zeng, XF; Hu, CJ</t>
  </si>
  <si>
    <t>Deng, Xiaoyue; Liu, Xiaomin; Zhang, Yan; Ke, Dan; Yan, Rui; Wang, Qian; Tian, Xinping; Li, Mengtao; Zeng, Xiaofeng; Hu, Chaojun</t>
  </si>
  <si>
    <t>Changes of serum IgG glycosylation patterns in rheumatoid arthritis</t>
  </si>
  <si>
    <t>CLINICAL PROTEOMICS</t>
  </si>
  <si>
    <t>RA; ILD; Immunoglobulin G; Lectin microarray; Glycosylation</t>
  </si>
  <si>
    <t>ABERRANT GLYCOSYLATION; ALTERED GLYCOSYLATION; LECTIN MICROARRAYS; EFFECTOR FUNCTIONS; IMMUNOGLOBULIN-G; BIOMARKER; TECHNOLOGY; GLYCOMICS</t>
  </si>
  <si>
    <t>BackgroundRA is a common chronic and systemic autoimmune disease, and the diagnosis is based significantly on autoantibody detection. This study aims to investigate the glycosylation profile of serum IgG in RA patients using high-throughput lectin microarray technology.MethodLectin microarray containing 56 lectins was applied to detect and analyze the expression profile of serum IgG glycosylation in 214 RA patients, 150 disease controls (DC), and 100 healthy controls (HC). Significant differential glycan profiles between the groups of RA and DC/HC as well as RA subgroups were explored and verified by lectin blot technique. The prediction models were created to evaluate the feasibility of those candidate biomarkers.ResultsAs a comprehensive analysis of lectin microarray and lectin blot, results showed that compare with HC or DC groups, serum IgG from RA patients had a higher affinity to the SBA lectin (recognizing glycan GalNAc). For RA subgroups, RA-seropositive group had higher affinities to the lectins of MNA-M (recognizing glycan mannose) and AAL (recognizing glycan fucose), and RA-ILD group had higher affinities to the lectins of ConA (recognizing glycan mannose) and MNA-M while a lower affinity to the PHA-E (recognizing glycan Gal beta 4GlcNAc) lectin. The predicted models indicated corresponding feasibility of those biomarkers.ConclusionLectin microarray is an effective and reliable technique for analyzing multiple lectin-glycan interactions. RA, RA-seropositive, and RA-ILD patients exhibit distinct glycan profiles, respectively. Altered levels of glycosylation may be related to the pathogenesis of the disease, which could provide a direction for new biomarkers identification.</t>
  </si>
  <si>
    <t>[Deng, Xiaoyue; Wang, Qian; Tian, Xinping; Li, Mengtao; Zeng, Xiaofeng; Hu, Chaojun] Chinese Acad Med Sci, Peking Union Med Coll Hosp, Peking Union Med Coll, Dept Rheumatol &amp; Clin Immunol, Beijing 100730, Peoples R China; [Deng, Xiaoyue; Wang, Qian; Tian, Xinping; Li, Mengtao; Zeng, Xiaofeng; Hu, Chaojun] Minist Sci &amp; Technol, Natl Clin Res Ctr Dermatol &amp; Immunol Dis, Beijing 100730, Peoples R China; [Deng, Xiaoyue; Wang, Qian; Tian, Xinping; Li, Mengtao; Zeng, Xiaofeng; Hu, Chaojun] Minist Educ, Key Lab Rheumatol &amp; Clin Immunol, Beijing 100730, Peoples R China; [Deng, Xiaoyue] Peking Union Med Coll &amp; Chinese Acad Med Sci, Peking Union Med Coll Hosp, Med Sci Res Ctr MRC, Beijing 100730, Peoples R China; [Liu, Xiaomin; Zhang, Yan; Ke, Dan; Yan, Rui] Shunyi Dist Hosp, Dept Rheumatol, Beijing 101300, Peoples R China</t>
  </si>
  <si>
    <t>Chinese Academy of Medical Sciences - Peking Union Medical College; Peking Union Medical College; Peking Union Medical College Hospital; Chinese Academy of Medical Sciences - Peking Union Medical College; Peking Union Medical College; Peking Union Medical College Hospital</t>
  </si>
  <si>
    <t>Zeng, XF; Hu, CJ (corresponding author), Chinese Acad Med Sci, Peking Union Med Coll Hosp, Peking Union Med Coll, Dept Rheumatol &amp; Clin Immunol, Beijing 100730, Peoples R China.;Zeng, XF; Hu, CJ (corresponding author), Minist Sci &amp; Technol, Natl Clin Res Ctr Dermatol &amp; Immunol Dis, Beijing 100730, Peoples R China.;Zeng, XF; Hu, CJ (corresponding author), Minist Educ, Key Lab Rheumatol &amp; Clin Immunol, Beijing 100730, Peoples R China.</t>
  </si>
  <si>
    <t>zengxfpumc@163.com; huchaojun818@qq.com</t>
  </si>
  <si>
    <t>Deng, Xiaoyue/IAR-8319-2023; xiaoyue, deng/HGD-2972-2022</t>
  </si>
  <si>
    <t>xiaoyue, deng/0000-0002-0323-5070</t>
  </si>
  <si>
    <t>BMC</t>
  </si>
  <si>
    <t>CAMPUS, 4 CRINAN ST, LONDON N1 9XW, ENGLAND</t>
  </si>
  <si>
    <t>1542-6416</t>
  </si>
  <si>
    <t>1559-0275</t>
  </si>
  <si>
    <t>CLIN PROTEOM</t>
  </si>
  <si>
    <t>Clin. Proteom.</t>
  </si>
  <si>
    <t>10.1186/s12014-023-09395-z</t>
  </si>
  <si>
    <t>Biochemical Research Methods</t>
  </si>
  <si>
    <t>Biochemistry &amp; Molecular Biology</t>
  </si>
  <si>
    <t>9B9GW</t>
  </si>
  <si>
    <t>gold, Green Published, Green Submitted</t>
  </si>
  <si>
    <t>WOS:000935039400001</t>
  </si>
  <si>
    <t>Dhingra, V; Gupta, SK; Sharma, A</t>
  </si>
  <si>
    <t>Dhingra, Vrinda; Gupta, Shiv Kumar; Sharma, Amita</t>
  </si>
  <si>
    <t>Norm constrained minimum variance portfolios with short selling</t>
  </si>
  <si>
    <t>Minimum variance portfolio model; Norm constraints; Short selling; Short-rebate; Risk-free interest rate; Budget constraint</t>
  </si>
  <si>
    <t>INSTITUTIONAL PROCEDURES; EFFICIENT PORTFOLIOS; OPTIMIZATION; SELECTION; RISK; SENSITIVITY; PERFORMANCE; MARKET</t>
  </si>
  <si>
    <t>Short selling is a wealth-building trading procedure which, when included in the portfolio construction, not only helps increase the return on investment but also reduces the investor's overall exposure to the market risk. In this study, we incorporate it in the minimum variance model by analyzing several constraints that aptly consider the different practical settings of a short sale transaction. We propose to utilize the short-rebate gain by maximizing this additional interest due to short sales in the objective function. In constraints, we impose the bounds on 1- and 2-norm that respectively generate sparse and diversified portfolios. Along with the norm constraints, we also bound the budget constraint to homogenize the allocations in long and short and avoid the dominance of one strategy over the other. We present empirical results highlighting the effect of the specific choice of constraints and, thereafter, conduct a comparative analysis of our proposed models vis-a-vis several related models from literature across eight global data sets using the rolling window scheme. We observe that our proposed models outperform the others in terms of several performance measures. In particular, the 1-norm constrained model generates statistically significant portfolios as compared to other related models in terms of variance and Sharpe ratio. Additionally, the threshold parameter of the 1-norm constraint provides the flexibility to tune the short sale budget, proving more favorable for a short sale scenario.</t>
  </si>
  <si>
    <t>[Dhingra, Vrinda; Gupta, Shiv Kumar] Indian Inst Technol, Dept Math, Roorkee 247667, Uttarakhand, India; [Sharma, Amita] Netaji Subhas Univ Technol, Dept Math, New Delhi 110078, India</t>
  </si>
  <si>
    <t>Indian Institute of Technology System (IIT System); Indian Institute of Technology (IIT) - Roorkee; Netaji Subhas University of Technology</t>
  </si>
  <si>
    <t>Gupta, SK (corresponding author), Indian Inst Technol, Dept Math, Roorkee 247667, Uttarakhand, India.</t>
  </si>
  <si>
    <t>vdmath.iitr@gmail.com; s.gupta@ma.iitr.ac.in; amita.sharma@nsut.ac.in</t>
  </si>
  <si>
    <t>GUPTA, SHIV KUMAR/AAP-2337-2020</t>
  </si>
  <si>
    <t>GUPTA, SHIV KUMAR/0000-0002-8512-6395</t>
  </si>
  <si>
    <t>Ministry of Human Resource and Development (MHRD), New Delhi, India</t>
  </si>
  <si>
    <t>The authors sincerely thank the Associate Editor and the anonymous reviewers for their valuable comments and suggestions, which have considerably improved the presentation and quality of the paper. The authors acknowledge the support of the Department of Management Studies, IIT Roorkee, India, for providing access to the Bloomberg Database to collect data. The first author would also like to thank the Ministry of Human Resource and Development (MHRD), New Delhi, India, for financial support.</t>
  </si>
  <si>
    <t>10.1007/s10287-023-00438-2</t>
  </si>
  <si>
    <t>9C8IT</t>
  </si>
  <si>
    <t>WOS:000935655100001</t>
  </si>
  <si>
    <t>Feng, J; Pathak, V; Byrne, NM; Wang, TC; Yin, CC; Medina, RJ; Coulter, JA</t>
  </si>
  <si>
    <t>Feng, Jie; Pathak, Varun; Byrne, Niall M.; Wang, Tongchuan; Yin, Cancan; Medina, Reinhold J.; Coulter, Jonathan A.</t>
  </si>
  <si>
    <t>Modulating tumour metabolism enhances gold nanoparticle radiosensitisation in HPV-negative head and neck cancer</t>
  </si>
  <si>
    <t>Metabolic radiosensitisation; Atovaquone; Gold nanoparticles; Head and neck cancer</t>
  </si>
  <si>
    <t>SQUAMOUS-CELL CARCINOMA; RADIATION-INDUCED APOPTOSIS; PROSTATE-CANCER; RADIOTHERAPY; HYPOXIA; THERAPY; HYDROXYNAPHTHOQUINONE; CHEMOTHERAPY; SENSITIVITY; MECHANISMS</t>
  </si>
  <si>
    <t>BackgroundRadiotherapy is a major therapeutic modality for locally advanced head and neck cancer. However, the effectiveness of radiotherapy is hindered by resistance mechanisms, most notably hypoxia, leading to unfavourable treatment outcomes. In this study, we investigate the radiosensitising potential of AuNPs in combination with the complex III electron transport chain inhibitor, using models of head and neck cancer.ResultsAuNP intracellular accumulation occurred in a concentration-dependent manner and was not influenced by microenvironmental oxygen levels, with citrate capped 15 nm AuNPs readily internalised, accumulating primarily within the cytoplasmic compartment. Pre-treatment with atovaquone had a profound and rapid impact on oxygen consumption, promoting a glycolytic switch under both normoxic and hypoxic conditions, a finding underlined by the concurrent increase in extracellular acidification. AuNPs alone sensitised FaDu cells to radiation under atmospheric oxygen conditions, producing a sensitiser enhancement ratio (SER) of 1.37. In combination with atovaquone, maximum dose enhancements were achieved yielding a SER value of 1.43 and 2.1 under normoxic and hypoxic conditions, respectively. Studies to elucidate the underlying mechanism of radiosensitisation revealed S-phase accumulation and a significant increase in apoptosis. Additionally, combined treatment significantly increased yields of unrepaired DNA double strand breaks, indicating increased yields of DNA double strand break damage.ConclusionsTaken together, we believe this to be the first work providing evidence that AuNP radiosensitisation can be enhanced via metabolic modulation. This study reveals the dual action of both physical and biological pathways of AuNPs radiosensitisation, resulting in superior radiotherapeutic effects.</t>
  </si>
  <si>
    <t>[Feng, Jie; Byrne, Niall M.; Wang, Tongchuan; Yin, Cancan; Coulter, Jonathan A.] Queens Univ Belfast, Sch Pharm, 97 Lisburn Rd, Belfast BT9 7BL, North Ireland; [Pathak, Varun; Medina, Reinhold J.] Queens Univ Belfast, Wellcome Wolfson Inst Expt Med, Sch Med Dent &amp; Biomed Sci, Belfast, North Ireland</t>
  </si>
  <si>
    <t>Queens University Belfast; Queens University Belfast</t>
  </si>
  <si>
    <t>Coulter, JA (corresponding author), Queens Univ Belfast, Sch Pharm, 97 Lisburn Rd, Belfast BT9 7BL, North Ireland.</t>
  </si>
  <si>
    <t>j.coulter@qub.ac.uk</t>
  </si>
  <si>
    <t>Medina, Reinhold J/A-7949-2015</t>
  </si>
  <si>
    <t>Medina, Reinhold J/0000-0003-4351-7010</t>
  </si>
  <si>
    <t>10.1186/s12645-023-00185-8</t>
  </si>
  <si>
    <t>C9NR0</t>
  </si>
  <si>
    <t>WOS:000965107200001</t>
  </si>
  <si>
    <t>Gatew, Y; Worku, A</t>
  </si>
  <si>
    <t>Gatew, Yohannes; Worku, Abebe</t>
  </si>
  <si>
    <t>Investigation of Pumpkin Seed as a Potential Coagulant for Drinking Water Treatment</t>
  </si>
  <si>
    <t>Natural coagulant; Optimization; Surface response methodology; Surface water; Turbidity removal</t>
  </si>
  <si>
    <t>OPTIMIZATION; REMOVAL; OIL</t>
  </si>
  <si>
    <t>Studies pointed out that using synthetic chemical coagulants for water purification presents health and environmental problems. Because of this, there has been considerable interest in utilizing natural coagulants emerging as potential substitutes for them. Hence, the objective of this study is to investigate and optimize pumpkin seed as a natural coagulant for water treatment. After preparation and characterization of the coagulant under study, the optimal dose of the coagulant, pH, and effect of stirring speed on coagulation for the removal of turbidity were conducted through a series of jar tests. Response surface methodology was also employed to optimize conditions for treating the water sample using the coagulant to remove its turbidity. Analysis of the result showed that optimal conditions for coagulation were pH 9, coagulant doses 1.01 g/L, and mixing speed 135.76 rpm. Under this optimal condition, the achieved efficacy of turbidity reduction was 87.69%. The qualities of the treated water sample obtained using pumpkin seed as coagulant were temperature 22.3 &amp; DEG;C, pH 7.99, turbidity 39.6 NTU, hardness 97.13 mg/L, TDS 110.33 mg/L, TSS 13.46 mg/L, TS 123.79 mg/L, EC 179 &amp; mu;S/cm, BOD 20 mg/L, and COD 26.64 mg/L. Hence, pumpkin seed powder might be presented as a potential natural coagulant to remove turbidity in drinking water treatment process to seek for solutions associated with the problem of synthetic chemical coagulants.</t>
  </si>
  <si>
    <t>[Gatew, Yohannes] Dire Dawa Univ, Sch Text Apparel &amp; Fash Design, Dept Text Engn, Dire Dawa, Ethiopia; [Gatew, Yohannes; Worku, Abebe] Addis Ababa Sci &amp; Technol Univ, Coll Biol &amp; Chem Engn, Dept Environm Engn, Addis Ababa, Ethiopia</t>
  </si>
  <si>
    <t>Addis Ababa University</t>
  </si>
  <si>
    <t>Gatew, Y (corresponding author), Dire Dawa Univ, Sch Text Apparel &amp; Fash Design, Dept Text Engn, Dire Dawa, Ethiopia.;Gatew, Y (corresponding author), Addis Ababa Sci &amp; Technol Univ, Coll Biol &amp; Chem Engn, Dept Environm Engn, Addis Ababa, Ethiopia.</t>
  </si>
  <si>
    <t>yohannes.gatew@ddu.edu.et</t>
  </si>
  <si>
    <t>Addis Ababa Science and Technology University</t>
  </si>
  <si>
    <t>This work was supported by the Addis Ababa Science and Technology University.</t>
  </si>
  <si>
    <t>10.1007/s41101-023-00208-w</t>
  </si>
  <si>
    <t>N4MY7</t>
  </si>
  <si>
    <t>WOS:001036785000001</t>
  </si>
  <si>
    <t>Groger, D</t>
  </si>
  <si>
    <t>Groeger, Detlef</t>
  </si>
  <si>
    <t>A Class of Locally Compact Near-Fields Constructed from p-Adic Division Algebras</t>
  </si>
  <si>
    <t>RESULTS IN MATHEMATICS</t>
  </si>
  <si>
    <t>Locally compact near-fields; division algebras over local fields; p-adic division algebras; finite groups of inner automorphisms</t>
  </si>
  <si>
    <t>We describe the construction of a specific class of disconnected locally compact near-fields. They are so-called Dickson near-fields and derived from p-adic division algebras by means of a special kind of homomorphisms or antihomomorphisms from the multiplicative group into the group of inner automorphisms of the division algebra. So let F be a local field and D be a finite-dimensional central division algebra over F. We presuppose that D/F is tamely ramified. In the first part of this paper we determine all finite subgroups of D*/F*. Based on that, we then determine all homomorphic and antihomomorphic couplings D* ? Inn(D) = D*/F* with finite image. With each of these couplings a locally compact near-field can be constructed from D. Apart from isomorphism, there is only a finite number of them. Compared to a previous publication, we omit the assumption that the image of the couplings is an Abelian group.</t>
  </si>
  <si>
    <t>[Groeger, Detlef] Ostbayer TH Regensburg, Freising Weihenstephan, Germany</t>
  </si>
  <si>
    <t>Groger, D (corresponding author), Ostbayer TH Regensburg, Freising Weihenstephan, Germany.</t>
  </si>
  <si>
    <t>groeger.d@t-online.de</t>
  </si>
  <si>
    <t>1422-6383</t>
  </si>
  <si>
    <t>1420-9012</t>
  </si>
  <si>
    <t>RESULTS MATH</t>
  </si>
  <si>
    <t>Results Math.</t>
  </si>
  <si>
    <t>10.1007/s00025-023-01984-6</t>
  </si>
  <si>
    <t>P6HM6</t>
  </si>
  <si>
    <t>WOS:001051665800008</t>
  </si>
  <si>
    <t>Guo, LX; Hsieh, ML; Gorodetskaya, O; Fan, ZH; Chiu, SY</t>
  </si>
  <si>
    <t>Guo, Li-Xin; Hsieh, Meng-Long; Gorodetskaya, Olga; Fan, Zi-Hao; Chiu, Shih-Ying</t>
  </si>
  <si>
    <t>Jianghan plain, the locale of China's Great Flood four thousand years ago</t>
  </si>
  <si>
    <t>TERRESTRIAL ATMOSPHERIC AND OCEANIC SCIENCES</t>
  </si>
  <si>
    <t>China's Great Flood; Yellow River; Yangtze River; Archaeology; Speleothem paleo-rainfall record</t>
  </si>
  <si>
    <t>HOLOCENE ASIAN MONSOON; MIDDLE YANGTZE-RIVER; YELLOW-RIVER; CLIMATE-CHANGE; HISTORY; SITE; PRECIPITATION; AGRICULTURE; REACHES; REGION</t>
  </si>
  <si>
    <t>The Yellow River Plain (YRP), being regarded as the cradle of Chinese civilization, is traditionally thought to be the locale of the Great Flood, a hazardous flood (or floods) tamed by Yu who started China's first dynasty, Xia, in similar to 2000 BC. However, by integrating published archaeological data, we propose that the Great Flood in fact impacted the Jianghan Plain (JHP) along the middle course of the Yangtze River. The arguments include: (1) around the era of the Great Flood, the most civilized and populated society in East Asia, named the Jianghan society, was located around the JHP (at that time, the habitation on the YRP remained limited); (2) the Jianghan society lived on river resources (shipping and rice growing) and was thus subject to flood risks (but not for the people inhabiting the YRP); (3) the people in the Jianghan society were experienced in dredging moats/ditches for shipping and irrigation; (4) unlike the floods on the YRP that were characterized by dynamic sedimentation and channel avulsion, those on the JHP typically occurred with slow-moving water manageable to ancient people; (5) the JHP has been associated with lake/wetland systems serving as detention basins during floods. Here, the recorded method for controlling the Great Flood, dredging channels to divert flood water to a sea, was feasible. Known speleothem paleorainfall data from multiple sites show that the climate of the JHP had been wet since the middle Holocene (earlier than the era of the Great Flood) and significantly turned dry after similar to 1850 BC (similar to 150 years later than the Great Flood). Thus, the uniqueness of the Great Flood was likely to reflect an increase in land use on the JHP with the expansion of the Jianghan society, and the success in taming this flood was mainly due to the efforts of the society, not by luck. Key points 1. Floods on the Jianghan Plain were predictable and manageable in ancient times. 2. The most populated society in East Asia was located around the Jianghan Plain. 3. The people in the Jianghan society were experienced in dredging moats/ditches.</t>
  </si>
  <si>
    <t>[Guo, Li-Xin] Sun Yat Sen Univ, Dept Anthropol, Guangzhou, Guangdong, Peoples R China; [Hsieh, Meng-Long] Natl Chung Cheng Univ, Dept Earth &amp; Environm Sci, 168 Univ Rd, Minhsiung Township 62102, Chiayi Cty, Taiwan; [Chiu, Shih-Ying] Natl Chung Cheng Univ, Dept &amp; Inst Hist, Chiayi, Taiwan; [Gorodetskaya, Olga] Nanjing Univ, Inst Global Humanities, Nanjing, Peoples R China; [Fan, Zi-Hao] Chinese Acad Hist, Inst Archaeol, Inst Archaeol, Beijing, Peoples R China</t>
  </si>
  <si>
    <t>Sun Yat Sen University; National Chung Cheng University; National Chung Cheng University; Nanjing University</t>
  </si>
  <si>
    <t>Hsieh, ML (corresponding author), Natl Chung Cheng Univ, Dept Earth &amp; Environm Sci, 168 Univ Rd, Minhsiung Township 62102, Chiayi Cty, Taiwan.</t>
  </si>
  <si>
    <t>hsiehml@ntu.edu.tw</t>
  </si>
  <si>
    <t>Ministry of Science and Technology, Taiwan (ROC) [MOST 107-2116-M-194-003]; Sun Yat-Sen University, Guangdong (PRC) [17wkjz07]</t>
  </si>
  <si>
    <t>Ministry of Science and Technology, Taiwan (ROC)(Ministry of Science and Technology, Taiwan); Sun Yat-Sen University, Guangdong (PRC)</t>
  </si>
  <si>
    <t>This research was sponsored by the Ministry of Science and Technology, Taiwan (ROC) (MOST 107-2116-M-194-003) and Sun Yat-Sen University, Guangdong (PRC) (17wkjz07). We deeply thank Mr. Wei-Min Guo, Mr. Jian-Shun Yin, Mr. Ya-Feng Zhao, Mr. Liang-Zhi Wang, Mr. Jiang Shen (Hunan Provincial Institute of Cultural Relics and Archaeology), Mr. Yun-Bing Luo, Mr. Shu-Xiang Chen, Mr. Hui Liu, Mr. Yang Tao (Hubei Provincial Institute of Cultural Relics and Archaeology), Mr. Wei Zhou (Jingmen City Museum), Mr. Jian-Ping Feng, Mr. Chuan-Song Cao, Mr. Yi Cao (Li County Administration of Cultural Heritage), Mr. An-Pin Pei (Nanjing Normal University), Mr. Xi-Yun Yu (Wuhan University), and Mr. Xing-Yi Zhou for their kind guide to the field sites of this study. Our gratitude also goes to Professor J. Bruce H. Shyu of the National Taiwan University for his kindness in English editing.</t>
  </si>
  <si>
    <t>1017-0839</t>
  </si>
  <si>
    <t>2311-7680</t>
  </si>
  <si>
    <t>TERR ATMOS OCEAN SCI</t>
  </si>
  <si>
    <t>Terr. Atmos. Ocean. Sci.</t>
  </si>
  <si>
    <t>10.1007/s44195-023-00044-4</t>
  </si>
  <si>
    <t>Geosciences, Multidisciplinary; Meteorology &amp; Atmospheric Sciences; Oceanography</t>
  </si>
  <si>
    <t>Geology; Meteorology &amp; Atmospheric Sciences; Oceanography</t>
  </si>
  <si>
    <t>R3KN8</t>
  </si>
  <si>
    <t>Green Submitted, gold</t>
  </si>
  <si>
    <t>WOS:001063375800002</t>
  </si>
  <si>
    <t>Hean, O; Chairassamee, N</t>
  </si>
  <si>
    <t>Hean, Oudom; Chairassamee, Nattanicha</t>
  </si>
  <si>
    <t>The effects of the COVID-19 pandemic on US entrepreneurship</t>
  </si>
  <si>
    <t>LETTERS IN SPATIAL AND RESOURCE SCIENCES</t>
  </si>
  <si>
    <t>Business applications; Entrepreneurship; Lockdown; COVID-19</t>
  </si>
  <si>
    <t>We study the effects of the COVID-19 pandemic on U.S. entrepreneurial activities, as measured by the overall number of new business applications, high-propensity business applications, business applications from corporations, and business applications with paid wages. However, the number of business applications increased significantly after the lockdown. Also, the portion of high-propensity business applications as a share of total business applications declined considerably during and after the lockdown. Our findings could partially explain the tight labor market in the U.S. during the pandemic.</t>
  </si>
  <si>
    <t>[Hean, Oudom] North Dakota State Univ, Coll Business, Fargo, ND 58105 USA; [Hean, Oudom] Sheila &amp; Robert Challey Inst Global Innovat &amp; Grow, Fargo, ND USA; [Chairassamee, Nattanicha] Kasetsart Univ, Dept Econ, 50 Ngamwongwan Rd, Bangkok 10900, Thailand</t>
  </si>
  <si>
    <t>North Dakota State University Fargo; Kasetsart University</t>
  </si>
  <si>
    <t>Chairassamee, N (corresponding author), Kasetsart Univ, Dept Econ, 50 Ngamwongwan Rd, Bangkok 10900, Thailand.</t>
  </si>
  <si>
    <t>oudom.hean@ndsu.edu; nattanicha.chai@ku.th</t>
  </si>
  <si>
    <t>Chairassamee, Nattanicha/0000-0001-9663-2878; Hean, Oudom/0000-0001-5903-2742</t>
  </si>
  <si>
    <t>1864-4031</t>
  </si>
  <si>
    <t>1864-404X</t>
  </si>
  <si>
    <t>LETT SPAT RESOUR SCI</t>
  </si>
  <si>
    <t>Lett. Spat. Resour. Sci.</t>
  </si>
  <si>
    <t>10.1007/s12076-023-00327-x</t>
  </si>
  <si>
    <t>Geography</t>
  </si>
  <si>
    <t>9B9KG</t>
  </si>
  <si>
    <t>Green Published, Bronze</t>
  </si>
  <si>
    <t>WOS:000935048200001</t>
  </si>
  <si>
    <t>Hong, J; Tu, R; Zhang, PF; Zhang, R; Han, JQ; Fan, LH; Wang, SY; Lu, XC</t>
  </si>
  <si>
    <t>Hong, Ju; Tu, Rui; Zhang, Pengfei; Zhang, Rui; Han, Junqiang; Fan, Lihong; Wang, Siyao; Lu, Xiaochun</t>
  </si>
  <si>
    <t>GNSS rapid precise point positioning enhanced by low Earth orbit satellites</t>
  </si>
  <si>
    <t>SATELLITE NAVIGATION</t>
  </si>
  <si>
    <t>Precise point positioning; Low earth orbit; LEO enhanced global navigation satellite system; Rapid positioning</t>
  </si>
  <si>
    <t>MULTI-GNSS; GPS; PPP; RESOLUTION; AUGMENTATION; GLONASS</t>
  </si>
  <si>
    <t>The Low Earth Orbit (LEO) satellites can be used to effectively speed up Precise Point Positioning (PPP) convergence. In this study, 180 LEO satellites with a global distribution are simulated to evaluate their contribution to the PPP convergence. LEO satellites can give more redundant observations and improve satellite geometric distributions, particularly for a single Global Navigation Satellite System (GNSS). The convergence speed of the PPP float solution using the Global Positioning System (GPS, G) or BeiDou Navigation Satellite System (BDS, C) single system as well as the G/C/Galileo navigation satellite system (Galileo, E)/GLObal NAvigation Satellite System (GLONASS, R) combined system with LEO satellites added is improved by 90.0%, 91.0%, and 90.7%, respectively, with respect to the system without LEO satellites added. We introduced LEO observations to assist GNSS in PPP-AR (Ambiguity Resolution) and PPP-RTK (Real Time Kinematic). The success fix rate of a single system is significantly improved, and the Time-To-First-Fix (TTFF) of G and G/C/E is reduced by 86.4% and 82.8%, respectively, for the PPP-AR solution. We analyzed the positioning performance of LEO satellite assisted G/C/E PPP-RTK in the reference networks of different scales, namely different atmospheric delay interpolation accuracies. The success fix rate of the G/C/E combined system is improved from 86.8 to 94.9%, and the TTFF is reduced by 36.8%, with the addition of LEO satellites in the 57 km reference network. In the 110 km reference network, the success fix rate of the G/C/E combined system is improved from 64.0 to 88.6%, and the TTFF is reduced by 32.1%. GNSS PPP-RTK with adding the LEO satellites in the reference networks of different scales shows obvious improvement because the atmospheric correlation decreases with increasing distance from the reference networks.</t>
  </si>
  <si>
    <t>[Hong, Ju; Tu, Rui; Zhang, Pengfei; Zhang, Rui; Han, Junqiang; Fan, Lihong; Wang, Siyao; Lu, Xiaochun] Chinese Acad Sci, Natl Time Serv Ctr, Shu Yuan Rd, Xian 710600, Peoples R China; [Hong, Ju; Tu, Rui; Zhang, Pengfei; Lu, Xiaochun] Univ Chinese Acad Sci, Yu Quan Rd, Beijing 100049, Peoples R China</t>
  </si>
  <si>
    <t>Chinese Academy of Sciences; National Time Service Center, CAS; Chinese Academy of Sciences; University of Chinese Academy of Sciences, CAS</t>
  </si>
  <si>
    <t>Tu, R (corresponding author), Chinese Acad Sci, Natl Time Serv Ctr, Shu Yuan Rd, Xian 710600, Peoples R China.;Tu, R (corresponding author), Univ Chinese Acad Sci, Yu Quan Rd, Beijing 100049, Peoples R China.</t>
  </si>
  <si>
    <t>turui-2004@126.com</t>
  </si>
  <si>
    <t>2662-9291</t>
  </si>
  <si>
    <t>2662-1363</t>
  </si>
  <si>
    <t>SATELLITE NAVIG</t>
  </si>
  <si>
    <t>Satell. Navig.</t>
  </si>
  <si>
    <t>10.1186/s43020-023-00100-x</t>
  </si>
  <si>
    <t>Engineering, Aerospace; Remote Sensing; Telecommunications</t>
  </si>
  <si>
    <t>Engineering; Remote Sensing; Telecommunications</t>
  </si>
  <si>
    <t>D2FA2</t>
  </si>
  <si>
    <t>WOS:000966919300001</t>
  </si>
  <si>
    <t>Jannat, N; Nahar, H; Khan, NS; Tanmoy, MA; Mottalib, MA; Goni, MA; Khan, M; Miran, MS</t>
  </si>
  <si>
    <t>Jannat, Nure; Nahar, Hijmun; Khan, Nadia Sultana; Tanmoy, Mostak Ahamed; Mottalib, Md. Abdul; Goni, Md. Abdul; Khan, Mala; Miran, Muhammed Shah</t>
  </si>
  <si>
    <t>Potential Removal of Chromium from Tannery Wastewater by Water Hyacinth Roots</t>
  </si>
  <si>
    <t>Biosorbent; Water hyacinth; Cost-effective; Wastewater; Chromium; Isotherm</t>
  </si>
  <si>
    <t>AQUEOUS-SOLUTIONS; METAL-IONS; ADSORPTION; BIOSORPTION; EQUILIBRIUM; KINETICS; EFFLUENT; CR(III); CR(VI)</t>
  </si>
  <si>
    <t>Continuous discharge of untreated wastewater with high chromium contents from tanning industries causes severe environmental pollution in different aquatic systems as well as poses a variety of health risks. To reduce harmful chromium pollution in various water bodies, it is imperative to develop a method that is both affordable and environmentally benign. In the present study, chromium was successfully removed from tannery effluents using the roots of the water hyacinth (Eichhornia Crassipes). Chromium status in wastewater bodies before and after the biosorption processes was evaluated using standard spectrophotometric techniques such as UV-Vis and atomic absorption spectroscopy (AAS). The metal removal capacity of water hyacinth roots was determined by varying the biosorbent dosages, temperature, and starting chromium ion concentrations. The maximum removal of chromium was found 95% from dilute tannery wastewater and 72% of chromium was extracted directly from raw tannery effluents by using different quantities of water hyacinth. The Langmuir and Freundlich type isotherms were used to study the chromium biosorption process, and the results were found to be highly consistent with the Langmuir monolayer biosorption type isotherm. The results of kinetic investigation showed that the removal of chromium by water hyacinth roots followed a pseudo-second-order kinetic with a R-2 of 0.99618. The biosorption of chromium on water hyacinth roots was exothermic and spontaneous which were confirmed from the evaluation of thermodynamic parameters such as Delta G degrees, Delta H degrees, and Delta S degrees. The present research findings revealed that this naturally available plant could be utilized as very promising, environmentally friendly, and cost-effective biosorbent for removing chromium species from raw as well as diluted industrial wastewater systems.</t>
  </si>
  <si>
    <t>[Jannat, Nure; Nahar, Hijmun; Khan, Nadia Sultana; Tanmoy, Mostak Ahamed; Mottalib, Md. Abdul] Univ Dhaka, Inst Leather Engn &amp; Technol, Dhaka 1209, Bangladesh; [Goni, Md. Abdul] South Carolina State Univ, Dept Biol &amp; Phys Sci, Orangeburg, SC 29117 USA; [Khan, Mala] Bangladesh Reference Inst Chem Measurements, Dr Quadrat I Khuda Rd, Dhaka 1205, Bangladesh; [Miran, Muhammed Shah] Univ Dhaka, Dept Chem, Dhaka 1000, Bangladesh</t>
  </si>
  <si>
    <t>University of Dhaka; South Carolina State University; University of Dhaka</t>
  </si>
  <si>
    <t>Mottalib, MA (corresponding author), Univ Dhaka, Inst Leather Engn &amp; Technol, Dhaka 1209, Bangladesh.</t>
  </si>
  <si>
    <t>abdul.mottalib@du.ac.bd</t>
  </si>
  <si>
    <t>10.1007/s41101-023-00196-x</t>
  </si>
  <si>
    <t>I5HP3</t>
  </si>
  <si>
    <t>WOS:001003092900001</t>
  </si>
  <si>
    <t>Jin, XH; Feckan, M; Wang, JR</t>
  </si>
  <si>
    <t>Jin, Xianghua; Feckan, Michal; Wang, JinRong</t>
  </si>
  <si>
    <t>Relative Controllability of Impulsive Linear Discrete Delay Systems</t>
  </si>
  <si>
    <t>QUALITATIVE THEORY OF DYNAMICAL SYSTEMS</t>
  </si>
  <si>
    <t>Relative controllability; Impulsive discrete delay Grammian matrix; Impulsive discrete delay systems; Invariant subspace; Control function</t>
  </si>
  <si>
    <t>DIFFERENTIAL-EQUATIONS; STABILITY; PARTS; REPRESENTATION; SETS</t>
  </si>
  <si>
    <t>This paper investigates relative controllability of impulsive linear discrete delay systems with constant coefficients and a pure delay. Grammian and rank criteria for relative controllability are respectively established by introducing an impulsive discrete delay Grammian matrix. Thereafter, the restricted relative controllability of impulsive linear discrete delay systems is studied. More precisely, when the terminal state locates in a special invariant linear subspace, Grammian and rank criteria for relative controllability are demonstrated and an expression of corresponding control function is constructed. Finally, an example is provided to illustrate theoretical results.</t>
  </si>
  <si>
    <t>[Jin, Xianghua; Wang, JinRong] Guizhou Univ, Dept Math, Guiyang 550025, Guizhou, Peoples R China; [Jin, Xianghua] Huaqiao Univ, Sch Math Sci, Quanzhou 362021, Fujian, Peoples R China; [Feckan, Michal] Comenius Univ, Fac Math Phys &amp; Informat, Dept Math Anal &amp; Numer Math, Bratislava 84248, Slovakia; [Feckan, Michal] Math Inst, Slovak Acad Sci, Stefanikova 49, Bratislava 81473, Slovakia; [Wang, JinRong] Guizhou Univ, Supercomp Algorithm &amp; Applicat Lab, Guiyang 550025, Guizhou, Peoples R China; [Wang, JinRong] Guizhou Univ, Guian Sci Innovat Co, Guiyang 550025, Guizhou, Peoples R China</t>
  </si>
  <si>
    <t>Guizhou University; Huaqiao University; Comenius University Bratislava; Slovak Academy of Sciences; Mathematical Institute, SAS; Guizhou University; Guizhou University</t>
  </si>
  <si>
    <t>Wang, JR (corresponding author), Guizhou Univ, Dept Math, Guiyang 550025, Guizhou, Peoples R China.;Wang, JR (corresponding author), Guizhou Univ, Supercomp Algorithm &amp; Applicat Lab, Guiyang 550025, Guizhou, Peoples R China.;Wang, JR (corresponding author), Guizhou Univ, Guian Sci Innovat Co, Guiyang 550025, Guizhou, Peoples R China.</t>
  </si>
  <si>
    <t>jinxianghua@hqu.edu.cn; Michal.Feckan@fmph.uniba.sk; jrwang@gzu.edu.cn</t>
  </si>
  <si>
    <t>Fečkan, Michal/T-4397-2018</t>
  </si>
  <si>
    <t>Fečkan, Michal/0000-0002-7385-6737</t>
  </si>
  <si>
    <t>1575-5460</t>
  </si>
  <si>
    <t>1662-3592</t>
  </si>
  <si>
    <t>QUAL THEOR DYN SYST</t>
  </si>
  <si>
    <t>Qual. Theor. Dyn. Syst.</t>
  </si>
  <si>
    <t>10.1007/s12346-023-00831-x</t>
  </si>
  <si>
    <t>M2TX9</t>
  </si>
  <si>
    <t>WOS:001028767500001</t>
  </si>
  <si>
    <t>Kawakita, S; Li, SP; Nguyen, HT; Maity, S; Haghniaz, R; Bahari, J; Yu, N; Mandal, K; Bandaru, P; Mou, L; Ermis, M; Khalil, E; Khosravi, S; Peirsman, A; Nasiri, R; Adachi, A; Nakayama, A; Bell, R; Zhu, YZ; Jucaud, V; Dokmeci, MR; Khademhosseini, A</t>
  </si>
  <si>
    <t>Kawakita, Satoru; Li, Shaopei; Nguyen, Huu Tuan; Maity, Surjendu; Haghniaz, Reihaneh; Bahari, Jamal; Yu, Ning; Mandal, Kalpana; Bandaru, Praveen; Mou, Lei; Ermis, Menekse; Khalil, Enam; Khosravi, Safoora; Peirsman, Arne; Nasiri, Rohollah; Adachi, Annie; Nakayama, Aya; Bell, Remy; Zhu, Yangzhi; Jucaud, Vadim; Dokmeci, Mehmet Remzi; Khademhosseini, Ali</t>
  </si>
  <si>
    <t>Rapid integration of screen-printed electrodes into thermoplastic organ-on-a-chip devices for real-time monitoring of trans-endothelial electrical resistance</t>
  </si>
  <si>
    <t>BIOMEDICAL MICRODEVICES</t>
  </si>
  <si>
    <t>Organs-on-chips; Trans-endothelial electrical resistance; Screen-printed electrode; Thermoplastics</t>
  </si>
  <si>
    <t>SHEAR-STRESS; IMPEDANCE SPECTROSCOPY; BARRIER; FABRICATION; CELL; PLATFORM; BIOCOMPATIBILITY; MICROFLUIDICS; BIOSENSORS; MODELS</t>
  </si>
  <si>
    <t>Trans-endothelial electrical resistance (TEER) is one of the most widely used indicators to quantify the barrier integrity of endothelial layers. Over the last decade, the integration of TEER sensors into organ-on-a-chip (OOC) platforms has gained increasing interest for its efficient and effective measurement of TEER in OOCs. To date, microfabricated electrodes or direct insertion of wires has been used to integrate TEER sensors into OOCs, with each method having advantages and disadvantages. In this study, we developed a TEER-SPE chip consisting of carbon-based screen-printed electrodes (SPEs) embedded in a poly(methyl methacrylate) (PMMA)-based multi-layered microfluidic device with a porous poly(ethylene terephthalate) membrane in-between. As proof of concept, we demonstrated the successful cultures of hCMEC/D3 cells and the formation of confluent monolayers in the TEER-SPE chip and obtained TEER measurements for 4 days. Additionally, the TEER-SPE chip could detect changes in the barrier integrity due to shear stress or an inflammatory cytokine (i.e., tumor necrosis factor-&amp; alpha;). The novel approach enables a low-cost and facile fabrication of carbon-based SPEs on PMMA substrates and the subsequent assembly of PMMA layers for rapid prototyping. Being cost-effective and cleanroom-free, our method lowers the existing logistical and technical barriers presenting itself as another step forward to the broader adoption of OOCs with TEER measurement capability.</t>
  </si>
  <si>
    <t>[Kawakita, Satoru; Li, Shaopei; Nguyen, Huu Tuan; Maity, Surjendu; Haghniaz, Reihaneh; Bahari, Jamal; Mandal, Kalpana; Bandaru, Praveen; Mou, Lei; Ermis, Menekse; Khalil, Enam; Khosravi, Safoora; Peirsman, Arne; Nasiri, Rohollah; Adachi, Annie; Nakayama, Aya; Bell, Remy; Zhu, Yangzhi; Jucaud, Vadim; Dokmeci, Mehmet Remzi; Khademhosseini, Ali] Terasaki Inst Biomed Innovat, Los Angeles, CA 90064 USA; [Yu, Ning] Univ Calif Riverside, Dept Chem &amp; Environm Engn, Riverside, CA 92521 USA; [Khalil, Enam] Univ Jordan, Sch Pharm, Amman 11942, Jordan; [Khosravi, Safoora] Univ British Columbia, Dept Elect &amp; Comp Engn, Vancouver, BC V6T1Z4, Canada; [Peirsman, Arne] Univ Ghent, Dept Plast Aesthet &amp; Reconstruct Surg, B-9000 Ghent, Belgium; [Peirsman, Arne] Univ Ghent, Lab Expt Canc Res, B-9000 Ghent, Belgium; [Nasiri, Rohollah] KTH Royal Inst Technol, Dept Prot Sci, Div Nanobiotechnol, Sci Life Lab, S-17165 Solna, Sweden; [Adachi, Annie] Univ Calif San Francisco, Cardiovasc Res Inst, San Francisco, CA 94158 USA; [Nakayama, Aya] CALTECH, Div Chem &amp; Chem Engn, Pasadena, CA 91125 USA; [Bell, Remy] Univ South Carolina, Coll Engn &amp; Comp, Dept Biomed Engn, Columbia, SC 29208 USA</t>
  </si>
  <si>
    <t>University of California System; University of California Riverside; University of Jordan; University of British Columbia; Ghent University; Ghent University; Royal Institute of Technology; University of California System; University of California San Francisco; California Institute of Technology; University of South Carolina System; University of South Carolina Columbia</t>
  </si>
  <si>
    <t>Jucaud, V; Dokmeci, MR; Khademhosseini, A (corresponding author), Terasaki Inst Biomed Innovat, Los Angeles, CA 90064 USA.</t>
  </si>
  <si>
    <t>vjucaud@terasaki.org; mdokmeci@terasaki.org; khademh@terasaki.org</t>
  </si>
  <si>
    <t>Yu, Ning/0000-0003-0770-242X</t>
  </si>
  <si>
    <t>DORDRECHT</t>
  </si>
  <si>
    <t>VAN GODEWIJCKSTRAAT 30, 3311 GZ DORDRECHT, NETHERLANDS</t>
  </si>
  <si>
    <t>1387-2176</t>
  </si>
  <si>
    <t>1572-8781</t>
  </si>
  <si>
    <t>BIOMED MICRODEVICES</t>
  </si>
  <si>
    <t>Biomed. Microdevices</t>
  </si>
  <si>
    <t>10.1007/s10544-023-00669-9</t>
  </si>
  <si>
    <t>Engineering, Biomedical; Nanoscience &amp; Nanotechnology</t>
  </si>
  <si>
    <t>Engineering; Science &amp; Technology - Other Topics</t>
  </si>
  <si>
    <t>S4LE5</t>
  </si>
  <si>
    <t>WOS:001070891200001</t>
  </si>
  <si>
    <t>Kuen, L; Schürmann, F; Westmattelmann, D; Hartwig, S; Tzafrir, S; Schewe, G</t>
  </si>
  <si>
    <t>Kuen, Leonie; Schuermann, Fiona; Westmattelmann, Daniel; Hartwig, Sophie; Tzafrir, Shay; Schewe, Gerhard</t>
  </si>
  <si>
    <t>Trust transfer effects and associated risks in telemedicine adoption</t>
  </si>
  <si>
    <t>Trust transfer; Multidimensional risk; Telemedicine; Technology adoption; Patient</t>
  </si>
  <si>
    <t>PERCEIVED RISK; E-COMMERCE; HEALTH INFORMATION; USER ACCEPTANCE; INTENTION; SERVICES; PRIVACY; TECHNOLOGY; MODEL; SATISFACTION</t>
  </si>
  <si>
    <t>Telemedicine has the potential to address considerable challenges in the efficient provision of health care services. However, this will not be realized until a high acceptance rate among patients is achieved. We address the research gap that arises from the need to explore the interplay of different trust referents (physician, technology, treatment) and perceived risk dimensions (performance, privacy, time, psychological) in patients' telemedicine adoption considering two different symptom types (physical vs. mental). We conducted a scenario-based online survey and performed t-tests, scenario-specific structural equation modeling, and multi-group analysis. T-tests and multi-group analysis do not indicate differences in perceptions and path coefficients between the symptoms. Furthermore, scenario-specific structural equation modeling reveals that for both scenarios, trust in physician is less important for trust transfer effects and intention to use than trust in technology and trust in treatment. Trust in treatment has similar effects for all risk dimensions, while only performance risk relates to use intention. Moreover, the results indicate a considerable intention-behavior gap. We advance IS research by emphasizing the relevance of considering multiple trust referents, trust transfer effects, and a multidimensional perspective on perceived risk.</t>
  </si>
  <si>
    <t>[Kuen, Leonie; Schuermann, Fiona; Westmattelmann, Daniel; Hartwig, Sophie; Schewe, Gerhard] Univ Munster, Chair Org HR &amp; Innovat, Univ Str14-16, D-48143 Munster, Germany; [Tzafrir, Shay] Univ Haifa, Sch Business Adm, 199 Aba Khoushy Ave, IL-3498838 H_efa, Israel</t>
  </si>
  <si>
    <t>University of Munster; University of Haifa</t>
  </si>
  <si>
    <t>Kuen, L (corresponding author), Univ Munster, Chair Org HR &amp; Innovat, Univ Str14-16, D-48143 Munster, Germany.</t>
  </si>
  <si>
    <t>leonie.kuen@uni-muenster.de; fiona.schuermann@uni-muenster.de; daniel.westmattelmann@wiwi.uni-muenster.de; sophie.hartwig96@gmail.com; stzafrir@univ.haifa.ac.il; gerhard.schewe@wiwi.uni-muenster.de</t>
  </si>
  <si>
    <t>Schurmann, Fiona/0000-0002-6787-455X</t>
  </si>
  <si>
    <t>Projekt DEAL</t>
  </si>
  <si>
    <t>Open Access funding enabled and organized by Projekt DEAL.</t>
  </si>
  <si>
    <t>10.1007/s12525-023-00657-0</t>
  </si>
  <si>
    <t>N1AP3</t>
  </si>
  <si>
    <t>WOS:001034427800001</t>
  </si>
  <si>
    <t>Langballe, EM; Skirbekk, V; Strand, BH</t>
  </si>
  <si>
    <t>Langballe, Ellen Melbye; Skirbekk, Vegard; Strand, Bjorn Heine</t>
  </si>
  <si>
    <t>Subjective age and the association with intrinsic capacity, functional ability, and health among older adults in Norway</t>
  </si>
  <si>
    <t>EUROPEAN JOURNAL OF AGEING</t>
  </si>
  <si>
    <t>Subjective age; Intrinsic capacity; Hearing; Vision; Incontinence</t>
  </si>
  <si>
    <t>URINARY-INCONTINENCE; FEELING YOUNGER; LIFE; WOMEN; VIEWS; DISABILITY; MORTALITY; SYMPTOMS; COHORT; MEN</t>
  </si>
  <si>
    <t>This study investigates the relationships between subjective age, intrinsic capacity, functional ability and health among Norwegians aged 60 years and older. The Norwegian Survey of Health and Ageing (NORSE) is a population-based, cross-sectional study of home-dwelling individuals aged 60-96 years in the former county of Oppland. Age- and sex-adjusted regression models were used to investigate the gap between subjective and chronological age and this gap's association with self-reported and objectively measured intrinsic capacity (covering all six sub domains defined by WHO), health, and functional ability among 817 NORSE participants. The results show most participants felt younger than their chronological age (86.5%), while relatively few felt the same as their chronological age (8.3%) or older (5.2%). The mean subjective age was 13.8 years lower than mean chronological age. Participants with urinal incontinence, poor vision, or poor hearing felt 3.1 [95% confidence interval (CI) (0.6, 5.5)], 2.9 [95% CI (0.2, 5.6)], and 2.9 [95% CI (0.3, 5.5)] years older, respectively, than participants without those conditions, whereas none of the following factors-anxiety, depression, chronic disease, Short Physical Performance Battery score, grip strength, cognition, or frailty-significantly had an impact on the gap. In line with prior research, this study finds that feeling considerably younger than one's chronological age is common at older ages. However, those with poor hearing, poor vision, and urinal incontinence felt less young compared to those not having these conditions. These relationships may exert undesirable effects on vitality and autonomy, which are considered key factors of intrinsic capacity and healthy ageing.</t>
  </si>
  <si>
    <t>[Langballe, Ellen Melbye; Skirbekk, Vegard; Strand, Bjorn Heine] Vestfold Hosp Trust, Norwegian Natl Ctr Ageing &amp; Hlth, Tonsberg, Norway; [Langballe, Ellen Melbye; Skirbekk, Vegard; Strand, Bjorn Heine] Oslo Univ Hosp, Dept Geriatr Med, Oslo, Norway; [Skirbekk, Vegard; Strand, Bjorn Heine] Norwegian Inst Publ Hlth, Oslo, Norway</t>
  </si>
  <si>
    <t>University of Oslo; Norwegian Institute of Public Health (NIPH)</t>
  </si>
  <si>
    <t>Langballe, EM (corresponding author), Vestfold Hosp Trust, Norwegian Natl Ctr Ageing &amp; Hlth, Tonsberg, Norway.;Langballe, EM (corresponding author), Oslo Univ Hosp, Dept Geriatr Med, Oslo, Norway.</t>
  </si>
  <si>
    <t>eml@aldringoghelse.no</t>
  </si>
  <si>
    <t>Strand, Bjorn Heine/0000-0003-4385-8886; Langballe, Ellen Melbye/0000-0002-8536-510X</t>
  </si>
  <si>
    <t>1613-9372</t>
  </si>
  <si>
    <t>1613-9380</t>
  </si>
  <si>
    <t>EUR J AGEING</t>
  </si>
  <si>
    <t>Eur. J. Ageing</t>
  </si>
  <si>
    <t>10.1007/s10433-023-00753-2</t>
  </si>
  <si>
    <t>Gerontology</t>
  </si>
  <si>
    <t>Geriatrics &amp; Gerontology</t>
  </si>
  <si>
    <t>9K9ES</t>
  </si>
  <si>
    <t>Green Published, hybrid</t>
  </si>
  <si>
    <t>WOS:000941163800002</t>
  </si>
  <si>
    <t>Lavado, A; Serra-Colomer, J; Serra-Prat, M; Burdoy, E; Cabré, M</t>
  </si>
  <si>
    <t>Lavado, Angel; Serra-Colomer, Julia; Serra-Prat, Mateu; Burdoy, Emili; Cabre, Mateu</t>
  </si>
  <si>
    <t>Relationship of frailty status with health resource use and healthcare costs in the population aged 65 and over in Catalonia</t>
  </si>
  <si>
    <t>Health resource use; Healthcare costs; Frailty; Population ageing; Hospitalizations; Primary care visits; Emergency visits; Outpatient visits</t>
  </si>
  <si>
    <t>PREVALENCE; EXPENDITURE; SPAIN</t>
  </si>
  <si>
    <t>BackgroundFrailty is a geriatric syndrome with repercussions on health, disability, and dependency.ObjectivesTo assess health resource use and costs attributable to frailty in the aged population.MethodsA population-based observational longitudinal study was performed, with follow-up from January 2018 to December 2019. Data were obtained retrospectively from computerized primary care and hospital medical records. The study population included all inhabitants aged &gt;= 65 years ascribed to 3 primary care centres in Barcelona (Spain). Frailty status was established according to the Electronic Screening Index of Frailty. Health costs considered were hospitalizations, emergency visits, outpatient visits, day hospital sessions, and primary care visits. Cost analysis was performed from a public health financing perspective.ResultsFor 9315 included subjects (age 75.4 years, 56% women), frailty prevalence was 12.3%. Mean (SD) healthcare cost in the study period was euro1420.19 for robust subjects, euro2845.51 for pre-frail subjects, euro4200.05 for frail subjects, and euro5610.73 for very frail subjects. Independently of age and sex, frailty implies an additional healthcare cost of euro1171 per person and year, i.e., 2.25-fold greater for frail compared to non-frail.ConclusionsOur findings underline the economic relevance of frailty in the aged population, with healthcare spending increasing as frailty increases.</t>
  </si>
  <si>
    <t>[Lavado, Angel] Consorci Sanitari Maresmes, Informat Management Unit, Barcelona, Spain; [Serra-Colomer, Julia] Hosp del Mar Med Res Inst, Clin Res Unit, IMIM, Barcelona, Spain; [Serra-Prat, Mateu] Hosp Mataro, Res Unit, Consorci Sanitari Maresmes, Carretera Cirera S-N, Barcelona 08304, Spain; [Serra-Prat, Mateu] ISCIII, CIBER Liver &amp; Digest Dis CIBEREHD, Madrid, Spain; [Burdoy, Emili] Consorci Sanitari Maresmes, Primary Care Dept, Barcelona, Spain; [Cabre, Mateu] Consorci Sanitari Maresmes, Internal Med Dept, Barcelona, Spain</t>
  </si>
  <si>
    <t>Hospital del Mar Research Institute; Hospital del Mar; CIBER - Centro de Investigacion Biomedica en Red; CIBEREHD; CIBERDEM; Instituto de Salud Carlos III</t>
  </si>
  <si>
    <t>Serra-Prat, M (corresponding author), Hosp Mataro, Res Unit, Consorci Sanitari Maresmes, Carretera Cirera S-N, Barcelona 08304, Spain.;Serra-Prat, M (corresponding author), ISCIII, CIBER Liver &amp; Digest Dis CIBEREHD, Madrid, Spain.</t>
  </si>
  <si>
    <t>mserra@csdm.cat</t>
  </si>
  <si>
    <t>Lavado Cuevas, Angel/0000-0003-4370-9864</t>
  </si>
  <si>
    <t>Mataro-Maresme Territorial Competitiveness Specialization Project (PECT) - Government of Catalunya-Generalitat de Catalunya; European Regional Development Funds of the Community Operational Programme; Spanish Ministry of Health (Instituto de Salud Carlos III) [PI19/00500]</t>
  </si>
  <si>
    <t>Mataro-Maresme Territorial Competitiveness Specialization Project (PECT) - Government of Catalunya-Generalitat de Catalunya; European Regional Development Funds of the Community Operational Programme; Spanish Ministry of Health (Instituto de Salud Carlos III)(Instituto de Salud Carlos IIISpanish Government)</t>
  </si>
  <si>
    <t>This research was supported by the Mataro-Maresme Territorial Competitiveness Specialization Project (PECT; PRE/161/2019) financed by the Government of Catalunya-Generalitat de Catalunya within the framework of financing by the European Regional Development Funds of the Community Operational Programme for the Autonomous Community of Catalonia 2014-2020. It was also partially supported by a grant from the Spanish Ministry of Health (Instituto de Salud Carlos III; PI19/00500).</t>
  </si>
  <si>
    <t>10.1007/s10433-023-00769-8</t>
  </si>
  <si>
    <t>I4RE8</t>
  </si>
  <si>
    <t>WOS:001002660600001</t>
  </si>
  <si>
    <t>Lenka, SR; Bisoy, SK; Priyadarshini, R</t>
  </si>
  <si>
    <t>Lenka, Sudhansu R.; Bisoy, Sukant Kishoro; Priyadarshini, Rojalina</t>
  </si>
  <si>
    <t>A-RDBOTE: an improved oversampling technique for imbalanced credit-scoring datasets</t>
  </si>
  <si>
    <t>RISK MANAGEMENT-AN INTERNATIONAL JOURNAL</t>
  </si>
  <si>
    <t>Imbalanced learning; Credit scoring; Noise; Representative; Clustering; Oversampling</t>
  </si>
  <si>
    <t>CLASSIFICATION; SMOTE; PERFORMANCE; PREDICTION; MODELS</t>
  </si>
  <si>
    <t>Banks and financial industries evaluate the creditworthiness of their customers through credit-scoring models before allocating loans to them. The performance of credit-scoring models significantly degrades due to class imbalance data, in which the class of defaulters is underrepresented as compared to that of non-defaulters, which is one of the major challenging tasks. In this paper, we propose a novel adaptive representative and density-based oversampling technique (A-RDBOTE) to deal with imbalanced credit-scoring datasets. First, the reverse k-nearest neighbor algorithm is applied to eliminate the noisy samples from the training set. Next, a semi-unsupervised clustering method is applied to cluster the minority instances. Then, from each sub-cluster, the representativeness of an instance is determined by considering its degree of similarity with respect to inter and intra-cluster. Subsequently, from each sub-cluster, the instances having high representative values are selected as anchor instances. Finally, artificial minority instances are generated around each anchor instance within the same sub-cluster. The experimental results showed that A-RDBOTE has achieved significantly better results than eight oversampling methods in terms of F1-score, AUC, and G-mean.</t>
  </si>
  <si>
    <t>[Lenka, Sudhansu R.; Bisoy, Sukant Kishoro; Priyadarshini, Rojalina] CV Raman Global Univ, Dept CSE, Bhubaneswar, India; [Lenka, Sudhansu R.] Trident Acad Technol, Bhubaneswar, India</t>
  </si>
  <si>
    <t>Trident Academy of Technology</t>
  </si>
  <si>
    <t>Lenka, SR (corresponding author), CV Raman Global Univ, Dept CSE, Bhubaneswar, India.;Lenka, SR (corresponding author), Trident Acad Technol, Bhubaneswar, India.</t>
  </si>
  <si>
    <t>sudhansulenka2000@gmail.com; sukantabisoyi@yahoo.com; priyadarshini.rojalina@gmail.com</t>
  </si>
  <si>
    <t>Lenka, Sudhansu Ranjan/0000-0002-2743-6192</t>
  </si>
  <si>
    <t>PALGRAVE MACMILLAN LTD</t>
  </si>
  <si>
    <t>BASINGSTOKE</t>
  </si>
  <si>
    <t>BRUNEL RD BLDG, HOUNDMILLS, BASINGSTOKE RG21 6XS, HANTS, ENGLAND</t>
  </si>
  <si>
    <t>1460-3799</t>
  </si>
  <si>
    <t>1743-4637</t>
  </si>
  <si>
    <t>RISK MANAG-UK</t>
  </si>
  <si>
    <t>Risk Manag.</t>
  </si>
  <si>
    <t>10.1057/s41283-023-00128-y</t>
  </si>
  <si>
    <t>Social Sciences, Interdisciplinary</t>
  </si>
  <si>
    <t>Social Sciences - Other Topics</t>
  </si>
  <si>
    <t>P4XL9</t>
  </si>
  <si>
    <t>WOS:001050708000001</t>
  </si>
  <si>
    <t>Li, CK; Saadati, R; Eidinejad, Z</t>
  </si>
  <si>
    <t>Li, Chenkuan; Saadati, Reza; Eidinejad, Zahra</t>
  </si>
  <si>
    <t>Fixed Point Results for the Fractional Nonlinear Problem with Integral Boundary Condition</t>
  </si>
  <si>
    <t>MEDITERRANEAN JOURNAL OF MATHEMATICS</t>
  </si>
  <si>
    <t>Nonlinear fractional differential equation; integral boundary condition problem; multivariate Mittag-Leffler function; Babenko's strategy; Leray-Schauder's fixed point theorem; Banach's contractive principle</t>
  </si>
  <si>
    <t>DIFFERENTIAL-EQUATIONS</t>
  </si>
  <si>
    <t>In this article, we study an integral boundary condition problem. In fact, we consider a new nonlinear fractional integro-differential equation with arbitrary order and integral boundary condition. We show that there is a unique solution for this type of equation according to Babenko's strategy and the multivariate Mittag-Leffler function. All results, including the existence problem, are proved using Banach's contractive principle and Leray-Schauder's fixed point theorem. Several examples are also presented to demonstrate applications of the proven theorems.</t>
  </si>
  <si>
    <t>[Li, Chenkuan] Brandon Univ, Dept Math &amp; Comp Sci, Brandon, MB R7A 6A9, Canada; [Saadati, Reza; Eidinejad, Zahra] Iran Univ Sci &amp; Technol, Sch Math, Tehran 1311416846, Iran</t>
  </si>
  <si>
    <t>Brandon University; Iran University Science &amp; Technology</t>
  </si>
  <si>
    <t>Li, CK (corresponding author), Brandon Univ, Dept Math &amp; Comp Sci, Brandon, MB R7A 6A9, Canada.</t>
  </si>
  <si>
    <t>lic@brandonu.ca</t>
  </si>
  <si>
    <t>Saadati, Reza/C-6330-2018</t>
  </si>
  <si>
    <t>Saadati, Reza/0000-0002-6770-6951</t>
  </si>
  <si>
    <t>The authors are thankful to the reviewers and editor for giving valuable comments and suggestions.</t>
  </si>
  <si>
    <t>1660-5446</t>
  </si>
  <si>
    <t>1660-5454</t>
  </si>
  <si>
    <t>MEDITERR J MATH</t>
  </si>
  <si>
    <t>Mediterr. J. Math.</t>
  </si>
  <si>
    <t>10.1007/s00009-023-02498-9</t>
  </si>
  <si>
    <t>Q9ZA8</t>
  </si>
  <si>
    <t>WOS:001061013900001</t>
  </si>
  <si>
    <t>Lin, LT; Ruan, ZY; Jing, X; Wang, YG; Feng, WT</t>
  </si>
  <si>
    <t>Lin, Litao; Ruan, Zhiyong; Jing, Xin; Wang, Yugang; Feng, Wenting</t>
  </si>
  <si>
    <t>Soil salinization increases the stability of fungal not bacterial communities in the Taklamakan desert</t>
  </si>
  <si>
    <t>SOIL ECOLOGY LETTERS</t>
  </si>
  <si>
    <t>community stability; soil salinization; diversity; fungi; modularity; desert ecosystem</t>
  </si>
  <si>
    <t>ECOLOGICAL COMMUNITIES; CLASSIFICATION; PHOSPHORUS</t>
  </si>
  <si>
    <t>center dot Bacterial richness declined but fungal richness increased under salinization.. Bacteria did not become interactively compact or facilitative under salinization. center dot Fungi exhibited more compartmentalized and competitive patterns under salinization. center dot Fungal stability showed steeper increases under salinization than bacterial stability. Soil salinization is a typical environmental challenge in arid regions worldwide. Salinity stress increases plant convergent adaptations and facilitative interactions and thus destabilizes communities. Soil bacteria and fungi have smaller body mass than plants and are often efficient against soil salinization, but how the stability of bacterial and fungal communities change with a wide range of soil salinity gradient remains unclear. Here, we assessed the interactions within both bacterial and fungal communities along a soil salinity gradient in the Taklamakan desert to examine (i) whether the stability of bacterial and fungal communities decreased with soil salinity, and (ii) the stability of which community decreased more with soil salinity, bacteria or fungi. Our results showed that the species richness of soil fungi increased but that of soil bacteria decreased with increasing salinity in topsoils. Fungal communities became more stable under soil salinization, with increasing compartmentalization (i.e., modularity) and proportion of competitions (i.e., negative:positive cohesion) as salinity increased. Bacterial communities exhibited no changes in modularity with increasing salinity and smaller increases in negative:positive cohesion under soil salinization compared to fungal communities. Our results suggest that, by altering interspecific interactions, soil salinization increases the stability of fungal not bacterial communities in extreme environments.</t>
  </si>
  <si>
    <t>[Lin, Litao; Ruan, Zhiyong] Chinese Acad Agr Sci, Inst Agr Resources &amp; Reg Planning, State Key Lab Efficient Utilizat Arid &amp; Semiarid A, Beijing 100081, Peoples R China; [Jing, Xin] Lanzhou Univ, Coll Pastoral Agr Sci &amp; Technol, State Key Lab Grassland Agroecosystems, Lanzhou 730000, Peoples R China; [Wang, Yugang; Feng, Wenting] Chinese Acad Sci, Xinjiang Inst Ecol &amp; Geog, State Key Lab Desert &amp; Oasis Ecol, Key Lab Ecol Safety &amp; Sustainable Dev Arid Lands, Urumqi 830011, Peoples R China; [Wang, Yugang] Chinese Acad Sci, Fukang Stn Desert Ecol, Fukang 831505, Peoples R China; [Wang, Yugang] Univ Chinese Acad Sci, Beijing 100049, Peoples R China</t>
  </si>
  <si>
    <t>Chinese Academy of Agricultural Sciences; Institute of Agricultural Resources &amp; Regional Planning, CAAS; Lanzhou University; Chinese Academy of Sciences; Xinjiang Institute of Ecology &amp; Geography, CAS; Chinese Academy of Sciences; Chinese Academy of Sciences; University of Chinese Academy of Sciences, CAS</t>
  </si>
  <si>
    <t>Feng, WT (corresponding author), Chinese Acad Sci, Xinjiang Inst Ecol &amp; Geog, State Key Lab Desert &amp; Oasis Ecol, Key Lab Ecol Safety &amp; Sustainable Dev Arid Lands, Urumqi 830011, Peoples R China.</t>
  </si>
  <si>
    <t>fengwenting@caas.cn</t>
  </si>
  <si>
    <t>Jing, Xin/I-7882-2016</t>
  </si>
  <si>
    <t>Jing, Xin/0000-0002-7146-7180</t>
  </si>
  <si>
    <t>Intergovernmental International Cooperation on Scientific and Technological Innovation as Part of National Key Research and Development Program [2021YFE0114500]; National Natural Science Foundation of China [41730638, U1803342]; Agricultural Science and Technology Innovation Program (ASTIP); K.C. Wong Education Foundation [GJTD-2020-14]</t>
  </si>
  <si>
    <t>Intergovernmental International Cooperation on Scientific and Technological Innovation as Part of National Key Research and Development Program; National Natural Science Foundation of China(National Natural Science Foundation of China (NSFC)); Agricultural Science and Technology Innovation Program (ASTIP); K.C. Wong Education Foundation</t>
  </si>
  <si>
    <t>AcknowledgmentsThe financial support for this work is Intergovernmental International Cooperation on Scientific and Technological Innovation as Part of National Key Research and Development Program (2021YFE0114500), the National Natural Science Foundation of China (41730638 and U1803342), the Agricultural Science and Technology Innovation Program (ASTIP), and K.C. Wong Education Foundation (GJTD-2020-14).</t>
  </si>
  <si>
    <t>2662-2289</t>
  </si>
  <si>
    <t>2662-2297</t>
  </si>
  <si>
    <t>SOIL ECOL LETT</t>
  </si>
  <si>
    <t>Soil Ecol. Lett.</t>
  </si>
  <si>
    <t>10.1007/s42832-023-0175-5</t>
  </si>
  <si>
    <t>Ecology; Soil Science</t>
  </si>
  <si>
    <t>Environmental Sciences &amp; Ecology; Agriculture</t>
  </si>
  <si>
    <t>C7GI8</t>
  </si>
  <si>
    <t>Bronze</t>
  </si>
  <si>
    <t>WOS:000963555300001</t>
  </si>
  <si>
    <t>Liu, ZL; Ma, CD; Wei, XA</t>
  </si>
  <si>
    <t>Liu, Zelin; Ma, Chunde; Wei, Xin'ao</t>
  </si>
  <si>
    <t>Effect of thermal treatment and moisture content on the mechanical properties of soft sandstone under triaxial extension: an experimental study</t>
  </si>
  <si>
    <t>Thermal treatment; Moisture content; Mechanical properties; Soft rock; Triaxial extension</t>
  </si>
  <si>
    <t>WATER-CONTENT; TENSILE-STRENGTH; ROCK; TEMPERATURE; BEHAVIOR; FRACTURE; FAILURE; MICROCRACKING; TRANSITION; LIMESTONE</t>
  </si>
  <si>
    <t>The problem of deformation damage of soft rocks and the effect of temperature and moisture content on the mechanical properties of rocks has received wide attention in recent decades. To investigate the effect of thermal treatment and moisture content on the triaxial extension mechanical properties and fracture characteristics of soft rock, triaxial extension tests were conducted on sandstone specimens with good homogeneity at different heating temperatures (T = 25, 100, 200, 300, 400, 500, 800 degrees C) and moisture contents (K-t = 0, 20, 50, 80, 100%) with the help of MTS815 testing machine. The results showed that: For rock specimens with K-t = 0, the mass of the specimens decreased monotonically with the increase of temperature, the elastic modulus (E) showed an overall decreasing trend, and the axial ultimate strain (epsilon(amax)) was omega-like pattern. The P-wave velocity (V-p) and axial stress showed a trend of increasing first and then decreasing around T = 200 degrees C. All the specimens fractured instantaneously, and the SEM images showed some grain expansion before T &lt;= 200 degrees C. At the same time, microcracks expand and become more intense after T &gt; 200 degrees C. In addition, the multiple mineral compositions in the specimens showed more complex changes after different thermal treatments, which was another main reason for the deterioration of the specimens. Furthermore, the E decreases while epsilon(amax) increases with the moisture content, and before T = 500 degrees C and K-t = 20%, the K-t significantly influences the triaxial extension strength; after that, however, the effect is minimal.</t>
  </si>
  <si>
    <t>[Liu, Zelin] Cent South Univ, Sch Civil Engn, Changsha 410075, Hunan, Peoples R China; [Ma, Chunde; Wei, Xin'ao] Cent South Univ, Sch Source &amp; Safety Engn, Changsha 410083, Hunan, Peoples R China; [Ma, Chunde] Cent South Univ, Adv Res Ctr, Changsha 410083, Hunan, Peoples R China</t>
  </si>
  <si>
    <t>Central South University; Central South University; Central South University</t>
  </si>
  <si>
    <t>Ma, CD (corresponding author), Cent South Univ, Sch Source &amp; Safety Engn, Changsha 410083, Hunan, Peoples R China.</t>
  </si>
  <si>
    <t>cdma@csu.edu.cn</t>
  </si>
  <si>
    <t>National Natural Science Foundation of China [52074352]; National Key Research Instruments Development Program of China [51927808]; Fundamental Research Funds for the Central Universities of Central South University [2022zzts0036]</t>
  </si>
  <si>
    <t>National Natural Science Foundation of China(National Natural Science Foundation of China (NSFC)); National Key Research Instruments Development Program of China; Fundamental Research Funds for the Central Universities of Central South University</t>
  </si>
  <si>
    <t>This research was funded by the National Natural Science Foundation of China (Grant No. 52074352), the National Key Research Instruments Development Program of China (Grant No. 51927808), and the Fundamental Research Funds for the Central Universities of Central South University (2022zzts0036).</t>
  </si>
  <si>
    <t>10.1007/s40948-023-00576-6</t>
  </si>
  <si>
    <t>C6DM9</t>
  </si>
  <si>
    <t>WOS:000962800800001</t>
  </si>
  <si>
    <t>Lone, FA; Ganaie, MI; Ganaie, SA; Bhat, MS; Rather, JA</t>
  </si>
  <si>
    <t>Lone, Fayaz Ahmad; Ganaie, M. Imran; Ganaie, Showkat A.; Bhat, M. Shafi; Rather, Javeed Ahmad</t>
  </si>
  <si>
    <t>Drivers of agricultural land-use change in Kashmir valley-an application of mixed method approach</t>
  </si>
  <si>
    <t>Agricultural drivers; Land use; Mixed method approach; Expert survey; Kashmir valley</t>
  </si>
  <si>
    <t>DRIVING FORCES; COVER CHANGE; DYNAMICS; SOUTH</t>
  </si>
  <si>
    <t>Agricultural land use change is a major component of global environmental change that concerns food security and the environment. Identification and remediation of these complex processes need methodological diversity to understand human-environmental interactions. The study area has been a prominent hotspot for farmscape alterations recently, thus the present study explores the drivers of agricultural land use change in Kashmir valley. Confidence level analysis was used to compare the results of both the quantitative and qualitative methods. Mixed method approach involving in-depth interviews with experts, questionnaire based on a 5-point Likert scale, literature survey was used to conduct a validation and reliability test on the list of drivers. A multi-nominal regression model was employed as well to emphasise the significance of geo-located or spatialized field evidence. The findings were then compared to data from the literature on agricultural land use changes in the study area. According to confidence analysis, the majority vote is inclined toward drivers like extreme weather events, population growth, land holding size, economic viability of crops, improved irrigation, road connectivity, farm experience and so on. The study concluded that the mixed method approach improves the selection quality of agricultural land use change for modelling and provides suitable management strategies for land use planning.</t>
  </si>
  <si>
    <t>[Lone, Fayaz Ahmad; Ganaie, M. Imran; Bhat, M. Shafi; Rather, Javeed Ahmad] Univ Kashmir, Dept Geog &amp; Disaster Management, Srinagar 190006, India; [Ganaie, Showkat A.] Govt Degree Coll Shopian, Dept Geog, Kashmir 190023, India</t>
  </si>
  <si>
    <t>University of Kashmir</t>
  </si>
  <si>
    <t>Ganaie, MI (corresponding author), Univ Kashmir, Dept Geog &amp; Disaster Management, Srinagar 190006, India.</t>
  </si>
  <si>
    <t>lonemudasir96@gmail.com; emraanmohmad@gmail.com; ganaie.showkat@gmail.com; geoshafi72@gmail.com; jarather@gmail.com</t>
  </si>
  <si>
    <t>Ganaie, M mran/GPK-5010-2022</t>
  </si>
  <si>
    <t>Ganaie, M mran/0000-0002-9291-6870</t>
  </si>
  <si>
    <t>10.1007/s12076-023-00345-9</t>
  </si>
  <si>
    <t>G6NO4</t>
  </si>
  <si>
    <t>WOS:000990304700002</t>
  </si>
  <si>
    <t>Long, XT; Xie, HP; Liu, J; Li, N; Li, CB</t>
  </si>
  <si>
    <t>Long, Xiting; Xie, Heping; Liu, Jie; Li, Ning; Li, Cunbao</t>
  </si>
  <si>
    <t>Gas fracturing behavior and breakdown pressure prediction model for granite under different confining pressure and injection rate</t>
  </si>
  <si>
    <t>Gas fracturing; Hot dry rock; Breakdown pressure; Acoustic emission; Prediction model</t>
  </si>
  <si>
    <t>SHALE GAS; WATER; FLUID; TEMPERATURE; INITIATION; PROPAGATION; CHALLENGES</t>
  </si>
  <si>
    <t>Conventional hydraulic fracturing techniques are often found problematic for extracting geothermal energy in hot dry rock (HDR). As an alternative, employing the less viscous gas to replace water as the fracturing fluid showed great potential for more effective fracturing of HDR. In this work, the failure behavior and mechanism of granite during gas fracturing under different confining pressures and gas injection rates are comprehensively examined. It is shown that the breakdown pressure increases with the increase of confining pressure, whereas higher gas injection rate can result in evident decrease of the breakdown pressure. As the confining pressure grows, the acoustic emission (AE) event increases rapidly, with much higher AE counts observed at high gas injection rates than at low injection rates. Comparatively, the AE energy decreases under high confining pressure, due probably to granite transitioning from brittle to ductile. It is interesting that the b-value of AE varies dramatically as the gas injection rate becomes higher with significant fluctuations, indicating the ratio of large fracture and small fracture changes drastically during gas fracturing. In addition, the length of the induced fractures decreases with the increase of confining pressure during gas fracturing, and the length and width of vertical fractures are evidently larger when at high gas injection rate. Last, a novel theoretical predictive model is proposed for estimating breakdown pressure during gas fracturing based on the average tensile stress criteria, which is featured by considering the effect of confining pressure and gas flow behaviors. The theoretical prediction agrees with the experimental results. The present study can provide valuable results for theoretical analysis and engineering applications of gas fracturing in stimulating the HDR reservoirs.</t>
  </si>
  <si>
    <t>[Long, Xiting; Xie, Heping; Liu, Jie; Li, Ning; Li, Cunbao] Shenzhen Univ, Shenzhen Key Lab Deep Engn Sci &amp; Green Energy, Shenzhen 518060, Peoples R China; [Long, Xiting; Xie, Heping; Li, Ning; Li, Cunbao] Shenzhen Univ, Guangdong Prov Key Lab Deep Earth Sci &amp; Geothermal, Shenzhen 518060, Peoples R China; [Liu, Jie] Chongqing Univ, State Key Lab Coal Mine Disaster Dynam &amp; Control, Chongqing 400044, Peoples R China</t>
  </si>
  <si>
    <t>Shenzhen University; Shenzhen University; Chongqing University</t>
  </si>
  <si>
    <t>Li, CB (corresponding author), Shenzhen Univ, Shenzhen Key Lab Deep Engn Sci &amp; Green Energy, Shenzhen 518060, Peoples R China.</t>
  </si>
  <si>
    <t>cunbao.li@szu.edu.cn</t>
  </si>
  <si>
    <t>National Natural Science Funding of China [U22A20166, 12172230, U2013603, 42002267]; Department of Science and Technology of Guangdong Province [2019ZT08G315]; Guangdong Basic and Applied Basic Research Foundation [2023A1515012654]; Shenzhen Natural Science Fund [20200812152953002, 20220810180129001]</t>
  </si>
  <si>
    <t>National Natural Science Funding of China(National Natural Science Foundation of China (NSFC)); Department of Science and Technology of Guangdong Province; Guangdong Basic and Applied Basic Research Foundation; Shenzhen Natural Science Fund</t>
  </si>
  <si>
    <t>This study was funded by the National Natural Science Funding of China (No. U22A20166, No. 12172230, No. U2013603 and No. 42002267); the Department of Science and Technology of Guangdong Province (No. 2019ZT08G315); the Guangdong Basic and Applied Basic Research Foundation (2023A1515012654); and the Shenzhen Natural Science Fund (the Stable Support Plan Program 20200812152953002 and 20220810180129001). The authors also thank anonymous colleagues for their kind efforts and valuable comments in improving this work.</t>
  </si>
  <si>
    <t>10.1007/s40948-023-00623-2</t>
  </si>
  <si>
    <t>I2CT5</t>
  </si>
  <si>
    <t>WOS:001000922500001</t>
  </si>
  <si>
    <t>Mengesha, T; Salgado, AJ; Siktar, JM</t>
  </si>
  <si>
    <t>Mengesha, Tadele; Salgado, Abner J.; Siktar, Joshua M.</t>
  </si>
  <si>
    <t>On the Optimal Control of a Linear Peridynamics Model</t>
  </si>
  <si>
    <t>APPLIED MATHEMATICS AND OPTIMIZATION</t>
  </si>
  <si>
    <t>Peridynamics; Optimal control; Asymptotic compatibility; Integral equations; Non-local systems; Bond-based model</t>
  </si>
  <si>
    <t>ASYMPTOTICALLY COMPATIBLE SCHEMES; FRACTIONAL LAPLACIAN; FRACTURE; LIMIT; CONVERGENCE; REGULARITY; EQUATION</t>
  </si>
  <si>
    <t>We study a non-local optimal control problem involving a linear, bond-based peridy-namics model. In addition to existence and uniqueness of solutions to our problem, we investigate their behavior as the horizon parameter d, which controls the degree of nonlocality, approaches zero. We then study a finite element-based discretization of this problem, its convergence, and the so-called asymptotic compatibility as the discretization parameter h and the horizon parameter d tend to zero simultaneously.</t>
  </si>
  <si>
    <t>[Mengesha, Tadele; Salgado, Abner J.; Siktar, Joshua M.] Univ Tennessee, Dept Math, Knoxville, TN 37996 USA</t>
  </si>
  <si>
    <t>University of Tennessee System; University of Tennessee Knoxville</t>
  </si>
  <si>
    <t>Salgado, AJ (corresponding author), Univ Tennessee, Dept Math, Knoxville, TN 37996 USA.</t>
  </si>
  <si>
    <t>mengesha@utk.edu; asalgad1@utk.edu; jsiktar@vols.utk.edu</t>
  </si>
  <si>
    <t>National Science Foundation [DMS-1910180, DMS-2206252, DMS-2111228]</t>
  </si>
  <si>
    <t>National Science Foundation(National Science Foundation (NSF))</t>
  </si>
  <si>
    <t>Tadele Mengesha is supported by National Science Foundation grants DMS-1910180 and DMS-2206252. Abner J. Salgado and Joshua M. Siktar have been supported by National Science Foundation grant DMS-2111228.</t>
  </si>
  <si>
    <t>0095-4616</t>
  </si>
  <si>
    <t>1432-0606</t>
  </si>
  <si>
    <t>APPL MATH OPT</t>
  </si>
  <si>
    <t>Appl. Math. Optim.</t>
  </si>
  <si>
    <t>10.1007/s00245-023-10045-x</t>
  </si>
  <si>
    <t>Mathematics, Applied</t>
  </si>
  <si>
    <t>P4OQ8</t>
  </si>
  <si>
    <t>WOS:001050460600001</t>
  </si>
  <si>
    <t>Miao, CR; Wang, Q; Tang, Y</t>
  </si>
  <si>
    <t>Miao, Cairan; Wang, Qi; Tang, Yi</t>
  </si>
  <si>
    <t>A multi-energy inertia-based power support strategy with gas network constraints</t>
  </si>
  <si>
    <t>PROTECTION AND CONTROL OF MODERN POWER SYSTEMS</t>
  </si>
  <si>
    <t>Gas network; Multi-energy inertia; Power support; Integrated energy system</t>
  </si>
  <si>
    <t>An integrated energy system with multiple types of energy can support power shortages caused by the uncertainty of renewable energy. With full consideration of gas network constraints, this paper proposes a multi-energy inertia-based power support strategy. The definition and modelling of gas inertia are given first to demonstrate its ability to mitigate power fluctuations. Since partial utilization of gas inertia can influence overall gas network parameters, the gas network is modelled with an analysis of network dynamic changes. A multi-energy inertia-based power support model and strategy are then proposed for fully using gas-thermal inertia resources in integrated energy systems. The influence of gas network constraints on strategy, economy and power outputs is analyzed. Special circumstances where the gas network can be simplified are introduced. This improves the response speed and application value. The feasibility and effectiveness of the proposed strategy are assessed using a real scenario.</t>
  </si>
  <si>
    <t>[Miao, Cairan; Wang, Qi; Tang, Yi] Southeast Univ, Sch Elect Engn, 2 Sipailou, Nanjing, Jiangsu, Peoples R China</t>
  </si>
  <si>
    <t>Southeast University - China</t>
  </si>
  <si>
    <t>Wang, Q (corresponding author), Southeast Univ, Sch Elect Engn, 2 Sipailou, Nanjing, Jiangsu, Peoples R China.</t>
  </si>
  <si>
    <t>wangqi@seu.edu.cn</t>
  </si>
  <si>
    <t>Wang, Qi/0000-0001-8246-8755</t>
  </si>
  <si>
    <t>SPRINGER SINGAPORE PTE LTD</t>
  </si>
  <si>
    <t>SINGAPORE</t>
  </si>
  <si>
    <t>#04-01 CENCON I, 1 TANNERY RD, SINGAPORE 347719, SINGAPORE</t>
  </si>
  <si>
    <t>2367-2617</t>
  </si>
  <si>
    <t>2367-0983</t>
  </si>
  <si>
    <t>PROT CONTR MOD POW</t>
  </si>
  <si>
    <t>Prot. Control Mod. Power Syst.</t>
  </si>
  <si>
    <t>10.1186/s41601-023-00292-z</t>
  </si>
  <si>
    <t>Energy &amp; Fuels; Engineering, Electrical &amp; Electronic</t>
  </si>
  <si>
    <t>Energy &amp; Fuels; Engineering</t>
  </si>
  <si>
    <t>D8FN6</t>
  </si>
  <si>
    <t>WOS:000971031600002</t>
  </si>
  <si>
    <t>Moriyama, K; Okanaga, H</t>
  </si>
  <si>
    <t>Moriyama, Kohei; Okanaga, Hiroo</t>
  </si>
  <si>
    <t>Effects of golf ball dimple surface occupancy, volume ratio and depth on aerodynamic characteristics during rotation</t>
  </si>
  <si>
    <t>Golf ball; Aerodynamic; Dimple; Occupancy; Volume ratio</t>
  </si>
  <si>
    <t>For golfers, the length of the flight distance is very important for improving scores. Therefore, the surface of a golf ball is provided with innumerable dents called dimples to improve the flight distance. These dimples can be characterized by the dimple occupancy and dimple volume ratio. Therefore, we manufactured model balls in which the dimple occupancy was changed by the dimple diameter and the number of dimples, and the dimple depth was changed to change the dimple volume ratio. Fifteen model balls were designed using 3D CAD and then 3D printed. Using these balls, we carried out lift and drag measurements in wind tunnel experiments. Then, a flight trajectory simulation was performed based on the obtained experimental results, and the effects of the dimple occupancy and dimple volume ratio on the flight distance were elucidated. In rotating golf balls, when the dimple depth was shallow, i.e., D/d = 4.55 x 10(-3), and the occupancy ratio was 80% or higher, the lift-drag ratio was higher, and the flying distance was increased. However, when the dimple depths were D/d = 6.82 x 10(-3) and D/d = 9.09 x 10(-3), there was almost no effect of the occupancy ratio. Furthermore, when comparing these two depths, the lift-drag ratio was bout 15% lower for deeper dimples. With respect to the dimple volume ratio, the drag coefficient increased with increasing dimple volume ratio. The lift-drag ratio was also highest in the dimple volume ratio range of 11.0-12.0 x 10(-3).</t>
  </si>
  <si>
    <t>[Moriyama, Kohei] Grad Sch Tokai Univ, Dept Mech Engn, 4-1-1 Kitakaname, Hiratsuka, Kanagawa 2591292, Japan; [Okanaga, Hiroo] Tokai Univ, Dept Mech Engn, 4-1-1 Kitakaname, Hiratsuka, Kanagawa 2591292, Japan</t>
  </si>
  <si>
    <t>Tokai University; Tokai University</t>
  </si>
  <si>
    <t>Moriyama, K (corresponding author), Grad Sch Tokai Univ, Dept Mech Engn, 4-1-1 Kitakaname, Hiratsuka, Kanagawa 2591292, Japan.</t>
  </si>
  <si>
    <t>1cemm098@cc.u-tokai.ac.jp; okanaga@tokai-u.ac.jp</t>
  </si>
  <si>
    <t>10.1007/s12283-023-00400-0</t>
  </si>
  <si>
    <t>8I7LP</t>
  </si>
  <si>
    <t>WOS:000921912100001</t>
  </si>
  <si>
    <t>Muszynska-Spielauer, M; Luy, M</t>
  </si>
  <si>
    <t>Muszynska-Spielauer, Magdalena; Luy, Marc</t>
  </si>
  <si>
    <t>Well-Being Adjusted Health Expectancy: A New Summary Measure of Population Health (vol 38, pg 1009, 2022)</t>
  </si>
  <si>
    <t>EUROPEAN JOURNAL OF POPULATION-REVUE EUROPEENNE DE DEMOGRAPHIE</t>
  </si>
  <si>
    <t>Correction</t>
  </si>
  <si>
    <t>[Muszynska-Spielauer, Magdalena; Luy, Marc] Univ Vienna, Wittgenstein Ctr Demography &amp; Global Human Capital, Vienna Inst Demography OeAW, IIASA,OeAW, Vienna, Austria</t>
  </si>
  <si>
    <t>International Institute for Applied Systems Analysis (IIASA); University of Vienna</t>
  </si>
  <si>
    <t>Muszynska-Spielauer, M (corresponding author), Univ Vienna, Wittgenstein Ctr Demography &amp; Global Human Capital, Vienna Inst Demography OeAW, IIASA,OeAW, Vienna, Austria.</t>
  </si>
  <si>
    <t>magdalena.muszynska@oeaw.ac.at</t>
  </si>
  <si>
    <t>Luy, Marc/C-4120-2016</t>
  </si>
  <si>
    <t>Luy, Marc/0000-0001-9282-6472</t>
  </si>
  <si>
    <t>European Research Council</t>
  </si>
  <si>
    <t>European Research Council(European Research Council (ERC))</t>
  </si>
  <si>
    <t>The original online version of this article was revised: In this article, the statement in the Funding information section was incorrectly given as Open Access funding provided by the OEsterreichische Akademie der Wissenschaften; it should have read European Research Council.</t>
  </si>
  <si>
    <t>0168-6577</t>
  </si>
  <si>
    <t>1572-9885</t>
  </si>
  <si>
    <t>EUR J POPUL</t>
  </si>
  <si>
    <t>Eur. J. Popul.-Rev. Eur. Demogr.</t>
  </si>
  <si>
    <t>10.1007/s10680-023-09648-5</t>
  </si>
  <si>
    <t>Demography</t>
  </si>
  <si>
    <t>9L2NW</t>
  </si>
  <si>
    <t>hybrid, Green Accepted</t>
  </si>
  <si>
    <t>WOS:000941392300001</t>
  </si>
  <si>
    <t>Nyblom, J</t>
  </si>
  <si>
    <t>Nyblom, Jukka</t>
  </si>
  <si>
    <t>How did the meter acquire its definitive length?</t>
  </si>
  <si>
    <t>GEM-INTERNATIONAL JOURNAL ON GEOMATHEMATICS</t>
  </si>
  <si>
    <t>Commission of weights and measures; Ellipticity; Flattening of the earth; Meridian arc</t>
  </si>
  <si>
    <t>The French Academy of Science decided in 1791 that the new unit of length, the meter, is to be as one ten millionth part of the meridian quarter from the north pole to the equator. In order to find out the numerical value for this length, the Academy equipped two expeditions for measuring the meridian arc between Dunkirk and Barcelona. Then by mathematical calculations one could derive the length of the meridian quarter. After the expeditions had returned to Paris and their data had become available, Pierre-Simon Laplace (1749-1827) estimated the flattening of the earth. He obtained the value 1/150.6, which cannot stand as regards known facts. This is a story about how Laplace managed to save the meter project. Combining the new French arc measurements with the older measurements made in Peru 1730-40 he estimated the flattening anew and found the plausible value 1/334. With the help of this new flattening he calculated the definitive length of the meter to be 443.296 Parisian lines. The final section of the article tells the refinements of the meter's definitions from the year 1799 to the present.</t>
  </si>
  <si>
    <t>[Nyblom, Jukka] Univ Jyvaskyla, Dept Math &amp; Stat, Seminaarinkatu 15,POB 35, Jyvaskyla 40014, Finland</t>
  </si>
  <si>
    <t>University of Jyvaskyla</t>
  </si>
  <si>
    <t>Nyblom, J (corresponding author), Univ Jyvaskyla, Dept Math &amp; Stat, Seminaarinkatu 15,POB 35, Jyvaskyla 40014, Finland.</t>
  </si>
  <si>
    <t>jukka.nyblom@jyu.fi</t>
  </si>
  <si>
    <t>1869-2672</t>
  </si>
  <si>
    <t>1869-2680</t>
  </si>
  <si>
    <t>GEM INT J GEOMATHEMA</t>
  </si>
  <si>
    <t>GEM Int. J. Geomathematics</t>
  </si>
  <si>
    <t>10.1007/s13137-023-00218-9</t>
  </si>
  <si>
    <t>Mathematics, Interdisciplinary Applications</t>
  </si>
  <si>
    <t>E5PL2</t>
  </si>
  <si>
    <t>WOS:000976058400001</t>
  </si>
  <si>
    <t>O'Regan, D</t>
  </si>
  <si>
    <t>O'Regan, Donal</t>
  </si>
  <si>
    <t>Selecting Families and Coincidence Theory</t>
  </si>
  <si>
    <t>Coincidence points; fixed points; set-valued maps</t>
  </si>
  <si>
    <t>MAXIMAL ELEMENTS; FIXED-POINTS; EQUILIBRIA</t>
  </si>
  <si>
    <t>Using a fixed point result of the author we establish a variety of new collectively coincidence point results between different classes of multivalued maps.</t>
  </si>
  <si>
    <t>[O'Regan, Donal] Univ Galway, Sch Math &amp; Stat Sci, Galway, Ireland</t>
  </si>
  <si>
    <t>Ollscoil na Gaillimhe-University of Galway</t>
  </si>
  <si>
    <t>O'Regan, D (corresponding author), Univ Galway, Sch Math &amp; Stat Sci, Galway, Ireland.</t>
  </si>
  <si>
    <t>donal.oregan@nuigalway.ie</t>
  </si>
  <si>
    <t>10.1007/s00025-023-02006-1</t>
  </si>
  <si>
    <t>R4TY9</t>
  </si>
  <si>
    <t>WOS:001064297900002</t>
  </si>
  <si>
    <t>Ouyang, JX; Pan, XY; Ye, JJ; Xiao, C; Diao, YB; Zhang, QW</t>
  </si>
  <si>
    <t>Ouyang, Jinxin; Pan, Xinyu; Ye, Junjun; Xiao, Chao; Diao, Yanbo; Zhang, Qingwu</t>
  </si>
  <si>
    <t>An improved prediction method of subsequent commutation failure of an LCC-HVDC considering sequential control response</t>
  </si>
  <si>
    <t>Line-commutated converter based high-voltage direct-current (LCC-HVDC); Subsequent commutation failure (SCF); Converter station; Prediction</t>
  </si>
  <si>
    <t>CONTROL STRATEGY; VOLTAGE</t>
  </si>
  <si>
    <t>Subsequent commutation failure (SCF) can be easily generated during the first commutation failure (CF) recovery process in a line-commutated converter-based high voltage direct-current system. SCF poses a significant threat to the safe and stable operation of power systems, and accurate prediction of CF is thus important. However, SCF is affected by the operating characteristics of the main circuit and the coupling effects of sequential control response in the inverter station. These are difficult to predict accurately. In this paper, a new SCF prediction method considering the control response is proposed based on the physical principle of SCF. The time sequence and switching conditions of the controllers at different stages of the first CF recovery process are described, and the corresponding equations of commutation voltage affected by different controllers are derived. The calculation method of the SCF threshold voltage is proposed, and the prediction method is established. Simulations show that the proposed method can predict SCF accurately and provide useful tools to suppress SCF.</t>
  </si>
  <si>
    <t>[Ouyang, Jinxin; Pan, Xinyu; Ye, Junjun] Chongqing Univ, Dept Elect Engn, State Key Lab Power Transmiss Equipment &amp; Syst Sec, Sch Elect Engn, Chongqing 400044, Peoples R China; [Xiao, Chao] Elect Power Res Inst State Grid Henan Elect Power, Zhengzhou 450052, Peoples R China; [Diao, Yanbo] Chongqing City Management Coll, Chongqing 401331, Peoples R China; [Zhang, Qingwu] NR Elect Co Ltd, Nanjing 211100, Peoples R China</t>
  </si>
  <si>
    <t>Chongqing University</t>
  </si>
  <si>
    <t>Ouyang, JX (corresponding author), Chongqing Univ, Dept Elect Engn, State Key Lab Power Transmiss Equipment &amp; Syst Sec, Sch Elect Engn, Chongqing 400044, Peoples R China.</t>
  </si>
  <si>
    <t>jinxinoy@163.com</t>
  </si>
  <si>
    <t>Not applicable.</t>
  </si>
  <si>
    <t>152 Beach Road, #21-01 Gateway East, SINGAPORE, SINGAPORE</t>
  </si>
  <si>
    <t>10.1186/s41601-023-00323-9</t>
  </si>
  <si>
    <t>S4JY8</t>
  </si>
  <si>
    <t>WOS:001070859500001</t>
  </si>
  <si>
    <t>Patel, P; Mehta, D; Sharma, N</t>
  </si>
  <si>
    <t>Patel, Priyank; Mehta, Darshan; Sharma, Neeraj</t>
  </si>
  <si>
    <t>Assigning the Weights to DRASTIC-L Model Parameters Using AHP Technique</t>
  </si>
  <si>
    <t>Groundwater contamination; Vulnerability assessment; DRASTIC-L; Analytic Hierarchy Process; Weight modification</t>
  </si>
  <si>
    <t>GROUNDWATER VULNERABILITY; AQUIFER VULNERABILITY; SENSITIVITY-ANALYSIS; GIS</t>
  </si>
  <si>
    <t>Groundwater is a very important source of water across the globe. Different factors and man-made activities affect groundwater quality. Groundwater systems are very dynamic so if it is contaminated then it is very difficult to improve its quality. As a result, protecting groundwater from contamination is very difficult. Vulnerability assessment is a very effective tool to identify vulnerable areas as well as to improve the quality of the groundwater. There are different types of vulnerability assessment methods which are used to assess groundwater quality. DRASTIC-L model is a very effective overlay and index method to assess groundwater vulnerability. In the DRASTIC-L model, weights are given to all seven parameters which include depth to water table, net recharge, aquifer media, soil media, topography, impact of vadose zone, hydraulic conductivity, and landuse and landcover. The aim of the study is to modify the weights of the DRASTIC-L parameters using the Analytic Hierarchy Process. The Analytic Hierarchy Process is a very much effective technique to modify the weights based on the study area's geologic as well as physical conditions and the expert's opinion. Modified weights are very much effective in the vulnerability assessment because it gives a broad concept based on the study area's field condition. It improves the accuracy of the assessment. Consistency checking of the study is less than 10 percent; it shows that weights are effective for further study. This Analytic Hierarchy Process (AHP) technique is very much helpful in the different applications of water resource engineering like in flood inundation mapping, groundwater potential zone identification, and groundwater vulnerability assessment. So, the AHP technique is very helpful to the researchers.</t>
  </si>
  <si>
    <t>[Patel, Priyank] Dr S&amp;SS Ghandhy Govt Engn Coll, Dept Civil Engn, Surat, India; [Mehta, Darshan; Sharma, Neeraj] GIDC Degree Engn Coll, Abrama, Navsari, India</t>
  </si>
  <si>
    <t>Mehta, D (corresponding author), GIDC Degree Engn Coll, Abrama, Navsari, India.</t>
  </si>
  <si>
    <t>ap_darshan_mehta@gtu.edu.in</t>
  </si>
  <si>
    <t>10.1007/s41101-023-00198-9</t>
  </si>
  <si>
    <t>I7ZT5</t>
  </si>
  <si>
    <t>WOS:001004939300001</t>
  </si>
  <si>
    <t>Pommier, T</t>
  </si>
  <si>
    <t>Pommier, Thomas</t>
  </si>
  <si>
    <t>Diverse organic carbon activates soil microbiome functioning via niche modulation</t>
  </si>
  <si>
    <t>Editorial Material</t>
  </si>
  <si>
    <t>RHIZOSPHERE MICROBIOME; DISEASE</t>
  </si>
  <si>
    <t>[Pommier, Thomas] Univ Claude Bernard Lyon 1, UMR INRAE Ecol Microbienne 1418, F-69622 Villeurbanne, France</t>
  </si>
  <si>
    <t>INRAE; UDICE-French Research Universities; Universite Claude Bernard Lyon 1</t>
  </si>
  <si>
    <t>Pommier, T (corresponding author), Univ Claude Bernard Lyon 1, UMR INRAE Ecol Microbienne 1418, F-69622 Villeurbanne, France.</t>
  </si>
  <si>
    <t>Thomas.Pommier@inrae.fr</t>
  </si>
  <si>
    <t>10.1007/s42832-023-0180-8</t>
  </si>
  <si>
    <t>J0MG1</t>
  </si>
  <si>
    <t>WOS:001006627100001</t>
  </si>
  <si>
    <t>Rundblad, A; Christensen, JJ; Hustad, KS; Bastani, NE; Ottestad, I; Holven, KB; Ulven, SM</t>
  </si>
  <si>
    <t>Rundblad, Amanda; Christensen, Jacob J. J.; Hustad, Kristin S. S.; Bastani, Nasser E. E.; Ottestad, Inger; Holven, Kirsten B. B.; Ulven, Stine M. M.</t>
  </si>
  <si>
    <t>Associations between dietary intake and glucose tolerance in clinical and metabolomics-based metabotypes</t>
  </si>
  <si>
    <t>GENES AND NUTRITION</t>
  </si>
  <si>
    <t>Metabotyping; Metabotypes; Glucose tolerance; Diet</t>
  </si>
  <si>
    <t>TYPE-2 DIABETES-MELLITUS; INSULIN; EPIDEMIOLOGY; PREVENTION; ADULTS; RISK</t>
  </si>
  <si>
    <t>BackgroundMetabotyping is a novel concept to group metabolically similar individuals. Different metabotypes may respond differently to dietary interventions; hence, metabotyping may become an important future tool in precision nutrition strategies. However, it is not known if metabotyping based on comprehensive omic data provides more useful identification of metabotypes compared to metabotyping based on only a few clinically relevant metabolites.AimThis study aimed to investigate if associations between habitual dietary intake and glucose tolerance depend on metabotypes identified from standard clinical variables or comprehensive nuclear magnetic resonance (NMR) metabolomics.MethodsWe used cross-sectional data from participants recruited through advertisements aimed at people at risk of type 2 diabetes mellitus (n = 203). Glucose tolerance was assessed with a 2-h oral glucose tolerance test (OGTT), and habitual dietary intake was recorded with a food frequency questionnaire. Lipoprotein subclasses and various metabolites were quantified with NMR spectroscopy, and plasma carotenoids were quantified using high-performance liquid chromatography. We divided participants into favorable and unfavorable clinical metabotypes based on established cutoffs for HbA1c and fasting and 2-h OGTT glucose. Favorable and unfavorable NMR metabotypes were created using k-means clustering of NMR metabolites.ResultsWhile the clinical metabotypes were separated by glycemic variables, the NMR metabotypes were mainly separated by variables related to lipoproteins. A high intake of vegetables was associated with a better glucose tolerance in the unfavorable, but not the favorable clinical metabotype (interaction, p = 0.01). This interaction was confirmed using plasma concentrations of lutein and zeaxanthin, objective biomarkers of vegetable intake. Although non-significantly, the association between glucose tolerance and fiber intake depended on the clinical metabotypes, while the association between glucose tolerance and intake of saturated fatty acids and dietary fat sources depended on the NMR metabotypes.ConclusionMetabotyping may be a useful tool to tailor dietary interventions that will benefit specific groups of individuals. The variables that are used to create metabotypes will affect the association between dietary intake and disease risk.</t>
  </si>
  <si>
    <t>[Rundblad, Amanda; Christensen, Jacob J. J.; Hustad, Kristin S. S.; Bastani, Nasser E. E.; Ottestad, Inger; Holven, Kirsten B. B.; Ulven, Stine M. M.] Univ Oslo, Inst Basic Med Sci, Dept Nutr, POB 1046 Blindern, N-0317 Oslo, Norway; [Holven, Kirsten B. B.] Oslo Univ Hosp, Dept Endocrinol Morbid Obes &amp; Prevent Med, Natl Advisory Unit Familial Hypercholesterolemia, Oslo, Norway</t>
  </si>
  <si>
    <t>University of Oslo; University of Oslo</t>
  </si>
  <si>
    <t>Rundblad, A (corresponding author), Univ Oslo, Inst Basic Med Sci, Dept Nutr, POB 1046 Blindern, N-0317 Oslo, Norway.</t>
  </si>
  <si>
    <t>amanda.rundblad@medisin.uio.no</t>
  </si>
  <si>
    <t>Christensen, Jacob Juel/ABH-4106-2020</t>
  </si>
  <si>
    <t>Christensen, Jacob Juel/0000-0001-8008-0650; Rundblad, Amanda/0000-0002-1243-5699</t>
  </si>
  <si>
    <t>1555-8932</t>
  </si>
  <si>
    <t>1865-3499</t>
  </si>
  <si>
    <t>GENES NUTR</t>
  </si>
  <si>
    <t>Genes Nutr.</t>
  </si>
  <si>
    <t>10.1186/s12263-023-00721-6</t>
  </si>
  <si>
    <t>Genetics &amp; Heredity; Nutrition &amp; Dietetics</t>
  </si>
  <si>
    <t>9U5HL</t>
  </si>
  <si>
    <t>gold, Green Published</t>
  </si>
  <si>
    <t>WOS:000947741600001</t>
  </si>
  <si>
    <t>Singh, AK; Hissariya, R; Srivastava, S; Chandel, VS</t>
  </si>
  <si>
    <t>Singh, Abhishek Kumar; Hissariya, R.; Srivastava, Seema; Chandel, Vishal Singh</t>
  </si>
  <si>
    <t>Structural and Optical Properties of SmFe1-xMnxO3 Nanocrystallites</t>
  </si>
  <si>
    <t>SmFeO3; Optical absorption spectroscopy; Perovskite; Quantum confinement</t>
  </si>
  <si>
    <t>HIGH DIELECTRIC-CONSTANT; MAGNETIC-PROPERTIES</t>
  </si>
  <si>
    <t>SmFeO3 is an excellent host material as a potential agent for oxide-based spintronic applications that manifests unusual physical characteristics, namely spin reorientation transition (480 K) and spin-phonon coupling. The help of doping influences the spin reorientation transition. Here, we report the successful synthesis of SmFe1-xMnxO3 (x = 0, 0.10, 0.30, 0.50). Orthorhombic (space group: Pbnm) structures and lattice parameters of samples increase with Mn doping. In the case of 50% doped Mn, cation ordering (Fe-O-Mn) was confirmed by the ordering peak and unit-cell doubling. X-ray photoelectron spectroscopy approved the presence of Fe3+ cations and is distributed differently. The Raman spectra confirmed the phase formation. The band gap is changed from 2.51 to 1.21 eV, as confirmed by the change in sample colour and UV-visible spectroscopy in Mn-doping result. Our experimental findings suggest that with site substitution, the structural and optical properties of SmFe1-xMnxO3 change remarkably.</t>
  </si>
  <si>
    <t>[Singh, Abhishek Kumar; Srivastava, Seema] Integral Univ, Dept Phys, Kursi Rd, Lucknow 226026, Uttar Pradesh, India; [Hissariya, R.] IIT BHU, Sch Mat Sci &amp; Technol, Varanasi 221005, Uttar Pradesh, India; [Chandel, Vishal Singh] Rajkiya Engn Coll, Dept Appl Sci &amp; Humanities, Ambedkar Nagar 224122, Uttar Pradesh, India</t>
  </si>
  <si>
    <t>Integral University; Indian Institute of Technology System (IIT System); Indian Institute of Technology BHU Varanasi (IIT BHU Varanasi)</t>
  </si>
  <si>
    <t>Singh, AK (corresponding author), Integral Univ, Dept Phys, Kursi Rd, Lucknow 226026, Uttar Pradesh, India.</t>
  </si>
  <si>
    <t>abhi_1503@live.com</t>
  </si>
  <si>
    <t>[D/2023-MCN0002091]</t>
  </si>
  <si>
    <t>We are grateful to IIT (BHU), Varanasi's Central Instrumental Facility for providing the fundamental characterization resources. Further, a big thanks to Integral University, Lucknow, for delivering us chances for the research work and providing the manuscript communication number IU/R &amp; amp;D/2023-MCN0002091.</t>
  </si>
  <si>
    <t>10.1007/s13538-023-01363-0</t>
  </si>
  <si>
    <t>R7ND3</t>
  </si>
  <si>
    <t>WOS:001066175600001</t>
  </si>
  <si>
    <t>Tan, TT; Feng, YX; Wang, WM; Wang, RR; Yin, LY; Zeng, YY; Zeng, ZW; Xie, T</t>
  </si>
  <si>
    <t>Tan, Tiantian; Feng, Yuxin; Wang, Weimin; Wang, Rongrong; Yin, Liyan; Zeng, Yiying; Zeng, Zhaowu; Xie, Tian</t>
  </si>
  <si>
    <t>Cabazitaxel-loaded human serum albumin nanoparticles combined with TGF beta-1 siRNA lipid nanoparticles for the treatment of paclitaxel-resistant non-small cell lung cancer</t>
  </si>
  <si>
    <t>Cabazitaxel; Albumin; Paclitaxel-resistant NSCLC; Lipid nanoparticles; TGF beta-1 siRNA</t>
  </si>
  <si>
    <t>EPITHELIAL-MESENCHYMAL TRANSITION; DRUG-DELIVERY; SUPPRESSES; PROLIFERATION; CHEMOTHERAPY; MECHANISMS; APOPTOSIS; DESIGN; RNAI</t>
  </si>
  <si>
    <t>Background: In the current treatment of non-small cell lung cancer (NSCLC), traditional chemotherapy causes high toxicity, so it is necessary to develop safe chemical drug delivery vehicles clinically. Chemotherapy monotherapy is prone to drug resistance. Chemotherapy combined with other therapies such as nucleic acid drugs is an effective way to avoid drug resistance and the toxicity of continuous chemotherapy. In this study, chemotherapy and siRNA therapy were combined to treat paclitaxel-resistant NSCLC in order to increase efficacy and reduce toxicity. This study aims to develop a cabazitaxel-loaded human serum albumin nanoparticles (CTX-HSA-NPs) to improve the toxicity of traditional CTX-Tween 80 and increase targeting, and to develop a TGF beta-1 siRNA lipid Nanoparticles (TGF beta-1 siRNA LNP) combined with chemotherapy in the treatment of paclitaxel-resistant NSCLC. Results: This study prepared CTX-HSA-NPs and TGF beta-1 siRNA LNP had small particle size, high encapsulation efficiency (EE). CTX-HSA-NPs lyophilized powder has high stability after dissolved. The antitumor effect of CTX-HSA-NPs on paclitaxel-resistant NSCLC was higher than that of CTX-Tween, and the toxicity was 1.8 times lower than that of CTX-Tween. More importantly, the combined treatment of TGF beta-1 siRNA LNP and CTX-HSA-NPs could effectively improve the antitumor efficacy of paclitaxel-resistant NSCLC in vivo and in vitro. The results of tumor immunohistochemistry showed that TGF beta-1 siRNA LNP significantly inhibited the expression of TGF beta-1, and compared with other groups, the expression of P-gp after low-dose CTX-HSA-NPs treatment was lower, which did not cause obvious drug resistance. Conclusions: The antitumor effect of CTX-HSA-NPs on paclitaxel-resistant NSCLC was higher than that of CTX-Tween, and the toxicity was lower than that of CTX-Tween. TGF beta-1 siRNA LNP can treat paclitaxel-resistant NSCLC by inhibiting the express of TGF beta-1 mRNA. The combined treatment of TGF beta-1 siRNA LNP and CTX-HSA-NPs could effectively improve the antitumor efficacy of paclitaxel-resistant NSCLC. A combination therapy of chemotherapy and nucleic acid drugs could be an effective approach for treating paclitaxel-resistant NSCLC.</t>
  </si>
  <si>
    <t>[Tan, Tiantian; Feng, Yuxin; Wang, Weimin; Wang, Rongrong; Zeng, Yiying; Zeng, Zhaowu; Xie, Tian] Hangzhou Normal Univ, Sch Pharm, Hangzhou 311121, Zhejiang, Peoples R China; [Tan, Tiantian; Feng, Yuxin; Wang, Weimin; Wang, Rongrong; Yin, Liyan; Zeng, Yiying; Zeng, Zhaowu; Xie, Tian] Key Lab Elemene Class Anticanc Chinese Med Zhejian, Hangzhou 311121, Zhejiang, Peoples R China; [Tan, Tiantian; Feng, Yuxin; Wang, Weimin; Wang, Rongrong; Yin, Liyan; Zeng, Yiying; Zeng, Zhaowu; Xie, Tian] Engn Lab Dev &amp; Applicat Tradit Chinese Med Zhejian, Hangzhou 311121, Zhejiang, Peoples R China; [Yin, Liyan] Guangdong Pharmaceut Univ, Tradit Chinese Med Coll, Guangzhou 511400, Peoples R China</t>
  </si>
  <si>
    <t>Hangzhou Normal University; Guangdong Pharmaceutical University</t>
  </si>
  <si>
    <t>Zeng, ZW; Xie, T (corresponding author), Hangzhou Normal Univ, Sch Pharm, Hangzhou 311121, Zhejiang, Peoples R China.;Zeng, ZW; Xie, T (corresponding author), Key Lab Elemene Class Anticanc Chinese Med Zhejian, Hangzhou 311121, Zhejiang, Peoples R China.;Zeng, ZW; Xie, T (corresponding author), Engn Lab Dev &amp; Applicat Tradit Chinese Med Zhejian, Hangzhou 311121, Zhejiang, Peoples R China.</t>
  </si>
  <si>
    <t>artgreenking@126.com; xbs@hznu.edu.cn</t>
  </si>
  <si>
    <t>Wang, Wei-Min/IXX-0248-2023</t>
  </si>
  <si>
    <t>Wang, Wei-Min/0000-0003-1697-6430</t>
  </si>
  <si>
    <t>Program of Basic Public Welfare Research in Zhejiang Province of China [LGF20H300006]; National Natural Science Foundation of China [81730108]; Key Project of Zhejiang project Ministry of Science and Technology [2021C03087]; Key Project of Hangzhou Ministry of Science and Technology [20212013B03]</t>
  </si>
  <si>
    <t>Program of Basic Public Welfare Research in Zhejiang Province of China; National Natural Science Foundation of China(National Natural Science Foundation of China (NSFC)); Key Project of Zhejiang project Ministry of Science and Technology; Key Project of Hangzhou Ministry of Science and Technology</t>
  </si>
  <si>
    <t>&amp; nbsp;This work was supported by Program of Basic Public Welfare Research in Zhejiang Province of China (Grant No. LGF20H300006), National Natural Science Foundation of China (Grant No. 81730108), Key Project of Zhejiang project Ministry of Science and Technology (Grant No. 2021C03087), Key Project of Hangzhou Ministry of Science and Technology (Grant No. 20212013B03).</t>
  </si>
  <si>
    <t>10.1186/s12645-023-00194-7</t>
  </si>
  <si>
    <t>N9GY7</t>
  </si>
  <si>
    <t>WOS:001040023300001</t>
  </si>
  <si>
    <t>Triastuti, A; Vansteelandt, M; Barakat, F; Amasifuen, C; Jargeat, P; Haddad, M</t>
  </si>
  <si>
    <t>Triastuti, Asih; Vansteelandt, Marieke; Barakat, Fatima; Amasifuen, Carlos; Jargeat, Patricia; Haddad, Mohamed</t>
  </si>
  <si>
    <t>Untargeted metabolomics to evaluate antifungal mechanism: a study of Cophinforma mamane and Candida albicans interaction</t>
  </si>
  <si>
    <t>NATURAL PRODUCTS AND BIOPROSPECTING</t>
  </si>
  <si>
    <t>Metabolomics; Fungal co-culture; Anti-fungal; Virulence</t>
  </si>
  <si>
    <t>ENDOPHYTIC FUNGUS; PATHOGENICITY; MORPHOLOGY; INOSITOL</t>
  </si>
  <si>
    <t>Microbial interactions between filamentous fungi and yeast are still not fully understood. To evaluate a potential antifungal activity of a filamentous fungus while highlighting metabolomic changes, co-cultures between an endophytic strain of Cophinforma mamane (CM) and Candida albicans (CA) were performed. The liquid cultures were incubated under static conditions and metabolite alterations during the course were investigated by ultra-performance liquid chromatography-tandem mass spectrophotometry (UPLC-MS/MS). Results were analyzed using MS-DIAL, MS-FINDER, METLIN, Xcalibur, SciFinder, and MetaboAnalyst metabolomics platforms. The metabolites associated with catabolic processes, including the metabolism of branched-chain amino acids, carnitine, and phospholipids were upregulated both in the mono and co-cultures, indicating fungal adaptability to environmental stress. Several metabolites, including C20 sphinganine 1-phosphate, myo-inositol, farnesol, gamma-undecalactone, folinic acid, palmitoleic acid, and MG (12:/0:0/0:0) were not produced by CA during co-culture with CM, demonstrating the antifungal mechanism of CM. Our results highlight the crucial roles of metabolomics studies to provide essential information regarding the antifungal mechanism of C. mamane against C. albicans, especially when the lost/undetected metabolites are involved in fungal survival and pathogenicity.</t>
  </si>
  <si>
    <t>[Triastuti, Asih; Vansteelandt, Marieke; Barakat, Fatima; Haddad, Mohamed] Univ Toulouse, UMR 152 Pharm Dev, IRD, UPS, F-31400 Toulouse, France; [Triastuti, Asih] Univ Islam Indonesia, Dept Pharm, Yogyakarta 55584, Indonesia; [Amasifuen, Carlos] Inst Nacl Innovac Agr, Direcc Recursos Genet &amp; Biotecnol, Ave La Molina 1981, Lima 15024, Peru; [Jargeat, Patricia] Univ Toulouse, Lab Evolut &amp; Divers Biol UMR 5174, CNRS, IRD,UPS, F-31062 Toulouse, France</t>
  </si>
  <si>
    <t>Universite de Toulouse; Universite Toulouse III - Paul Sabatier; Institut de Recherche pour le Developpement (IRD); Universitas Islam Indonesia; Universite de Toulouse; Universite Toulouse III - Paul Sabatier; Institut de Recherche pour le Developpement (IRD); Centre National de la Recherche Scientifique (CNRS)</t>
  </si>
  <si>
    <t>Triastuti, A; Haddad, M (corresponding author), Univ Toulouse, UMR 152 Pharm Dev, IRD, UPS, F-31400 Toulouse, France.;Triastuti, A (corresponding author), Univ Islam Indonesia, Dept Pharm, Yogyakarta 55584, Indonesia.</t>
  </si>
  <si>
    <t>asih.triastuti@uii.ac.id; mohamed.haddad@ird.fr</t>
  </si>
  <si>
    <t>Haddad, Mohamed/I-5570-2015</t>
  </si>
  <si>
    <t>Haddad, Mohamed/0000-0001-5599-9980</t>
  </si>
  <si>
    <t>Ministry of Research, Technology, and Higher Education of the Republic of Indonesia</t>
  </si>
  <si>
    <t>Ministry of Research, Technology, and Higher Education of the Republic of Indonesia(Ministry of Research and Technology of the Republic of Indonesia (RISTEK))</t>
  </si>
  <si>
    <t>The authors are grateful to the Ministry of Research, Technology, and Higher Education of the Republic of Indonesia for financial support for DGHE scholarships.</t>
  </si>
  <si>
    <t>2192-2195</t>
  </si>
  <si>
    <t>2192-2209</t>
  </si>
  <si>
    <t>NAT PRODUCT BIOPROSP</t>
  </si>
  <si>
    <t>Nat. Product. Bioprospecting</t>
  </si>
  <si>
    <t>10.1007/s13659-022-00365-w</t>
  </si>
  <si>
    <t>Chemistry, Medicinal</t>
  </si>
  <si>
    <t>Pharmacology &amp; Pharmacy</t>
  </si>
  <si>
    <t>7M8OS</t>
  </si>
  <si>
    <t>WOS:000906911400001</t>
  </si>
  <si>
    <t>Wu, JQ; Gu, J; Liu, SQ; Jin, ZJ</t>
  </si>
  <si>
    <t>Wu, Jiaqing; Gu, Jie; Liu, Shuqi; Jin, Zhijian</t>
  </si>
  <si>
    <t>Strategies for improving resilience of regional integrated energy systems in the prevention-resistance phase of integration</t>
  </si>
  <si>
    <t>Integrated energy system; Natural disasters; Prevention-resistance; Resilience improvement; Robust optimization</t>
  </si>
  <si>
    <t>The construction of integrated energy systems can help improve energy efficiency and promote global energy transition. However, in recent years, the occurrence of extreme natural disasters has brought certain threats to the safe and stable operation of the integrated energy system. Thus, it is necessary to improve the ability of the integrated energy system to resist disasters, reduce disaster losses, and restore energy supply as soon as possible, i.e., improve its resilience. Considering the influence of pre-disaster prevention measures and disaster-time operational measures on system disaster resilience and the correlation between the two, this paper proposes a system hardening strategy based on three-layer robust optimization. The upper layer formulates the optimal hardening strategy of the system before the disaster event occurs, the middle layer identifies the failed elements in the worst disaster situation, while the lower layer realizes the system operational optimization by coordinating the energy storage charging and discharging plan of each subsystem. The strategy can reduce the total supply shortage of the integrated energy system and improve the flexibility of the system in the pre-disaster prevention and disaster resistance integration stages.</t>
  </si>
  <si>
    <t>[Wu, Jiaqing; Gu, Jie; Liu, Shuqi; Jin, Zhijian] Shanghai Jiao Tong Univ, Sch Elect Informat &amp; Elect Engn, Dept Elect Engn, Shanghai, Peoples R China</t>
  </si>
  <si>
    <t>Shanghai Jiao Tong University</t>
  </si>
  <si>
    <t>Gu, J (corresponding author), Shanghai Jiao Tong Univ, Sch Elect Informat &amp; Elect Engn, Dept Elect Engn, Shanghai, Peoples R China.</t>
  </si>
  <si>
    <t>gujie@sjtu.edu.cn</t>
  </si>
  <si>
    <t>Key Project of Shanghai Science and Technology Committee [18DZ1100303]</t>
  </si>
  <si>
    <t>Key Project of Shanghai Science and Technology Committee(Shanghai Science &amp; Technology Committee)</t>
  </si>
  <si>
    <t>This work was supported in part by Key Project of Shanghai Science and Technology Committee (18DZ1100303).</t>
  </si>
  <si>
    <t>10.1186/s41601-023-00299-6</t>
  </si>
  <si>
    <t>L2FZ8</t>
  </si>
  <si>
    <t>WOS:001021479400001</t>
  </si>
  <si>
    <t>Xu, SB; Luo, QY; He, J; Chen, XL; Li, SM; Bai, Y</t>
  </si>
  <si>
    <t>Xu, Senbao; Luo, Qiuyan; He, Jian; Chen, Xiling; Li, Simin; Bai, Yang</t>
  </si>
  <si>
    <t>Causal associations of 25-hydroxyvitamin D with functional gastrointestinal disorders: a two-sample Mendelian randomization study</t>
  </si>
  <si>
    <t>Genetic variants; Mendelian randomization; Vitamin D; 25-hydroxyvitamin D; Irritable bowel syndrome; Functional dyspepsia</t>
  </si>
  <si>
    <t>IRRITABLE-BOWEL-SYNDROME; VITAMIN-D; ABDOMINAL-PAIN; SYMPTOMS; SUPPLEMENTATION; CHILDREN</t>
  </si>
  <si>
    <t>BackgroundPrevious observational studies have shown associations between vitamin Ds and FGIDS[Including irritable bowel syndrome(IBS) and functional dyspepsia(FD)]. However, the association is controversial and the causality remains unknown. In this study, two-sample MR was cited to explore the causal effect on FGIDS caused by vitamin D level and serum 25-hydroxyvitamin D.MethodThe GWASs of vitaminD and 25-hydroxyvitamin D, with 57-99 strongly related SNPs were all obtained from UK biobank. The GWASs of IBS and FD were obtained from FinnGen biobank with respectively 187,028 and 194,071 participants involved. Fixed-effect inverse variance weighted regression was used to evaluate causal estimates. Other statistical methods such as MR Egger, weighted median estimation, maximum likelihood estimation and penalty-weighted median estimation are also used to verify the accuracy of the main results.ResultsMeasuring by the IVW method, our research indicated that no causal relationship was detected between vitamin D intake and Functional gastrointestinal disorders [IVW, OR(vitamin D-IBS) = 0.909, 95% CI 0.789-1.053, p = 0.2017); OR(vitamin D-FD) = 1.0662, 95% CI 0.9182-1.2380, p = 0.4000]. As for serum 25-hydroxyvitamin D, no causal relationship was detected on FD(IVW, OR(25-hydroxyvitamin D-FD) = 0.9635, 95% CI 0.8039-1.1546, p = 0.6869). Nevertheless, a negative causal relationship was revealed between 25-hydroxyvitamin D and IBS(IVW, OR(25-hydroxyvitamin D-IBS) = 0.832, 95% CI 0.696-0.995, p = 0.0436). Sensitive analysis supported the main findings but did not suggest bias due to pleiotropy.ConclusionsOur Mendelian randomization analyses suggest a negative causal relationship between 25-hydroxyvitamin D and IBS. For each additional SD increase of genetically determined 25-hydroxyvitamin D levels, the risk of IBS decreased by 16.8%.</t>
  </si>
  <si>
    <t>[Xu, Senbao; Luo, Qiuyan; He, Jian; Chen, Xiling; Bai, Yang] Southern Med Univ, Nanfang Hosp, Dept Gastroenterol, Guangzhou 510515, Peoples R China; [Li, Simin] Southern Med Univ, Dept Cytobiol, Guangzhou 510515, Peoples R China</t>
  </si>
  <si>
    <t>Southern Medical University - China; Southern Medical University - China</t>
  </si>
  <si>
    <t>Bai, Y (corresponding author), Southern Med Univ, Nanfang Hosp, Dept Gastroenterol, Guangzhou 510515, Peoples R China.</t>
  </si>
  <si>
    <t>13925001665@163.com</t>
  </si>
  <si>
    <t>I would also like to thank my tutor Yang, Bai, for his valuable guidance throughout my studies. You provided me with the tools that I needed to choose the right direction and successfully complete my dissertation.</t>
  </si>
  <si>
    <t>10.1186/s12263-023-00734-1</t>
  </si>
  <si>
    <t>R1FL9</t>
  </si>
  <si>
    <t>WOS:001061868800001</t>
  </si>
  <si>
    <t>Yin, DM; Yuan, D; Sun, RJ; Xu, HZ; Hun, SY; Sui, XH; Shan, NN</t>
  </si>
  <si>
    <t>Yin, Dong-mei; Yuan, Dai; Sun, Rui-jie; Xu, Hong-zhi; Hun, Shou-yong; Sui, Xiao-hui; Shan, Ning-ning</t>
  </si>
  <si>
    <t>Identification of ORM1, vWF, SPARC, and PPBP as immune-related proteins involved in immune thrombocytopenia by quantitative LC-MS/MS</t>
  </si>
  <si>
    <t>Immune thrombocytopenia; LC-MS/MS; TNF-&amp; alpha;</t>
  </si>
  <si>
    <t>VON-WILLEBRAND-FACTOR; RHEUMATOID-ARTHRITIS; CELL SUBSETS; TNF-ALPHA; T-CELLS; PURPURA; CHEMOKINES; PHENOTYPE; PLATELETS; CYTOKINES</t>
  </si>
  <si>
    <t>Background Immune thrombocytopenia (ITP) is a common autoimmune disease characterized by loss of immune tolerance to platelet autoantigens leading to excessive destruction and insufficient production of platelets.Method Quantitative liquid chromatography tandem mass spectrometry (LC-MS/MS) was performed to detect the differentially expressed proteins in bone marrow samples from active ITP patients and normal controls.Result Our bioinformatic analysis identified two upregulated proteins (ORM1 and vWF) and two downregulated proteins (PPBP and SPARC) related to immune function. The four proteins were all found to be related to the tumor necrosis factor (TNF) -a signalling pathway and involved in the pathogenesis of ITP in KEGG pathway analysis.Conclusion Bioinformatics analysis identified differentially expressed proteins in bone marrow that are involved in the TNF-a signalling pathway and are related to the activation of immune function in ITP patients. These findings could provide new ideas for research on the loss of immune tolerance in ITP patients.</t>
  </si>
  <si>
    <t>[Yin, Dong-mei; Hun, Shou-yong] Shandong Univ, Shandong Prov Hosp, Dept Blood Transfus, Jinan 250021, Shandong, Peoples R China; [Yin, Dong-mei; Hun, Shou-yong] Shandong First Med Univ, Dept Blood Transfus, Shandong Prov Hosp, Jinan 250021, Shandong, Peoples R China; [Yuan, Dai; Xu, Hong-zhi; Sui, Xiao-hui; Shan, Ning-ning] Shandong Univ, Shandong Prov Hosp, Dept Hematol, Jinan 250021, Shandong, Peoples R China; [Yuan, Dai; Xu, Hong-zhi; Sui, Xiao-hui; Shan, Ning-ning] Shandong First Med Univ, Dept Hematol, Shandong Prov Hosp, 324 Jing Wu Rd, Jinan 250021, Shandong, Peoples R China; [Sun, Rui-jie] Peking Union Med Coll Hosp, Dept Rheumatol, Clin Immunol Ctr, Beijing 100000, Peoples R China</t>
  </si>
  <si>
    <t>Shandong First Medical University &amp; Shandong Academy of Medical Sciences; Shandong University; Shandong First Medical University &amp; Shandong Academy of Medical Sciences; Shandong First Medical University &amp; Shandong Academy of Medical Sciences; Shandong University; Shandong First Medical University &amp; Shandong Academy of Medical Sciences; Chinese Academy of Medical Sciences - Peking Union Medical College; Peking Union Medical College Hospital</t>
  </si>
  <si>
    <t>Shan, NN (corresponding author), Shandong Univ, Shandong Prov Hosp, Dept Hematol, Jinan 250021, Shandong, Peoples R China.;Shan, NN (corresponding author), Shandong First Med Univ, Dept Hematol, Shandong Prov Hosp, 324 Jing Wu Rd, Jinan 250021, Shandong, Peoples R China.</t>
  </si>
  <si>
    <t>snning@126.com</t>
  </si>
  <si>
    <t>Taishan Youth Scholar Foundation of Shandong Province [tsqn201812140]; Academic Promotion Program of Shandong First Medical University [2019RC018]; Natural Science Foundation of Shandong Province [ZR2021MH319, ZR2020MH112]; National Natural Science Foundation of China [81570104]; Key Research and Development Project of Jinan [201907021, 201907026, 202019160]; Projects of medical and health technology development program of Shandong province [2019WS498]</t>
  </si>
  <si>
    <t>Taishan Youth Scholar Foundation of Shandong Province; Academic Promotion Program of Shandong First Medical University; Natural Science Foundation of Shandong Province(Natural Science Foundation of Shandong Province); National Natural Science Foundation of China(National Natural Science Foundation of China (NSFC)); Key Research and Development Project of Jinan; Projects of medical and health technology development program of Shandong province</t>
  </si>
  <si>
    <t>The work was supported by grants from the Taishan Youth Scholar Foundation of Shandong Province (tsqn201812140), the Academic Promotion Program of Shandong First Medical University (2019RC018), Natural Science Foundation of Shandong Province (ZR2021MH319, ZR2020MH112), the National Natural Science Foundation of China (81570104), the Key Research and Development Project of Jinan (201907021; 201907026;202019160), Projects of medical and health technology development program of Shandong province(2019WS498).</t>
  </si>
  <si>
    <t>10.1186/s12014-023-09413-0</t>
  </si>
  <si>
    <t>L1OJ6</t>
  </si>
  <si>
    <t>WOS:001021016700001</t>
  </si>
  <si>
    <t>Zhou, X; Li, HY; Liao, JF</t>
  </si>
  <si>
    <t>Zhou, Xiu; Li, Hong-Ying; Liao, Jia-Feng</t>
  </si>
  <si>
    <t>Multiplicity of Positive Solutions for a Semilinear Elliptic System with Strongly Coupled Critical Terms and Concave Nonlinearities</t>
  </si>
  <si>
    <t>Semilinear elliptic system; Strongly coupled critical terms; Positive solutions; Nehari manifold; Variational method</t>
  </si>
  <si>
    <t>SOBOLEV-HARDY EXPONENTS; NONLOCAL PROBLEM; NEHARI MANIFOLD; EQUATIONS; EXISTENCE</t>
  </si>
  <si>
    <t>In this paper, the following semilinear elliptic system involving strongly coupled critical terms and concave nonlinearities is considered [Delta u = eta 1 alpha 1/2* |u|(alpha 1-2)|v|(beta 1)u +eta 2 alpha 2/2* |u|(alpha 2-2)|v|(beta 2)u + a(1) |u|(q-2)u/|x|(gamma), x epsilon Omega, -Delta v =eta 1 beta 1/2* |u|(alpha 1) |v|(beta 1-2) v +eta(2)beta(2)/2* |u|(alpha 2) |v|(beta 2-2) v + a(2) |v|(q-2)v/| x|(gamma), x epsilon Omega, u, v &gt; 0, x epsilon Omega u = v = 0,x epsilon partial derivative Omega where Omega subset of R-N ( N &gt;= 3) is a bounded domain with smooth boundary and 0 epsilon Omega,1 &lt; q &lt; 2, eta(1) +eta(2) &gt; 0, 0 &lt;= eta i &lt; +infinity, a(i) &gt; 0, 0 &lt;=gamma &lt; N + q - qN/2, alpha(i), beta(i) &gt; 1, alpha(i) + beta(i) = 2* = 2N/N-2 (i = 1, 2) is the critical Sobolev exponent. By the Nehari method and variational method, two positive solutions are obtained which generalizes and improves some corresponding results in the literature.</t>
  </si>
  <si>
    <t>[Zhou, Xiu; Li, Hong-Ying; Liao, Jia-Feng] China West Normal Univ, Sch Math &amp; Informat, Nanchong 637009, Sichuan, Peoples R China; [Liao, Jia-Feng] China West Normal Univ, Coll Math Educ, Nanchong 637009, Sichuan, Peoples R China</t>
  </si>
  <si>
    <t>China West Normal University; China West Normal University</t>
  </si>
  <si>
    <t>Liao, JF (corresponding author), China West Normal Univ, Sch Math &amp; Informat, Nanchong 637009, Sichuan, Peoples R China.;Liao, JF (corresponding author), China West Normal Univ, Coll Math Educ, Nanchong 637009, Sichuan, Peoples R China.</t>
  </si>
  <si>
    <t>liaojiafeng@163.com</t>
  </si>
  <si>
    <t>Natural Science Foundation of Sichuan [2022NSFSC1847]</t>
  </si>
  <si>
    <t>Natural Science Foundation of Sichuan</t>
  </si>
  <si>
    <t>Supported by the Natural Science Foundation of Sichuan (2022NSFSC1847).</t>
  </si>
  <si>
    <t>10.1007/s12346-023-00825-9</t>
  </si>
  <si>
    <t>L5WT5</t>
  </si>
  <si>
    <t>WOS:001023974200001</t>
  </si>
  <si>
    <t>Zhou, YB; Zhang, ZH; Zhao, XH; Liu, L; Tang, QY; Fu, J; Tang, XD; Yang, RQ; Lin, JZ; Liu, XM; Yang, YZ</t>
  </si>
  <si>
    <t>Zhou, Yanbiao; Zhang, Zhihui; Zhao, Xinhui; Liu, Lan; Tang, Qianying; Fu, Jun; Tang, Xiaodan; Yang, Runqiu; Lin, Jianzhong; Liu, Xuanming; Yang, Yuanzhu</t>
  </si>
  <si>
    <t>Receptor-Like Cytoplasmic Kinase STK Confers Salt Tolerance in Rice</t>
  </si>
  <si>
    <t>RICE</t>
  </si>
  <si>
    <t>STK; Salt stress; Rice; ROS scavenging; ABA</t>
  </si>
  <si>
    <t>SIGNAL-TRANSDUCTION; OXIDATIVE STRESS; SALINITY TOLERANCE; DROUGHT TOLERANCE; IMPROVES DROUGHT; ABSCISIC-ACID; GENE; ARABIDOPSIS; HOMEOSTASIS; EXPRESSION</t>
  </si>
  <si>
    <t>BackgroundSoil salinization is a major abiotic environmental stress factor threatening crop production throughout the world. Salt stress drastically affects the growth, development, and grain yield of rice (Oryza sativa L.), and the improvement of rice tolerance to salt stress is a desirable approach for meeting increasing food demand. Receptor-like cytoplasmic kinases (RLCKs) play essential roles in plant growth, development and responses to environmental stresses. However, little is known about their functions in salt stress. Previous reports have demonstrated that overexpression of an RLCK gene SALT TOLERANCE KINASE (STK) enhances salt tolerance in rice, and that STK may regulate the expression of GST (Glutathione S-transferase) genes.ResultsThe expression of STK was rapidly induced by ABA. STK was highest expressed in the stem at the heading stage. STK was localized at the plasma membrane. Overexpression of STK in rice increased tolerance to salt stress and oxidative stress by increasing ROS scavenging ability and ABA sensitivity. In contrast, CRISPR/Cas9-mediated knockout of STK increased the sensitivity of rice to salt stress and oxidative stress. Transcriptome sequencing analysis suggested that STK increased the expression of GST genes (LOC_Os03g17480, LOC_Os10g38140 and LOC_Os10g38710) under salt stress. Reverse transcription quantitative PCR (RT-qPCR) suggested that four stress-related genes may be regulated by STK including OsABAR1, Os3BGlu6, OSBZ8 and OsSIK1.ConclusionsThese findings suggest that STK plays a positive regulatory role in salt stress tolerance by inducing antioxidant defense and associated with the ABA signaling pathway in rice.</t>
  </si>
  <si>
    <t>[Zhou, Yanbiao; Yang, Yuanzhu] Hunan Hybrid Rice Res Ctr, State Key Lab Hybrid Rice, Changsha 410125, Hunan, Peoples R China; [Zhou, Yanbiao; Zhang, Zhihui; Zhao, Xinhui; Liu, Lan; Tang, Qianying; Fu, Jun; Tang, Xiaodan; Yang, Runqiu; Yang, Yuanzhu] Yuan Longping High Tech Agr Co Ltd, Key Lab Southern Rice Innovat &amp; Improvement, Minist Agr &amp; Rural Affairs, Changsha 410001, Hunan, Peoples R China; [Zhou, Yanbiao] South China Agr Univ, Coll Life Sci, Guangzhou 510642, Peoples R China; [Zhang, Zhihui; Yang, Yuanzhu] Huazhong Agr Univ, Coll Plant Sci &amp; Technol, Wuhan 430070, Hubei, Peoples R China; [Zhao, Xinhui; Yang, Yuanzhu] Hunan Agr Univ, Coll Agron, Changsha 410128, Hunan, Peoples R China; [Zhou, Yanbiao; Liu, Lan; Yang, Yuanzhu] Hunan Normal Univ, Coll Life Sci, Changsha 410081, Hunan, Peoples R China; [Lin, Jianzhong; Liu, Xuanming; Yang, Yuanzhu] Hunan Univ, Coll Biol, Hunan Prov Key Lab Plant Funct Genom &amp; Dev Regulat, Changsha 410082, Hunan, Peoples R China</t>
  </si>
  <si>
    <t>Hunan Academy of Agricultural Sciences; Ministry of Agriculture &amp; Rural Affairs; South China Agricultural University; Huazhong Agricultural University; Hunan Agricultural University; Hunan Normal University; Hunan University</t>
  </si>
  <si>
    <t>Zhou, YB; Yang, YZ (corresponding author), Hunan Hybrid Rice Res Ctr, State Key Lab Hybrid Rice, Changsha 410125, Hunan, Peoples R China.;Zhou, YB; Yang, YZ (corresponding author), Yuan Longping High Tech Agr Co Ltd, Key Lab Southern Rice Innovat &amp; Improvement, Minist Agr &amp; Rural Affairs, Changsha 410001, Hunan, Peoples R China.;Zhou, YB (corresponding author), South China Agr Univ, Coll Life Sci, Guangzhou 510642, Peoples R China.;Yang, YZ (corresponding author), Huazhong Agr Univ, Coll Plant Sci &amp; Technol, Wuhan 430070, Hubei, Peoples R China.;Yang, YZ (corresponding author), Hunan Agr Univ, Coll Agron, Changsha 410128, Hunan, Peoples R China.;Zhou, YB; Yang, YZ (corresponding author), Hunan Normal Univ, Coll Life Sci, Changsha 410081, Hunan, Peoples R China.;Yang, YZ (corresponding author), Hunan Univ, Coll Biol, Hunan Prov Key Lab Plant Funct Genom &amp; Dev Regulat, Changsha 410082, Hunan, Peoples R China.</t>
  </si>
  <si>
    <t>zhouyanbiao2005@163.com; yzhuyah@163.com</t>
  </si>
  <si>
    <t>1939-8425</t>
  </si>
  <si>
    <t>1939-8433</t>
  </si>
  <si>
    <t>Rice</t>
  </si>
  <si>
    <t>10.1186/s12284-023-00637-0</t>
  </si>
  <si>
    <t>Agronomy</t>
  </si>
  <si>
    <t>Agriculture</t>
  </si>
  <si>
    <t>E2UT9</t>
  </si>
  <si>
    <t>WOS:000974155900001</t>
  </si>
  <si>
    <t>Chikhaoui, A; Chadli, A; Ouared, A</t>
  </si>
  <si>
    <t>Chikhaoui, Ahmed; Chadli, Abdelhafid; Ouared, Abdelkader</t>
  </si>
  <si>
    <t>A model-based DevOps process for development of mathematical database cost models</t>
  </si>
  <si>
    <t>AUTOMATED SOFTWARE ENGINEERING</t>
  </si>
  <si>
    <t>Database cost model development; Incremental design; Cost model reuse; Model driven engineering</t>
  </si>
  <si>
    <t>ENERGY; MANAGEMENT; TOOL</t>
  </si>
  <si>
    <t>Obviously, the complexity of mathematical database cost models increases with the evolution of the database technology brought by emerging hardware and the new deployment platforms (ex. Cloud). This finding raises questions about the reliability of past Cost Models (CMs). Indeed, redesigning a database CM to evaluate the quality of service (QoS) attributes (i.e. response time, energy, sizing, etc.) is becoming a challenging task. First, because developers directly implement the CM by hard coding inside a DBMS without a prior design. Second, due to a lack of a stepwise development process to support an incremental CM design and continuous testing to diagnose errors that occur at each design stage. Moreover, reusing CMs for other purposes is a major issue that necessitates investigations to allow designers reusing and adapting CMs according to their needs. To take up these challenges, we propose a model-based framework for incremental design and continuous testing of Database CMs Specifically, we are motivated by proposing an approach that aims at shifting CMs design from an adhoc design to a structured and shared design by using a set of design guidelines inspired from software engineering practices. Finally, we propose to use the DevOps reuse practices (Continuous Integration/Continuous Delivery: CI/CD) to store the CM under design in a repository after each upgrade to be reused, improved, calibrated, and refined for other purposes. We evaluate our approach against common CM features, and we carry out a comparison with some analytical models from the literature. Findings show that our framework provides a high CM prediction accuracy, and identify the right design components with a precision ranging from 85% to 100%.</t>
  </si>
  <si>
    <t>[Chikhaoui, Ahmed; Chadli, Abdelhafid; Ouared, Abdelkader] Univ Tiaret, Dept Comp Sci, BP 78 zaaroura, Tiaret 14000, Tiaret, Algeria</t>
  </si>
  <si>
    <t>Universite Ibn Khaldoun Tiaret</t>
  </si>
  <si>
    <t>Chikhaoui, A (corresponding author), Univ Tiaret, Dept Comp Sci, BP 78 zaaroura, Tiaret 14000, Tiaret, Algeria.</t>
  </si>
  <si>
    <t>ahmed.chikhaoui@univ-tiaret.dz; abdelhafith.chadli@univ-tiaret.dz; abdelkader.ouared@univ-tiaret.dz</t>
  </si>
  <si>
    <t>0928-8910</t>
  </si>
  <si>
    <t>1573-7535</t>
  </si>
  <si>
    <t>AUTOMAT SOFTW ENG</t>
  </si>
  <si>
    <t>Automat. Softw. Eng.</t>
  </si>
  <si>
    <t>NOV</t>
  </si>
  <si>
    <t>10.1007/s10515-023-00390-0</t>
  </si>
  <si>
    <t>Computer Science, Software Engineering</t>
  </si>
  <si>
    <t>Computer Science</t>
  </si>
  <si>
    <t>N8OJ9</t>
  </si>
  <si>
    <t>WOS:001039540300002</t>
  </si>
  <si>
    <t>Elhaes, H; Abdel-Salam, AI; Gomaa, I; Ibrahim, A; Yahia, IS; Zahran, HY; Ezzat, HA; Zahran, M; Abdel-wahab, MS; Refaat, A; Ibrahim, MA</t>
  </si>
  <si>
    <t>Elhaes, Hanan; Abdel-Salam, Ahmed I.; Gomaa, Islam; Ibrahim, Asmaa; Yahia, Ibrahim S.; Zahran, Heba Y.; Ezzat, Hend A.; Zahran, Mohamed; Abdel-wahab, Mohamed Sh.; Refaat, Ahmed; Ibrahim, Medhat A.</t>
  </si>
  <si>
    <t>Facile synthesis, structural, morphological and electronic investigation of Mn2O3 nano-rice shape and Mn2O3-rGO hybrid nanocomposite</t>
  </si>
  <si>
    <t>OPTICAL AND QUANTUM ELECTRONICS</t>
  </si>
  <si>
    <t>Reduced graphene oxide; Mn2O3; Nanocomposites; UV-Vis; FTIR; XRD; FESEM; Modeling</t>
  </si>
  <si>
    <t>The hydrothermal method was used to prepare manganese oxide (Mn2O3) nanoparticles. Reduced graphene oxide (rGO) powder was sonicated with Mn2O3 forming a homogeneous Mn2O3-rGO nanocomposite. The prepared nanocomposite was characterized by UV-Vis spectroscopy to unravel origin of absorption photons strongly in the visible region that ensues due to charge transfer, Fourier transform infrared (FTIR) result reveal that the catalytic role of Mn2O3 in graphene reduction in sono-nano composites formation, X-ray diffraction (XRD) result also stand out all of structural parameters enhance slight increase for the position non-ideality (&amp; delta; dislocation density) of atoms in crystallite size (D) and micro strain (&amp; epsilon;).Decreasing the average crystallite size 41.13 nm and 37.2 nm for Mn2O3 and Mn2O3-rGO respectively due to high (600 W) ultra-sonication in presence of rGO-sheets. Field emission scanning electron microscopy (FESEM) show up uniform distribution of Mn2O3 and tightly anchored on the surface of the rGO sheets. These different characterization techniques confirmed the formation of the nanocomposite. Molecular quantum mechanical calculations for interaction investigation mechanism between rGO and Mn2O3, were conducted. Two model molecules were built for Mn2O3 and functionalized rGO, and 8 possible interaction mechanisms between Mn2O3 and functionalized rGO were proposed. Density functional theory (DFT) calculations using B3LYP/LANL2DZ basis set were conducted for the studied model molecules. Electronic properties and reactivity were investigated by calculating molecular electrostatic potential (MESP) mapping for model structures. The most active and plausible structure is the interaction of rGO through the OH group at the terminal with Mn2O3 through the Mn atom. It can be concluded that Mn2O3 activates the rGO surface and increases its detection sensitivity and reactivity.</t>
  </si>
  <si>
    <t>[Elhaes, Hanan; Ibrahim, Asmaa] Ain Shams Univ, Fac Women Arts Sci &amp; Educ, Phys Dept, Cairo 11757, Egypt; [Abdel-Salam, Ahmed I.; Gomaa, Islam] British Univ Egypt BUE, Nanotechnol Res Ctr NTRC, Suez Desert Rd, Cairo 11837, Egypt; [Yahia, Ibrahim S.; Zahran, Heba Y.] King Khalid Univ, Fac Sci, Dept Phys, Lab Nanosmart Mat Sci &amp; Technol LNSMST, POB 9004, Abha, Saudi Arabia; [Ezzat, Hend A.] Natl Res Inst Astron &amp; Geophys NRIAG, Solar &amp; Space Res Dept, Nano Unit, Space Lab, Cairo 11421, Helwan, Egypt; [Zahran, Mohamed] Elect Res Inst, Solar Cells Dept, 23 Joseph Tito St, Cairo, Egypt; [Abdel-wahab, Mohamed Sh.] Beni Suef Univ, Fac Postgrad Studies Adv Sci, Mat Sci &amp; Nanotechnol Dept, Bani Suwayf 62511, Egypt; [Refaat, Ahmed; Ibrahim, Medhat A.] Natl Res Ctr, Spect Dept, Mol Spect &amp; Modeling Unit, 33 El Bohouth St, Giza 12622, Egypt; [Refaat, Ahmed] Synchrotron Light Expt Sci &amp; Applicat Middle East, Allan, Jordan</t>
  </si>
  <si>
    <t>Egyptian Knowledge Bank (EKB); Ain Shams University; Egyptian Knowledge Bank (EKB); British University in Egypt; King Khalid University; Egyptian Knowledge Bank (EKB); National Research Institute of Astronomy &amp; Geophysics - NRIAG; Egyptian Knowledge Bank (EKB); Electronics Research Institute (ERI); Egyptian Knowledge Bank (EKB); Beni Suef University; Egyptian Knowledge Bank (EKB); National Research Centre (NRC)</t>
  </si>
  <si>
    <t>Refaat, A; Ibrahim, MA (corresponding author), Natl Res Ctr, Spect Dept, Mol Spect &amp; Modeling Unit, 33 El Bohouth St, Giza 12622, Egypt.;Refaat, A (corresponding author), Synchrotron Light Expt Sci &amp; Applicat Middle East, Allan, Jordan.</t>
  </si>
  <si>
    <t>hanan.elhaes@women.asu.edu.eg; ahmed.mysara@bue.edu.eg; islam.gomaa@bue.edu.eg; asmaa.medhat@women.asu.edu.eg; hend.ezzat@nriag.sci.eg; mbazahran@gmail.com; mshaabancnt@psas.bsu.edu.eg; ahmed.refaat@sesame.org.jo; medahmed6@yahoo.com</t>
  </si>
  <si>
    <t>Elhaes, Hanan/AAQ-8828-2021; Abdel-wahab, Mohamed Sh./A-4903-2015; Ibrahim Mysara, Ahmed/GQI-3785-2022</t>
  </si>
  <si>
    <t>Elhaes, Hanan/0000-0002-1234-5431; Abdel-wahab, Mohamed Sh./0000-0003-0265-7770; Ibrahim Mysara, Ahmed/0000-0002-1393-2048</t>
  </si>
  <si>
    <t>Scientific Research Deanship at King Khalid University; Ministry of Education in KSA [R.G.P.2/434/1444]</t>
  </si>
  <si>
    <t>Scientific Research Deanship at King Khalid University; Ministry of Education in KSA</t>
  </si>
  <si>
    <t>This research was supported financially by the Scientific Research Deanship at King Khalid University and the Ministry of Education in KSA, through the project number R.G.P.2/434/1444.</t>
  </si>
  <si>
    <t>0306-8919</t>
  </si>
  <si>
    <t>1572-817X</t>
  </si>
  <si>
    <t>OPT QUANT ELECTRON</t>
  </si>
  <si>
    <t>Opt. Quantum Electron.</t>
  </si>
  <si>
    <t>10.1007/s11082-023-05002-5</t>
  </si>
  <si>
    <t>Engineering, Electrical &amp; Electronic; Quantum Science &amp; Technology; Optics</t>
  </si>
  <si>
    <t>Engineering; Physics; Optics</t>
  </si>
  <si>
    <t>P5NZ3</t>
  </si>
  <si>
    <t>WOS:001051155600007</t>
  </si>
  <si>
    <t>McGillivray, I</t>
  </si>
  <si>
    <t>McGillivray, I.</t>
  </si>
  <si>
    <t>Some Isoperimetric Inequalities in the Plane with Radial Power Weights</t>
  </si>
  <si>
    <t>JOURNAL OF GEOMETRIC ANALYSIS</t>
  </si>
  <si>
    <t>Weighted isoperimetric inequality; Radial densities; Caffarelli-Kohn-Nirenberg inequality</t>
  </si>
  <si>
    <t>REGIONS; EXISTENCE; SPACE</t>
  </si>
  <si>
    <t>We consider the punctured plane with volume density |x|(alpha) and perimeter density |x|(beta). We show that centred balls are uniquely isoperimetric for indices (alpha, beta) which satisfy the conditions alpha - beta + 1 &gt; 0, alpha &lt;= 2 beta and alpha(beta + 1) &lt;= beta(2) except in the case alpha = beta = 0 which corresponds to the classical isoperimetric inequality. As an application, we verify a conjecture due to Caldiroli and Musina relating to the best constant in the Caffarelli-Kohn-Nirenberg inequality.</t>
  </si>
  <si>
    <t>[McGillivray, I.] Univ Bristol, Sch Math, Bristol, England</t>
  </si>
  <si>
    <t>University of Bristol</t>
  </si>
  <si>
    <t>McGillivray, I (corresponding author), Univ Bristol, Sch Math, Bristol, England.</t>
  </si>
  <si>
    <t>maiemg@bristol.ac.uk</t>
  </si>
  <si>
    <t>1050-6926</t>
  </si>
  <si>
    <t>1559-002X</t>
  </si>
  <si>
    <t>J GEOM ANAL</t>
  </si>
  <si>
    <t>J. Geom. Anal.</t>
  </si>
  <si>
    <t>10.1007/s12220-023-01402-x</t>
  </si>
  <si>
    <t>P2SB5</t>
  </si>
  <si>
    <t>Green Submitted, hybrid</t>
  </si>
  <si>
    <t>WOS:001049178300002</t>
  </si>
  <si>
    <t>Pughazendi, N; Harikrishnan, M; Khilar, R; Sharmila, L</t>
  </si>
  <si>
    <t>Pughazendi, N.; Harikrishnan, M.; Khilar, Rashmita; Sharmila, L.</t>
  </si>
  <si>
    <t>Optical handwritten character recognition for Tamil language using CNN-VGG-16 model with RF classifier</t>
  </si>
  <si>
    <t>Handwritten character recognition (HCR); Tamil; CNN-VGG16-RF (convolution neural network-VGGNet-random forest); Transfer learning; Recognize handwritten character (RHC); HP Tamil Lab website; Handwritten Tamil character recognition (HTCR); Support vector machine (SVM)</t>
  </si>
  <si>
    <t>In this world of modern data, it is so difficult to recognize handwritten characters for Tamil as many people have different styles of writing, so some of the letters are very difficult to understand and only a few can understand them. So, to overcome this issue, we built an algorithm in which the system could recognize the character and return the output. As it is difficult to understand letters manually for all their text, there is a need for some automatic method. The only intention of character recognition is that it wants to create a high-quality, accurate result that has the important points while considering the outlined input source image. Mostly, natural language processing and machine learning face the same problem with text recognition. The main goal of automatic character recognition is to create a high degree of accuracy as best as a human can do. Character recognition is the process of filtering the required information from the input-trained source to output the most useful content. This paper proposes a CNN-VGG16-RF model (convolution neural network-VGGNet-random forest) which employs an effective method to pick out the correct output. Experimental tests for our model were carried out to evaluate text quality, and the Tamil language dataset from the HP Tamil Lab website was used to compare our model to some other models; our model was found to be more effective in solving the handwritten recognition problem. In this model, we are going to propose Tamil vowels such as 12 letters only for the training and testing process.</t>
  </si>
  <si>
    <t>[Pughazendi, N.; Harikrishnan, M.] Saveetha Engn Coll, Dept CSE, Chennai, Tamil Nadu, India; [Khilar, Rashmita] Saveetha Inst Med &amp; Tech Sci, Saveetha Sch Engn, Dept CSE, Chennai, Tamil Nadu, India; [Sharmila, L.] Agni Coll Technol, Dept IT, Chennai, Tami l Nadu, India</t>
  </si>
  <si>
    <t>Saveetha Institute of Medical &amp; Technical Science; Saveetha School of Engineering</t>
  </si>
  <si>
    <t>Pughazendi, N (corresponding author), Saveetha Engn Coll, Dept CSE, Chennai, Tamil Nadu, India.</t>
  </si>
  <si>
    <t>pughazendi@gmail.com; harik1595@gmail.com; rashmita.khilar@gmail.com; shar.hariharan@gmail.com</t>
  </si>
  <si>
    <t>Narayanan, Pughazendi/AFF-6984-2022</t>
  </si>
  <si>
    <t>Narayanan, Pughazendi/0000-0002-6303-0755</t>
  </si>
  <si>
    <t>10.1007/s11082-023-05211-y</t>
  </si>
  <si>
    <t>Q7DG8</t>
  </si>
  <si>
    <t>WOS:001059085800001</t>
  </si>
  <si>
    <t>Roy, N; Frost, JD; Terzis, D</t>
  </si>
  <si>
    <t>Roy, N.; Frost, J. D.; Terzis, D.</t>
  </si>
  <si>
    <t>3-D contact and pore network analysis of MICP cemented sands</t>
  </si>
  <si>
    <t>GRANULAR MATTER</t>
  </si>
  <si>
    <t>MICP; Pore network; Contacts; Active bonds; Spatial heterogeneity</t>
  </si>
  <si>
    <t>INDUCED CARBONATE PRECIPITATION; BIO-CEMENTATION; STRENGTH</t>
  </si>
  <si>
    <t>The study describes a comprehensive methodology to evaluate X-Ray micro-computed tomography data from sand samples and to characterize their 3D microstructural properties. Fine and medium-grained sands are analyzed in their natural and bio-cemented states. While the two materials exhibit similar peak and residual strengths in their untreated state, they yield distinctly different strength improvements in their bio-cemented state, despite similar cementation contents. To understand the underlying mechanisms that govern this behavior, a recently developed approach is presented to gain new insights into the specimen's micro-architecture. Results capture a series of properties such as the volume distribution of pore bodies, pore throats, particles, interparticle contacts, precipitation bonds, and distribution of tortuous paths. It is found that the intrinsic, i.e., pre-cementation microstructural properties, are crucial in determining the spatial distribution of post-cementation bonds. Furthermore, the volume of bonds at interparticle contacts and in throats governs the overall contact area, directly reflecting interparticle stress transmission. Contact area increases by 180% for the medium-grained sand compared to 120% for the fine-grained. Overall, the methodology introduced in this study forms a new basis for understanding biocementation and can contribute to a more robust formulation of simulation models incorporating pore and contact mechanics in porous media.</t>
  </si>
  <si>
    <t>[Roy, N.] Georgia Inst Technol, Coll Comp, Atlanta, GA 30332 USA; [Frost, J. D.] Georgia Inst Technol, Sch Civil &amp; Environm Engn, Atlanta, GA USA; [Terzis, D.] Swiss Fed Inst Technol, Lab Soil Mech, Lausanne, Switzerland</t>
  </si>
  <si>
    <t>University System of Georgia; Georgia Institute of Technology; University System of Georgia; Georgia Institute of Technology; Swiss Federal Institutes of Technology Domain; Ecole Polytechnique Federale de Lausanne</t>
  </si>
  <si>
    <t>Roy, N (corresponding author), Georgia Inst Technol, Coll Comp, Atlanta, GA 30332 USA.</t>
  </si>
  <si>
    <t>nroy9@gatech.edu; david.frost@ce.gatech.edu; dimitrios.terzis@epfl.ch</t>
  </si>
  <si>
    <t>Roy, Nimisha/0000-0003-2480-9974</t>
  </si>
  <si>
    <t>US National Science Foundation [EEC- 1449501]; European Research Council (ERC) under the European Union [788587]</t>
  </si>
  <si>
    <t>US National Science Foundation(National Science Foundation (NSF)); European Research Council (ERC) under the European Union(European Research Council (ERC))</t>
  </si>
  <si>
    <t>The authors would like to acknowledge the US National Science Foundation for the financial support through the federal award No. EEC- 1449501. The authors would also like to acknowledge the discussions provided by researchers at the Center for Bio-mediated and Bio-inspired Geotechnics including Dr. Susan Burns, Mr. Shaivan Shivaprakash, Dr. Edward Kavazanjian, Dr. Leon vanPaassen and Dr. Jason DeJong. Additionally, Author D.T. would like to acknowledge the financial support of the European Research Council (ERC) under the European Union's Horizon 2020 research and innovation program (grant agreement No. 788587) and thank the ENAC Interdisciplinary Platform for X-ray micro-tomography (PIXE) of EPFL for providing the necessary infrastructure for image acquisition and analysis.</t>
  </si>
  <si>
    <t>1434-5021</t>
  </si>
  <si>
    <t>1434-7636</t>
  </si>
  <si>
    <t>GRANUL MATTER</t>
  </si>
  <si>
    <t>Granul. Matter</t>
  </si>
  <si>
    <t>10.1007/s10035-023-01347-6</t>
  </si>
  <si>
    <t>Materials Science, Multidisciplinary; Mechanics; Physics, Applied</t>
  </si>
  <si>
    <t>Materials Science; Mechanics; Physics</t>
  </si>
  <si>
    <t>N3AU4</t>
  </si>
  <si>
    <t>WOS:001035790200001</t>
  </si>
  <si>
    <t>Kim, A; Valdez, C; Truman, W; Trad, G; Solomon, C; McWhorter, Y</t>
  </si>
  <si>
    <t>Kim, Andrew; Valdez, Cristian; Truman, Weston; Trad, George; Solomon, Cordelia; McWhorter, Yi</t>
  </si>
  <si>
    <t>Encephalopathy in a Young Female With COVID 19: A Case Report</t>
  </si>
  <si>
    <t>CUREUS JOURNAL OF MEDICAL SCIENCE</t>
  </si>
  <si>
    <t>corticosteroids; autoimmune encephalopathy; autoimmune encephalitis; acute encephalitis; covid-19</t>
  </si>
  <si>
    <t>Cases of severe central nervous system (CNS) complications have been reported in relation to coronavirus-19 (COVID-19). Cases of encephalitis have been reported primarily in older patients with multiple comorbidities. We present a case of encephalitis in a young female patient with a history of chronic marijuana use that presented with nausea, vomiting, and acute altered mental status. Extensive testing for infectious and autoimmune causes of encephalitis were negative, except for a positive COVID-19 test. She was treated with steroids and intravenous immune globulin (IVIG) and improved with residual mutism.</t>
  </si>
  <si>
    <t>[Kim, Andrew; Valdez, Cristian; Truman, Weston; Trad, George; McWhorter, Yi] MountainView Hosp, Internal Med, Las Vegas, NV 89128 USA; [Solomon, Cordelia] MountainView Hosp, Intens Care Unit, Las Vegas, NV USA</t>
  </si>
  <si>
    <t>Kim, A (corresponding author), MountainView Hosp, Internal Med, Las Vegas, NV 89128 USA.</t>
  </si>
  <si>
    <t>kimandrew47@gmail.com</t>
  </si>
  <si>
    <t>2168-8184</t>
  </si>
  <si>
    <t>CUREUS J MED SCIENCE</t>
  </si>
  <si>
    <t>Cureus J Med Sci</t>
  </si>
  <si>
    <t>OCT 4</t>
  </si>
  <si>
    <t>e37373</t>
  </si>
  <si>
    <t>10.7759/cureus.37373</t>
  </si>
  <si>
    <t>Medicine, General &amp; Internal</t>
  </si>
  <si>
    <t>General &amp; Internal Medicine</t>
  </si>
  <si>
    <t>M7WR4</t>
  </si>
  <si>
    <t>WOS:001032288000009</t>
  </si>
  <si>
    <t>Guo, DH; Dong, W; Cong, YQ; Liu, Y; Liang, YD; Ye, Z; Zhang, JL; Zhou, Y</t>
  </si>
  <si>
    <t>Guo, Donghua; Dong, Wei; Cong, Yaqi; Liu, Yi; Liang, Youde; Ye, Zhou; Zhang, Jiali; Zhou, Yi</t>
  </si>
  <si>
    <t>LIF Aggravates Pulpitis by Promoting Inflammatory Response in Macrophages</t>
  </si>
  <si>
    <t>INFLAMMATION</t>
  </si>
  <si>
    <t>Article; Early Access</t>
  </si>
  <si>
    <t>Leukemia inhibitory factor; Macrophage; Inflammation; Pulpitis</t>
  </si>
  <si>
    <t>LEUKEMIA INHIBITORY FACTOR; NF-KAPPA-B; IL-6; DIFFERENTIATION; CYTOKINE; INTERLEUKIN-6</t>
  </si>
  <si>
    <t>Leukemia inhibitory factor (LIF) has been recognized as a novel inflammatory modulator in inflammation-associated diseases. This study aimed to investigate the modulation of LIF in dental pulp inflammation. Experimental pulpitis was established in wild-type (WT) and Lif-deficient (Lif-/-) mice. Histological and immunostaining analyses were conducted to assess the role of LIF in the progression of pulpitis. Mouse macrophage cell line (RAW264.7) was treated with LPS to simulate an inflammatory environment. Exogenous LIF was added to this system to examine its modulation in macrophage inflammatory response in vitro. Primary bone marrow-derived macrophages (BMDMs) from WT and Lif-/- mice were isolated and stimulated with LPS to confirm the effect of Lif deletion on macrophage inflammatory response. Supernatants from LIF and LPS-treated human dental pulp cells (hDPCs) were collected and added to macrophages. Macrophage chemotaxis was assessed using transwell assays. The results showed an increased expression of LIF and LIFR with the progression of pulpitis, and LIFR was highly expressed in macrophages. Lif deficiency alleviated experimental pulpitis with the reduction of pro-inflammatory cytokines and macrophage infiltration. Exogenous LIF promoted inflammatory response of LPS-induced macrophages through a STAT3/p65-dependent pathway. Consistently, Lif deletion inhibited macrophage inflammatory response in vitro. Supernatants of LIF-treated hDPCs enhanced macrophage migration in LPS-induced inflammatory environment. Our findings demonstrated that LIF aggravates pulpitis by promoting macrophage inflammatory response through a STAT3/p65-dependent pathway. Furthermore, LIF plays a crucial role in driving the recruitment of macrophages to inflamed pulp tissue by promoting chemokine secretion in DPCs.</t>
  </si>
  <si>
    <t>[Guo, Donghua; Dong, Wei; Cong, Yaqi; Zhang, Jiali; Zhou, Yi] Wuhan Univ, Key Lab Oral Biomed, Hubei Key Lab Stomatol, State Key Lab Oral &amp; Maxillofacial Reconstruct &amp; R, Wuhan 430079, Peoples R China; [Liu, Yi] Hubei Polytech Univ, Huangshi Cent Hosp, Affiliated Hosp, Edong Healthcare Grp,Dept Stomatol, Huangshi, Peoples R China; [Liang, Youde] Southern Univ Sci &amp; Technol, Yantian Hosp, Shenzhen, Peoples R China; [Ye, Zhou] Univ Hong Kong, Fac Dent, Appl Oral Sci &amp; Community Dent Care, Hong Kong, Peoples R China; [Zhou, Yi] Wuhan Univ, Sch &amp; Hosp Stomatol, Ctr Orthodont &amp; Pediat Dent, Opt Valley Branch, Wuhan, Peoples R China</t>
  </si>
  <si>
    <t>Wuhan University; Hubei Polytechnic University; Southern University of Science &amp; Technology; University of Hong Kong; Wuhan University</t>
  </si>
  <si>
    <t>Zhou, Y (corresponding author), Wuhan Univ, Key Lab Oral Biomed, Hubei Key Lab Stomatol, State Key Lab Oral &amp; Maxillofacial Reconstruct &amp; R, Wuhan 430079, Peoples R China.</t>
  </si>
  <si>
    <t>dryizhou@whu.edu.cn</t>
  </si>
  <si>
    <t>Thanks to the Key Laboratory of Oral Biomedicine Ministry of Education and Hubei Key Laboratory of Stomatology for providing us with the laboratory.; Key Laboratory of Oral Biomedicine Ministry of Education and Hubei Key Laboratory of Stomatology</t>
  </si>
  <si>
    <t>Thanks to the Key Laboratory of Oral Biomedicine Ministry of Education and Hubei Key Laboratory of Stomatology for providing us with the laboratory.</t>
  </si>
  <si>
    <t>0360-3997</t>
  </si>
  <si>
    <t>1573-2576</t>
  </si>
  <si>
    <t>Inflammation</t>
  </si>
  <si>
    <t>2023 OCT 2</t>
  </si>
  <si>
    <t>10.1007/s10753-023-01910-6</t>
  </si>
  <si>
    <t>OCT 2023</t>
  </si>
  <si>
    <t>Cell Biology; Immunology</t>
  </si>
  <si>
    <t>S8MZ0</t>
  </si>
  <si>
    <t>WOS:001073667400001</t>
  </si>
  <si>
    <t>Abbas, ZM; Abbas, QA</t>
  </si>
  <si>
    <t>Abbas, Zahraa Marid; Abbas, Qusay Adnan</t>
  </si>
  <si>
    <t>Influence of gas pressure on the magnetized plasma parameters of laser-induced breakdown</t>
  </si>
  <si>
    <t>Laser-induced breakdown spectroscopy (LIBS); Ambient gas pressure influence; Ar; Air; Plasma diagnostics; ZnO; Al target; Magnetized plasma</t>
  </si>
  <si>
    <t>SPECTROSCOPY LIBS; FIELD</t>
  </si>
  <si>
    <t>In this study, the effect of environment gas and working pressure of laser-induced breakdown spectroscopy from ZnO: Al composite target (AZO) enhanced by an external magnetic field on the magnetized characteristics and emission spectra of plasma were investigated. The plasma was induced by a Q-switched nanosecond Nd: YAG laser at a constant pulse laser energy of 300 mJ at different pressures of 0.08, 0.2, 0.4, and 760 Torr in air and argon gas. The atomic and ionic emission lines increased in intensity directly with the working pressure. The plasma temperature (T-e) and electron number density (n(e)) were determined at the different environmental conditions according to the intensity-ration method, and Stark broadening effect, respectively. Both n(e) and T-e increased with increasing pressure and with the presence of magnetic field as a result of confining effect. The line profile appeared with high broadening at atmospheric pressure compared with vacuumed plasma. The Larmur radius and confinement factor &amp; beta; increased with working pressure. From another hand, using Ar instead of air caused slightly reduced n(e) at low pressure, while T-e has the opposite behavior.</t>
  </si>
  <si>
    <t>[Abbas, Zahraa Marid; Abbas, Qusay Adnan] Univ Baghdad, Coll Sci, Dept Phys, Baghdad, Iraq</t>
  </si>
  <si>
    <t>University of Baghdad</t>
  </si>
  <si>
    <t>Abbas, ZM (corresponding author), Univ Baghdad, Coll Sci, Dept Phys, Baghdad, Iraq.</t>
  </si>
  <si>
    <t>zahraamarid92@gmail.com; qusay.a@sc.uobaghdad.edu.iq</t>
  </si>
  <si>
    <t>OCT</t>
  </si>
  <si>
    <t>10.1007/s11082-023-05163-3</t>
  </si>
  <si>
    <t>O2DD4</t>
  </si>
  <si>
    <t>WOS:001041967300003</t>
  </si>
  <si>
    <t>Albanese, AA; Bonet, J; Ricker, WJ</t>
  </si>
  <si>
    <t>Albanese, Angela A. A.; Bonet, Jose; Ricker, Werner J. J.</t>
  </si>
  <si>
    <t>Spectral properties of generalized Cesaro operators in sequence spaces</t>
  </si>
  <si>
    <t>REVISTA DE LA REAL ACADEMIA DE CIENCIAS EXACTAS FISICAS Y NATURALES SERIE A-MATEMATICAS</t>
  </si>
  <si>
    <t>Generalized Cesaro operator; Compactness; Spectra; Power boundedness; Uniform mean ergodicity; Sequence space; Frechet space; (LB)-space</t>
  </si>
  <si>
    <t>DUAL BANACH-SPACES; FINE SPECTRUM; RO OPERATOR; FRECHET; CES(P+)</t>
  </si>
  <si>
    <t>The generalized Cesaro operators C-t, for t is an element of[0, 1], were first investigated in the 1980s. They act continuously in many classical Banach sequence spaces contained in C(N)0, such as l(p), c(0), c, bv(0), bv and, as recently shown in Curbera et al. (J Math Anal Appl 507:31, 2022) [26], also in the discrete Cesaro spaces ces(p) and their (isomorphic) dual spaces d(p). In most cases C-t (t not equal 1) is compact and its spectra and point spectrum, together with the corresponding eigenspaces, are known. We study these properties of C-t, as well as their linear dynamics and mean ergodicity, when they act in certain non-normable sequence spaces contained in C(N)0. Besides C(N)0 itself, the Frechet spaces considered are l(p+), ces(p+) and d( p+), for 1 &lt;= p &lt; infinity, as well as the (LB)-spaces l(p-), ces(p-) and d(p-), for 1 &lt; p &lt;= infinity.</t>
  </si>
  <si>
    <t>[Albanese, Angela A. A.] Univ Salento, Dipartimento Matemat E De Giorgi, CP 193, I-73100 Lecce, Italy; [Bonet, Jose] Univ Politecn Valencia, Inst Univ Matemat Pura &amp; Aplicada IUMPA, Edificio IDI5 8E,Cubo F, Valencia 46071, Spain; [Ricker, Werner J. J.] Katholische Univ Eichstatt Ingolstadt, Math Geogr Fak, D-85072 Eichstatt, Germany</t>
  </si>
  <si>
    <t>University of Salento; Universitat Politecnica de Valencia</t>
  </si>
  <si>
    <t>Albanese, AA (corresponding author), Univ Salento, Dipartimento Matemat E De Giorgi, CP 193, I-73100 Lecce, Italy.</t>
  </si>
  <si>
    <t>angela.albanese@unisalento.it; jbonet@mat.upv.es; werner.ricker@ku.de</t>
  </si>
  <si>
    <t>Albanese, Angela/ABG-5127-2021</t>
  </si>
  <si>
    <t>Albanese, Angela/0000-0001-6370-2956</t>
  </si>
  <si>
    <t>MCIN/AEI/10.13039/501100011033 [PID2020-119457GB-100]; ERFD A way of making Europe [GV AICO/2021/170]</t>
  </si>
  <si>
    <t>MCIN/AEI/10.13039/501100011033; ERFD A way of making Europe</t>
  </si>
  <si>
    <t>The research of J. Bonet was partially supported by the project PID2020-119457GB-100 funded by MCIN/AEI/10.13039/501100011033 and by ERFD A way of making Europe and by the project GV AICO/2021/170.</t>
  </si>
  <si>
    <t>SPRINGER-VERLAG ITALIA SRL</t>
  </si>
  <si>
    <t>MILAN</t>
  </si>
  <si>
    <t>VIA DECEMBRIO, 28, MILAN, 20137, ITALY</t>
  </si>
  <si>
    <t>1578-7303</t>
  </si>
  <si>
    <t>1579-1505</t>
  </si>
  <si>
    <t>RACSAM REV R ACAD A</t>
  </si>
  <si>
    <t>Rev. Real Acad. Cienc. Exactas Fis. Nat. Ser. A-Mat.</t>
  </si>
  <si>
    <t>10.1007/s13398-023-01470-2</t>
  </si>
  <si>
    <t>Mathematics; Multidisciplinary Sciences</t>
  </si>
  <si>
    <t>Mathematics; Science &amp; Technology - Other Topics</t>
  </si>
  <si>
    <t>L3RV8</t>
  </si>
  <si>
    <t>Green Submitted, Green Published, hybrid</t>
  </si>
  <si>
    <t>WOS:001022474100001</t>
  </si>
  <si>
    <t>Araujo, I; Brizido, A; Lima, SR</t>
  </si>
  <si>
    <t>Araujo, Igor; Brizido, Andre; Rito Lima, Solange</t>
  </si>
  <si>
    <t>Virtual Network Function Development for NG-PON Access Network Architecture</t>
  </si>
  <si>
    <t>JOURNAL OF NETWORK AND SYSTEMS MANAGEMENT</t>
  </si>
  <si>
    <t>Passive optical network; Central office; Network function virtualization; Virtual network function; Software-defined network; Golang</t>
  </si>
  <si>
    <t>Modern networks urge agility, flexibility, and capacity to cope with the growing demand for media content and applications increasingly oriented toward data consumption. The Central Offices (CO) of telecommunication providers, being a vital aggregator of different access networks, such as optical and mobile, need to be prepared to deal with these demands. The Open Broadband-Broadband Access Abstraction (OB-BAA) architecture fits into the initiative to modernize the Information Technology (IT) components of broadband networks, more specifically the COs. This paper discusses the development of a Virtualized Network Function (VNF) in the context of network security to be integrated as a component of an OB-BAA architecture guided by the Software-Defined Network paradigm. More specifically, the authentication and authorization of network equipment within the IEEE 802.1X protocol are applied to Next Generation Passive Optical Networks. The VNF development is based on the Golang language combined with gRPC programmable interfaces for communication between the various elements of the OB-BAA architecture, and then the components were containerized and inserted in the Docker and Kubernetes virtualization frameworks of a multinational telecommunications operator. Finally, performance metrics such as computational resource usage (CPU, memory, and network I/O) and execution time of VNF processes were analyzed in usage tests with multiple supplicants and distinct operational modes, to attest to the most promising virtualization scenarios.</t>
  </si>
  <si>
    <t>[Araujo, Igor; Rito Lima, Solange] Univ Minho, Ctr Algoritmi, Braga, Portugal; [Brizido, Andre] Altice Labs, Direcao Sistemas Rede DSR, Aveiro, Portugal</t>
  </si>
  <si>
    <t>Universidade do Minho; Altice Portugal</t>
  </si>
  <si>
    <t>Lima, SR (corresponding author), Univ Minho, Ctr Algoritmi, Braga, Portugal.</t>
  </si>
  <si>
    <t>igor.virgilio@gmail.com; andre-d-brizido@alticelabs.com; solange@di.uminho.pt</t>
  </si>
  <si>
    <t>FCT|FCCN</t>
  </si>
  <si>
    <t>Open access funding provided by FCT|FCCN (b-on)</t>
  </si>
  <si>
    <t>1064-7570</t>
  </si>
  <si>
    <t>1573-7705</t>
  </si>
  <si>
    <t>J NETW SYST MANAG</t>
  </si>
  <si>
    <t>J. Netw. Syst. Manag.</t>
  </si>
  <si>
    <t>10.1007/s10922-023-09765-w</t>
  </si>
  <si>
    <t>Computer Science, Information Systems; Telecommunications</t>
  </si>
  <si>
    <t>Computer Science; Telecommunications</t>
  </si>
  <si>
    <t>P7OH8</t>
  </si>
  <si>
    <t>hybrid, Green Submitted</t>
  </si>
  <si>
    <t>WOS:001052525800001</t>
  </si>
  <si>
    <t>Avaliany, S; Dudek, D; Golub, A; Strukova, E</t>
  </si>
  <si>
    <t>Avaliany, S.; Dudek, D.; Golub, A.; Strukova, E.</t>
  </si>
  <si>
    <t>Ancillary Benefits of Climate Change Mitigation in Russia</t>
  </si>
  <si>
    <t>MITIGATION AND ADAPTATION STRATEGIES FOR GLOBAL CHANGE</t>
  </si>
  <si>
    <t>ancillary benefits; fossil fuel combustion; GHG mitigation; human health risk; Russia</t>
  </si>
  <si>
    <t>AIR-POLLUTION; HEALTH; MORTALITY</t>
  </si>
  <si>
    <t>This paper demonstrates the strong link between the implementation of a GHG emission mitigation policy and the reduction of human health risk related to air pollution in Russia. The human health risk analysis method was introduced in Russia in the late 1990s. After a few pilot studies, this method has been in studies in several Russian cities with high populations and high air pollution. These studies demonstrate that among the hundreds of pollutants controlled by Russian law, a handful are responsible for up to 90% of human health risk from air pollution (PM$_{10}$ and SO$_{2}$ contribute the most). Fossil fuel combustion is the main source of the aforementioned conventional pollutants. This paper provides an overview of local ancillary benefits studies in selected Russian cities. The countrywide energy study presented in this paper proves that reduction of GHG emissions in the power generation sector would result in the reduction of these conventional pollutants in all regions. A major challenge for Russia in this process is a potential increase of the share of coal in the fuel mix. Such a change would result in the additional loss of 118,000 years of life countrywide. In the Central and Volgo-Viatsky regions additional mortality could increase by more than 30%. As a result of a GHG mitigation policy that avoided an increase in the coal share of the fuel mix could produce ancillary benefits in 2010 around $60 per ton of CO2 emission reduction in power sector alone.</t>
  </si>
  <si>
    <t>[Avaliany, S.; Dudek, D.; Golub, A.; Strukova, E.] Environm Def, 1875 Connecticut Ave, NW, Suite 600, Washington, DC 20009 USA</t>
  </si>
  <si>
    <t>Golub, A (corresponding author), Environm Def, 1875 Connecticut Ave, NW, Suite 600, Washington, DC 20009 USA.</t>
  </si>
  <si>
    <t>agolub@environmentaldefense.org</t>
  </si>
  <si>
    <t>1381-2386</t>
  </si>
  <si>
    <t>1573-1596</t>
  </si>
  <si>
    <t>MITIG ADAPT STRAT GL</t>
  </si>
  <si>
    <t>Mitig. Adapt. Strateg. Glob. Chang.</t>
  </si>
  <si>
    <t>SUPPL 1</t>
  </si>
  <si>
    <t>10.1007/s11027-006-2948-4</t>
  </si>
  <si>
    <t>Environmental Sciences</t>
  </si>
  <si>
    <t>Environmental Sciences &amp; Ecology</t>
  </si>
  <si>
    <t>P5GA0</t>
  </si>
  <si>
    <t>WOS:001050946000001</t>
  </si>
  <si>
    <t>Baylan, E</t>
  </si>
  <si>
    <t>Baylan, Emel</t>
  </si>
  <si>
    <t>How Wetlands' Meanings and Participation in Their Management are Linked: Case Studies of Lough Boora Park (Ireland) and Bendimahi Delta (Turkiye)</t>
  </si>
  <si>
    <t>WETLANDS</t>
  </si>
  <si>
    <t>Place Meaning; Context; Place Attachment; Place Identity; Collective Action; Landscape Management</t>
  </si>
  <si>
    <t>ENVIRONMENTAL CONCERN; MULTIPLE DIMENSIONS; SOCIAL CONSTRUCTION; ECOSYSTEM SERVICES; PLACE ATTACHMENT; IN-PLACE; LANDSCAPE; SENSE; PREDICTORS; AESTHETICS</t>
  </si>
  <si>
    <t>Despite their potential benefits for participatory wetland management, wetland meanings have not been taken into account in this process. Furthermore, it is still unclear how these meanings develop through wetland-human interactions and how they interrelate in different contexts. This research aims to narrow this gap by exploring and comparing the meanings of a cutaway bog in Ireland and a deltaic floodplain in Turkey through a comparative qualitative case study methodology based on the interpretive phenomenological approach (IPA). Data were collected through semi-structured, face to face interviews with 18 local respondents and analysed using content and discourse analyses based on deductive and inductive coding techniques. The findings revealed that physical and socio-cultural landscape features, landscape experiences, place meanings at all layers, and participation in management were all mutually influential in the case wetlands. The meanings of Lough Boora (Ireland) highlight the importance of landscape change and collective action with a shared vision in the transformation of community links with landscape and place meanings. It is concluded that identity expressive and socio-cultural meanings, as important antecedents and predictors of attitudes towards participation, have potentials to inform about the issues and opportunities for participation in decision-making for wetland landscapes. Accordingly, wetland meanings should be considered from the early management planning stages to improve the inclusiveness of plans. While strengthening relationships between wetland stakeholders through context-relevant, participatory activities appear as a key strategy to increase the inclusiveness of management, improving wetlands' meanings through enhancement of the environmental and recreation-tourism infrastructure appears to be another.</t>
  </si>
  <si>
    <t>[Baylan, Emel] Trakya Univ, Fac Architecture, Dept Landscape Architecture, Edirne, Turkiye</t>
  </si>
  <si>
    <t>Trakya University</t>
  </si>
  <si>
    <t>Baylan, E (corresponding author), Trakya Univ, Fac Architecture, Dept Landscape Architecture, Edirne, Turkiye.</t>
  </si>
  <si>
    <t>emelbaylan@trakya.edu.tr</t>
  </si>
  <si>
    <t>BAYLAN, EMEL/0000-0002-7295-5848</t>
  </si>
  <si>
    <t>Moore Institute-Visiting Researcher Programme of the National University of Galway-Ireland</t>
  </si>
  <si>
    <t>The author received research funding for the field research from the Moore Institute-Visiting Researcher Programme of the National University of Galway-Ireland in 2018. This funding was used to carry out the on-site, face to face interviews in Offaly (IE) with the stakeholder representatives of the Lough Boora landscape as well as with the researchers who work about the research area and topic in Irish universities.</t>
  </si>
  <si>
    <t>0277-5212</t>
  </si>
  <si>
    <t>1943-6246</t>
  </si>
  <si>
    <t>Wetlands</t>
  </si>
  <si>
    <t>10.1007/s13157-023-01724-0</t>
  </si>
  <si>
    <t>Ecology; Environmental Sciences</t>
  </si>
  <si>
    <t>P7RC4</t>
  </si>
  <si>
    <t>WOS:001052598500001</t>
  </si>
  <si>
    <t>Bravo, EF</t>
  </si>
  <si>
    <t>Bravo, Eric Fernando</t>
  </si>
  <si>
    <t>Common Values of Padovan and Perrin Sequences</t>
  </si>
  <si>
    <t>Padovan number; Perrin number; linear form in logarithms; reduction method</t>
  </si>
  <si>
    <t>NUMBERS; SUMS</t>
  </si>
  <si>
    <t>The integer sequence defined by Pn+3 = Pn+1 +P-n with initial conditions P-0 = P-1 = P-2 = 1 is known as the Padovan sequence (P-n)(n is an element of Z). The Perrin sequence (R-m)(m is an element of Z) satisfies the same recurrence equation as the Padovan sequence but with starting values R-0 = 3, R-1 = 0, and R-2 = 2. In this note, we solve the Diophantine equation P-n = +/- R-m with (n, m)is an element of Z(2).</t>
  </si>
  <si>
    <t>[Bravo, Eric Fernando] Univ Cauca, Dept Matemat, Calle 5 4-70, Popayan, Colombia</t>
  </si>
  <si>
    <t>Universidad del Cauca</t>
  </si>
  <si>
    <t>Bravo, EF (corresponding author), Univ Cauca, Dept Matemat, Calle 5 4-70, Popayan, Colombia.</t>
  </si>
  <si>
    <t>fbravo@unicauca.edu.co</t>
  </si>
  <si>
    <t>Colombia Consortium</t>
  </si>
  <si>
    <t>Open Access funding provided by Colombia Consortium</t>
  </si>
  <si>
    <t>10.1007/s00009-023-02467-2</t>
  </si>
  <si>
    <t>M8FD4</t>
  </si>
  <si>
    <t>WOS:001032509900002</t>
  </si>
  <si>
    <t>Chowdhury, U; Mukherjee, R; Maity, AR; Kumar, S; Maji, PS</t>
  </si>
  <si>
    <t>Chowdhury, Uddipan; Mukherjee, Rupam; Maity, Amit Ranjan; Kumar, Samir; Maji, Partha Sona</t>
  </si>
  <si>
    <t>Self-referenced refractive index sensor utilizing Tamm plasmon in a photonic quasicrystal</t>
  </si>
  <si>
    <t>Braggs reflector; Plasmonics; Optical Tamm plasmons; FWHM; Quality factor; Optical sensor; Sensitivity; Figure of merit</t>
  </si>
  <si>
    <t>POLARITON</t>
  </si>
  <si>
    <t>The proposed work presents a theoretical design for a self-referenced refractive index sensor based on coupled Tamm Plasmon polariton (TPP) in a photonic quasi-crystal structure. The sensor structure is composed of a sub-wavelength analyte layer sandwiched between two metals capped distributed Bragg reflectors arranged in a Fibonacci sequence. The optical properties of the coupled TPP mode are investigated using the transfer matrix method. The reflection spectra characteristics of the proposed sensor exhibit two distinct reflectivity dips within the photonic band gap of the Fibonacci sequence photonic quasi-crystal. The lower wavelength reflection dip remains unchanged when the analyte refractive index is altered, serving as a reference wavelength. On the other hand, the higher resonance wavelength reflection dip shows significant variation with changes in the sensing layer's refractive index. The performance of this sensing configuration is analyzed by studying the dispersion properties associated with the resonance wavelength of the symmetric mode and various sensor parameters. The numerical investigations demonstrate a sensitivity fluctuation ranging from 65 to 240 nm/RIU and a figure of merit varying from 7 to 23 RIU-1. The Quality Factor ranges from 73 to 85, with detection accuracy varying from 0.095 to 0.115 nm(-1). The Limit of Detection ranges from 2 x 10(-6) to 6 x 10(-6), and the Resolution changes from 10 to 11 in the visible band of the spectrum. Based on these findings, the proposed sensor geometry shows potential for various applications, including biosensing, and can operate in the visible, near-infrared, and far-infrared regions of the electromagnetic spectrum.</t>
  </si>
  <si>
    <t>[Chowdhury, Uddipan; Maji, Partha Sona] Amity Univ, Amity Sch Appl Sci, Dept Phys, Kolkata 700135, India; [Mukherjee, Rupam] Lovely Profess Univ, Dept Phys, Phagwara 144411, Punjab, India; [Maity, Amit Ranjan] Amity Univ, Amity Inst Biotechnol, Kolkata 700135, India; [Kumar, Samir] Jai Prakash Univ, Hotilal Ramnath Coll, Dept Phys, Amnour 841401, Bihar, India</t>
  </si>
  <si>
    <t>Lovely Professional University</t>
  </si>
  <si>
    <t>Maji, PS (corresponding author), Amity Univ, Amity Sch Appl Sci, Dept Phys, Kolkata 700135, India.</t>
  </si>
  <si>
    <t>parthamaji.1984@gmail.com</t>
  </si>
  <si>
    <t>Maji, Partha Sona/S-5000-2016</t>
  </si>
  <si>
    <t>Maji, Partha Sona/0000-0003-3390-9408</t>
  </si>
  <si>
    <t>Department of Biotechnology for Ramalingaswami Re-entry fellowship [BT/RLF/Re-entry/53/2019]</t>
  </si>
  <si>
    <t>Department of Biotechnology for Ramalingaswami Re-entry fellowship</t>
  </si>
  <si>
    <t>Amit Ranjan Maity would like to acknowledge the Department of Biotechnology for Ramalingaswami Re-entry fellowship (BT/RLF/Re-entry/53/2019)</t>
  </si>
  <si>
    <t>10.1007/s11082-023-05160-6</t>
  </si>
  <si>
    <t>O3ZU7</t>
  </si>
  <si>
    <t>WOS:001043240400006</t>
  </si>
  <si>
    <t>de Oliveira, ME; Saranholi, BH; Miotto, RA; Souza, ASMC; Dirzo, R; Galetti , PM</t>
  </si>
  <si>
    <t>de Oliveira, Marina E.; Saranholi, Bruno H.; Miotto, Renata A.; Souza, Andiara Silos M. C.; Dirzo, Rodolfo; Galetti Jr, Pedro M.</t>
  </si>
  <si>
    <t>Female philopatry and unsuccessful male dispersal of a top predator in a human-modified landscape revealed by relatedness analysis</t>
  </si>
  <si>
    <t>EUROPEAN JOURNAL OF WILDLIFE RESEARCH</t>
  </si>
  <si>
    <t>Conservation genetics; Dispersal success; Kinship; Microsatellites; Noninvasive sampling; Sex-biased dispersal</t>
  </si>
  <si>
    <t>LONG-DISTANCE DISPERSAL; SEX-BIASED DISPERSAL; LARGE-SIZED MAMMALS; PUMA-CONCOLOR; COMPUTER-PROGRAM; ATLANTIC FOREST; GENETIC RELATEDNESS; SOLITARY CARNIVORE; POPULATION; MORTALITY</t>
  </si>
  <si>
    <t>Habitat loss and fragmentation threaten population persistence because they affect the ability of individuals to disperse between remaining patches of good-quality habitat and reduce refuge areas for populations. In cougars (Puma concolor), males are predominantly dispersers while females tend to be more philopatric. To examine the dispersal ability and philopatry of cougars in a human-dominated landscape in Brazil, we performed relatedness and spatial autocorrelation analyses based on genotyped cougars from different sampling groups: forest fragments within a human-modified matrix, continuous forest, and road-killed individuals. We found similarly high relatedness and a positive spatial autocorrelation at the shortest spatial scale (0-100 km) for both males and females from the forest fragments within a human-modified matrix. In the continuous forest and among cougars sampled as roadkills, we detected no spatial autocorrelation and observed low relatedness for both sexes. We also detected higher male:female sex ratio among road-killed individuals, likely due to the greater dispersal tendency of males. Our results confirm female philopatry in the forest fragments. However, the high relatedness and positive autocorrelation observed in the forest fragments suggest kin clustering also for males, which may be a result of unsuccessful dispersal. We reported the first evidence for a South American cougar population of unsuccessful dispersal in response to human-altered landscapes. Further research is needed to assess the specific causes of male unsuccessful dispersal and how it may affect species persistence in human-dominated landscapes.</t>
  </si>
  <si>
    <t>[de Oliveira, Marina E.; Saranholi, Bruno H.; Miotto, Renata A.; Souza, Andiara Silos M. C.; Galetti Jr, Pedro M.] Univ Fed Sao Carlos, Rod Washington Luis Km 235, BR-13565905 Sao Carlos, SP, Brazil; [Dirzo, Rodolfo] Stanford Univ, Dept Biol, Stanford, CA 94305 USA</t>
  </si>
  <si>
    <t>Universidade Federal de Sao Carlos; Stanford University</t>
  </si>
  <si>
    <t>de Oliveira, ME (corresponding author), Univ Fed Sao Carlos, Rod Washington Luis Km 235, BR-13565905 Sao Carlos, SP, Brazil.</t>
  </si>
  <si>
    <t>marinaelisao@gmail.com</t>
  </si>
  <si>
    <t>Fundacao de Amparo a Pesquisa do Estado de Sao Paulo [FAPESP 2010/52315-7, 2013/24453-4, 2011/13897-3, 2012/00534-2, 2022/01741-3]; Conselho Nacional de Desenvolvimento Cientifico e Tecnologico [CNPq 563299/2010-0, 234574/2014-3, 303524/2019-7, 141085/2019-3]; Fundacao Parque Zoologico de Sao Paulo (FPZSP); Stanford's School of Humanities and Sciences; IDEA WILD [SARABRAZ1113]; Neotropical Grassland Conservancy (NGC)</t>
  </si>
  <si>
    <t>Fundacao de Amparo a Pesquisa do Estado de Sao Paulo(Fundacao de Amparo a Pesquisa do Estado de Sao Paulo (FAPESP)); Conselho Nacional de Desenvolvimento Cientifico e Tecnologico(Conselho Nacional de Desenvolvimento Cientifico e Tecnologico (CNPQ)); Fundacao Parque Zoologico de Sao Paulo (FPZSP); Stanford's School of Humanities and Sciences; IDEA WILD; Neotropical Grassland Conservancy (NGC)</t>
  </si>
  <si>
    <t>This work was supported by Fundacao de Amparo a Pesquisa do Estado de Sao Paulo (SISBIOTA - Top predators network, FAPESP 2010/52315-7; 2013/24453-4, 2011/13897-3, 2012/00534-2, 2022/01741-3), Conselho Nacional de Desenvolvimento Cientifico e Tecnologico (CNPq 563299/2010-0, 234574/2014-3, 303524/20197, 141085/2019-3), Fundacao Parque Zoologico de Sao Paulo (FPZSP), Stanford's School of Humanities and Sciences, IDEA WILD (SARABRAZ1113) and Neotropical Grassland Conservancy (NGC).</t>
  </si>
  <si>
    <t>1612-4642</t>
  </si>
  <si>
    <t>1439-0574</t>
  </si>
  <si>
    <t>EUR J WILDLIFE RES</t>
  </si>
  <si>
    <t>Eur. J. Wildl. Res.</t>
  </si>
  <si>
    <t>10.1007/s10344-023-01726-7</t>
  </si>
  <si>
    <t>Ecology; Zoology</t>
  </si>
  <si>
    <t>Environmental Sciences &amp; Ecology; Zoology</t>
  </si>
  <si>
    <t>R7ZL1</t>
  </si>
  <si>
    <t>WOS:001066500100001</t>
  </si>
  <si>
    <t>Esmaeili, E; Didekhani, R; Gohari, Z; Khalili, M</t>
  </si>
  <si>
    <t>Esmaeili, Elaheh; Didekhani, Roghaieh; Gohari, Zahra; Khalili, Mahsa</t>
  </si>
  <si>
    <t>Fabrication and characterization of PCL@PAN nanofibrous scaffold containing nature-derived oyster shell for bone tissue engineering applications</t>
  </si>
  <si>
    <t>APPLIED PHYSICS A-MATERIALS SCIENCE &amp; PROCESSING</t>
  </si>
  <si>
    <t>Polycaprolactone; Polyacrylonitrile; Core-shell; Nanofiber; Oyster shell; Electrospinning</t>
  </si>
  <si>
    <t>COMPOSITE SCAFFOLDS; DIFFERENTIATION</t>
  </si>
  <si>
    <t>Bone tissue engineering is developed over decades and various materials and techniques are introduced to produce an improved scaffold for bone growth and regeneration. The polymeric scaffolds composed of bioceramics are prospective candidates for treating bone defects. The applications of coaxial electrospinning in tissue engineering are growing due to the increased functionality of the fibrous scaffolds compared to basic electrospinning. In this study, a biodegradable and biocompatible polycaprolactone (PCL)/polyacrylonitrile (PAN) core-shell nanofibrous structure composed of oyster shell (OS) as a bioceramic has been used to prepare a new scaffold for bone tissue engineering. The adipose-derived mesenchymal stem cells (ADMSCs) were cultured on the fabricated scaffolds to examine their potential for cell support, proliferation, and osteogenic differentiation. (1) The electrospun nanofibers present a highly porous with interconnected pore structure. (2) There was no cytotoxicity of the prepared scaffolds towards ADMSCs. (3) The ADMSCs cultured on the PCL@PAN/OS scaffold present a higher level of biomineralization analyzed by calcium content and alizarin red S assays. (4) In addition, it shows the highest osteocalcin, ALP, and Runx2 gene expression. The excellent biological properties of the core-shell PCL@PAN/OS nanofibrous structure have been promising to have potential applications in bone tissue engineering.</t>
  </si>
  <si>
    <t>[Esmaeili, Elaheh; Didekhani, Roghaieh; Gohari, Zahra; Khalili, Mahsa] Iran Univ Med Sci IUMS, Stem Cell Technol Res Ctr STRC, Tehran, Iran</t>
  </si>
  <si>
    <t>Iran University of Medical Sciences</t>
  </si>
  <si>
    <t>Esmaeili, E (corresponding author), Iran Univ Med Sci IUMS, Stem Cell Technol Res Ctr STRC, Tehran, Iran.</t>
  </si>
  <si>
    <t>esmaeili_elaheh@yahoo.com</t>
  </si>
  <si>
    <t>0947-8396</t>
  </si>
  <si>
    <t>1432-0630</t>
  </si>
  <si>
    <t>APPL PHYS A-MATER</t>
  </si>
  <si>
    <t>Appl. Phys. A-Mater. Sci. Process.</t>
  </si>
  <si>
    <t>10.1007/s00339-023-06943-0</t>
  </si>
  <si>
    <t>Materials Science, Multidisciplinary; Physics, Applied</t>
  </si>
  <si>
    <t>Materials Science; Physics</t>
  </si>
  <si>
    <t>R0PW1</t>
  </si>
  <si>
    <t>WOS:001061458300004</t>
  </si>
  <si>
    <t>Fadaee, B; Ghahramani, H; Moradi, H</t>
  </si>
  <si>
    <t>Fadaee, Behrooz; Ghahramani, Hoger; Moradi, Heydar</t>
  </si>
  <si>
    <t>Some Generalizations of *-Lie Derivable Mappings and Their Characterization on Standard Operator Algebras</t>
  </si>
  <si>
    <t>BULLETIN OF THE IRANIAN MATHEMATICAL SOCIETY</t>
  </si>
  <si>
    <t>*-Lie derivation; *-Lie derivable map; Generalized*-Lie 2-derivablemap; Left (right) generalized *-Lie derivable map; Standard operator algebra</t>
  </si>
  <si>
    <t>NONLINEAR MAPPINGS; N-DERIVATIONS; MAPS</t>
  </si>
  <si>
    <t>We introduce generalizations of *-Lie derivable mappings (which are not necessarily linear) on *-algebras and then provide characterizations of these generalizations on standard operator algebras. Indeed, if H is an infinite dimensional complex Hilbert space and A be a unital standard operator algebra on H which is closed under the adjoint operation, then we characterize these mappings on A, especially we show that these mappings are linear. Our results are various generalizations of the main result of [W. Jing, Nonlinear *-Lie derivations of standard operator algebras, Quaestiones Math. 39 (2016), 1037-1046].</t>
  </si>
  <si>
    <t>[Fadaee, Behrooz; Ghahramani, Hoger; Moradi, Heydar] Univ Kurdistan, Fac Sci, Dept Math, POB 416, Sanandaj, Kurdistan, Iran</t>
  </si>
  <si>
    <t>University of Kurdistan</t>
  </si>
  <si>
    <t>Ghahramani, H (corresponding author), Univ Kurdistan, Fac Sci, Dept Math, POB 416, Sanandaj, Kurdistan, Iran.</t>
  </si>
  <si>
    <t>behroozfadaee@yahoo.com; hoger.ghahramani@yahoo.com; heydarmoradi61@gmail.com</t>
  </si>
  <si>
    <t>The authors thank the referee(s) for careful reading of the manuscript and for helpful suggestions.</t>
  </si>
  <si>
    <t>1017-060X</t>
  </si>
  <si>
    <t>1735-8515</t>
  </si>
  <si>
    <t>B IRAN MATH SOC</t>
  </si>
  <si>
    <t>Bull. Iran Math. Soc.</t>
  </si>
  <si>
    <t>10.1007/s41980-023-00812-5</t>
  </si>
  <si>
    <t>S1VM9</t>
  </si>
  <si>
    <t>WOS:001069118600001</t>
  </si>
  <si>
    <t>Fu, WJ; Chen, RZ; Cui, YL</t>
  </si>
  <si>
    <t>Fu, Wenju; Chen, Ruizhi; Cui, Yulu</t>
  </si>
  <si>
    <t>A computationally efficient prior quality control approach for multi-GNSS real-time satellite clock estimation</t>
  </si>
  <si>
    <t>GPS SOLUTIONS</t>
  </si>
  <si>
    <t>Multi-GNSS; Real-time satellite clock; Robust estimation; Weight model; Prior quality control</t>
  </si>
  <si>
    <t>ROBUST ESTIMATION; GPS</t>
  </si>
  <si>
    <t>The quality control of multi-global navigation satellite system (multi-GNSS) real-time satellite clock estimation is time-consuming since mutual influence exists between multidimensional outliers, and the ambiguity calculation burden for multiple updates is heavy. Thus, we propose a computationally efficient prior quality control method for multi-GNSS real-time clock estimation that can delete outliers and adjust the weight of low-quality observations in advance. The weights of pseudorange and carrier phase observations are determined by robustly estimating the clock with only pseudoranges and the clock variation by time-differenced carrier phases, respectively. The calculation time of quality control can be significantly reduced owing to eliminating the ambiguity parameters. The multi-GNSS real-time satellite clock estimation shows that observation weight ratios were better in the updated weight model than in the original model. The prior quality control method significantly improved the clock standard deviation (STD) and the root-mean-square (RMS) accuracy. Especially for the GPS/BeiDou global satellite navigation system (BDS-3), the STD was improved by 14.8% and 36.8% in the proposed approach, respectively, and the RMS was improved by 24.2% and 67.8%, respectively. The calculation time of the updated weight model was only 0.3 s, accounting for 8.4% of the total time. Thus, the proposed quality control method can significantly improve the accuracy of clock estimation and complete the calculation in less time.</t>
  </si>
  <si>
    <t>[Fu, Wenju; Chen, Ruizhi; Cui, Yulu] Wuhan Univ, State Key Lab Informat Engn Surveying Mapping &amp; Re, Wuhan 430079, Peoples R China</t>
  </si>
  <si>
    <t>Wuhan University</t>
  </si>
  <si>
    <t>Chen, RZ (corresponding author), Wuhan Univ, State Key Lab Informat Engn Surveying Mapping &amp; Re, Wuhan 430079, Peoples R China.</t>
  </si>
  <si>
    <t>ruizhi.chen@whu.edu.cn</t>
  </si>
  <si>
    <t>Program of the National Natural Science Foundation of China [41904038]; China Postdoctoral Science Foundation [2019M662713]</t>
  </si>
  <si>
    <t>Program of the National Natural Science Foundation of China(National Natural Science Foundation of China (NSFC)); China Postdoctoral Science Foundation(China Postdoctoral Science Foundation)</t>
  </si>
  <si>
    <t>AcknowledgementsThis work was supported by the Program of the National Natural Science Foundation of China (No. 41904038) and the China Postdoctoral Science Foundation (No. 2019M662713). We also thank the IGS for providing the data and products for this study. We thank LetPub (www.letpub.com) for its linguistic assistance during the preparation of this manuscript.</t>
  </si>
  <si>
    <t>1080-5370</t>
  </si>
  <si>
    <t>1521-1886</t>
  </si>
  <si>
    <t>GPS SOLUT</t>
  </si>
  <si>
    <t>GPS Solut.</t>
  </si>
  <si>
    <t>10.1007/s10291-023-01516-3</t>
  </si>
  <si>
    <t>Remote Sensing</t>
  </si>
  <si>
    <t>N4NC5</t>
  </si>
  <si>
    <t>WOS:001036788800001</t>
  </si>
  <si>
    <t>Fukushima, Y; Harashina, K; Nishi, C</t>
  </si>
  <si>
    <t>Fukushima, Yoshiki; Harashina, Koji; Nishi, Chiaki</t>
  </si>
  <si>
    <t>Den site selection and seasonal changes in use patterns by the masked palm civet (Paguma larvata) in urban areas of Morioka City, Japan</t>
  </si>
  <si>
    <t>LANDSCAPE AND ECOLOGICAL ENGINEERING</t>
  </si>
  <si>
    <t>Tracking survey; Alien species; Urban wildlife; Medium-sized mammal; Carnivora; Viverridae</t>
  </si>
  <si>
    <t>Masked palm civets (Paguma larvata) are increasing in abundance in Japan, and understanding their den preferences may help control their numbers. We investigated the den site selection and use patterns of masked palm civets, as well as seasonal changes in selection and use, in urban areas in Japan using radio tracking. We tracked 5 civets in the Daijiji and Kamido areas of Morioka City, Iwate Prefecture and identified 84 den sites that were used a total of 245 times by those civets. Overall, civets chose buildings more frequently than warehouses or the outdoors as den sites. Outdoor den sites were used only in summer. For each individual, about half of the den sites were used only once. On the other hand, the top three den sites with the highest number of uses accounted for 40-60% of the total number of uses. In Daijiji, civets selected significantly more temples/shrines and significantly fewer residential houses than expected; however, across the sites residential houses were used more frequently than any other site type. In winter, civets depended on better insulated buildings (e.g., temples/shrines and residential or vacant houses) and tended to use the same den sites continuously. These results indicate that civets living in urban areas tend to select buildings as den sites. Therefore, not only to reduce property damage, but also to create an environment that makes it difficult for civets to overwinter, it is important to manage buildings, so that civets cannot use them as dens.</t>
  </si>
  <si>
    <t>[Fukushima, Yoshiki] Iwate Univ, United Grad Sch Agr Sci, Ueda 3 18 8, Morioka, Iwate 0208550, Japan; [Harashina, Koji] Iwate Univ, Fac Agr, Ueda 3 18 8, Morioka, Iwate 0208550, Japan; [Harashina, Koji] Iwate Univ, Agriinnovat Ctr, Ueda 3 18 8, Morioka, Iwate 0208550, Japan; [Nishi, Chiaki] Iwate Wildlife Res Inst, Yamagishi Aza Sotoyamagishi 74 26, Morioka, Iwate 0200004, Japan</t>
  </si>
  <si>
    <t>Iwate University; Iwate University; Iwate University</t>
  </si>
  <si>
    <t>Harashina, K (corresponding author), Iwate Univ, Fac Agr, Ueda 3 18 8, Morioka, Iwate 0208550, Japan.;Harashina, K (corresponding author), Iwate Univ, Agriinnovat Ctr, Ueda 3 18 8, Morioka, Iwate 0208550, Japan.</t>
  </si>
  <si>
    <t>hkoji@iwate-u.ac.jp</t>
  </si>
  <si>
    <t>We thank all the landowners and other residents who allowed us to set traps. All the transmitters used in the survey conformed to the Radio Law in Japan at the time of the survey and bore the Technical Conformity Mark. Our trapping survey was conducted und</t>
  </si>
  <si>
    <t>We thank all the landowners and other residents who allowed us to set traps. All the transmitters used in the survey conformed to the Radio Law in Japan at the time of the survey and bore the Technical Conformity Mark. Our trapping survey was conducted under a permit issued by the governor of Iwate Prefecture.</t>
  </si>
  <si>
    <t>SPRINGER JAPAN KK</t>
  </si>
  <si>
    <t>TOKYO</t>
  </si>
  <si>
    <t>SHIROYAMA TRUST TOWER 5F, 4-3-1 TORANOMON, MINATO-KU, TOKYO, 105-6005, JAPAN</t>
  </si>
  <si>
    <t>1860-1871</t>
  </si>
  <si>
    <t>1860-188X</t>
  </si>
  <si>
    <t>LANDSC ECOL ENG</t>
  </si>
  <si>
    <t>Landsc. Ecol. Eng.</t>
  </si>
  <si>
    <t>10.1007/s11355-023-00571-9</t>
  </si>
  <si>
    <t>Biodiversity Conservation; Ecology</t>
  </si>
  <si>
    <t>Biodiversity &amp; Conservation; Environmental Sciences &amp; Ecology</t>
  </si>
  <si>
    <t>S6XN9</t>
  </si>
  <si>
    <t>WOS:001072578500008</t>
  </si>
  <si>
    <t>Garcia-Lirola, LC; Grelier, G; Martinez-Cervantes, G; Zoca, AR</t>
  </si>
  <si>
    <t>Garcia-Lirola, Luis C.; Grelier, Guillaume; Martinez-Cervantes, Gonzalo; Zoca, Abraham Rueda</t>
  </si>
  <si>
    <t>Extremal Structure of Projective Tensor Products</t>
  </si>
  <si>
    <t>Banach space; projective tensor product; preserved extreme point; strongly exposed point</t>
  </si>
  <si>
    <t>DENTING POINTS; PROPERTY; SPACES; DUALS</t>
  </si>
  <si>
    <t>We prove that, given two Banach spaces X and Y and bounded, closed convex sets C C X and D C Y, if a nonzero element z E co(C (R) D) C X (R) pY is a preserved extreme point then z = x0 (R) y0 for some preserved extreme points x0 E C and y0 E D, whenever K(X, Y*) sepa-rates points of X (R) pY (in particular, whenever X or Y has the compact approximation property). Moreover, we prove that if x0 E C and y0 E D are weak-strongly exposed points then x0 (R) y0 is weak-strongly exposed in co(C (R) D) whenever x0 (R) y0 has a neighbourhood system for the weak topology defined by compact operators. Furthermore, we find a Banach space X isomorphic to $2 with a weak-strongly exposed point x0 E BX such that x0 (R) x0 is not a weak-strongly exposed point of the unit ball of X (R) _pX.</t>
  </si>
  <si>
    <t>[Garcia-Lirola, Luis C.] Univ Zaragoza, Dept Matemat, Zaragoza 50009, Spain; [Grelier, Guillaume] Univ Murcia, Dept Matemat, Campus Espinardo, Murcia 30100, Spain; [Martinez-Cervantes, Gonzalo] Univ Alicante, Fac Ciencias, Dept Matemat, Alicante 03080, Spain; [Zoca, Abraham Rueda] Univ Granada, Fac Ciencias, Dept Anal Matematico, Granada 18071, Spain</t>
  </si>
  <si>
    <t>University of Zaragoza; University of Murcia; Universitat d'Alacant; University of Granada</t>
  </si>
  <si>
    <t>Garcia-Lirola, LC (corresponding author), Univ Zaragoza, Dept Matemat, Zaragoza 50009, Spain.</t>
  </si>
  <si>
    <t>luiscarlos@unizar.es; g.grelier@um.es; gonzalo.martinez@ua.es; abrahamrueda@ugr.es</t>
  </si>
  <si>
    <t>Agencia Estatal de Investigacioen; EDRF/FEDER A way of making Europe (MCIN/AEI) [PID2021-122126NB-C32, PID2021-122126NB-C31]; Fundacioen Seneca Regioen de Murcia [21955/PI/22]; DGA project [E48-23R]; MICINN 2018 FPI fellowship [PRE2018-083703]; Junta de Andalucia Grants [FQM-0185, PY20 00255]</t>
  </si>
  <si>
    <t>Agencia Estatal de Investigacioen; EDRF/FEDER A way of making Europe (MCIN/AEI); Fundacioen Seneca Regioen de Murcia(Fundacion Seneca); DGA project; MICINN 2018 FPI fellowship; Junta de Andalucia Grants(Junta de Andalucia)</t>
  </si>
  <si>
    <t>Research partially supported by Agencia Estatal de Investigacioen and EDRF/FEDER A way of making Europe (MCIN/AEI/10.13039/501100011033) through Grants PID2021-122126NB-C32 and PID2021-122126NB-C31 (Rueda Zoca), by Fundacioen Seneca Regioen de Murcia 21955/PI/22. The research of Garcia-Lirola was also supported by DGA project E48-23R. The research of G. Grelier was also supported by MICINN 2018 FPI fellowship with reference PRE2018-083703. The research of Abraham Rueda Zoca was also supported by Junta de Andalucia Grants FQM-0185 and PY20 00255.</t>
  </si>
  <si>
    <t>10.1007/s00025-023-01970-y</t>
  </si>
  <si>
    <t>O0RB6</t>
  </si>
  <si>
    <t>WOS:001040969200002</t>
  </si>
  <si>
    <t>Guseva, VE; Nechay, AN; Perekalov, AA; Salashchenko, NN; Chkhalo, NI</t>
  </si>
  <si>
    <t>Guseva, V. E.; Nechay, A. N.; Perekalov, A. A.; Salashchenko, N. N.; Chkhalo, N. I.</t>
  </si>
  <si>
    <t>Investigation of emission spectra of plasma generated by laser pulses on Xe gas-jet targets</t>
  </si>
  <si>
    <t>APPLIED PHYSICS B-LASERS AND OPTICS</t>
  </si>
  <si>
    <t>XENON; EUV; RADIATION</t>
  </si>
  <si>
    <t>The paper discusses the results of studying the emission spectra and absolute radiation intensities of laser plasma generated by laser pulse on a xenon gas-jet target. A Nd:YAG laser, &amp; lambda; = 1064 nm, &amp; tau; = 5.2 ns, Epulse = 0.8 J was used. The spectral range 3-20 nm was studied. Gas-jet targets were formed by a supersonic conical nozzle. Emission spectra of laser plasma were obtained and interpreted. Absolute radiation intensities were determined in a number of spectral bands under various conditions of gas-jet target excitation.</t>
  </si>
  <si>
    <t>[Guseva, V. E.; Nechay, A. N.; Perekalov, A. A.; Salashchenko, N. N.; Chkhalo, N. I.] RAS, Inst Phys Microstruct, Nizhnii Novgorod 603087, Russia</t>
  </si>
  <si>
    <t>Russian Academy of Sciences</t>
  </si>
  <si>
    <t>Perekalov, AA (corresponding author), RAS, Inst Phys Microstruct, Nizhnii Novgorod 603087, Russia.</t>
  </si>
  <si>
    <t>valeriegus@ipmras.ru; nechay@ipmras.ru; perekalov@ipmras.ru; salashchenko@ipmras.ru; chkhalo@ipmras.ru</t>
  </si>
  <si>
    <t>Center of Excellence Center of Photonics - Ministry of Science and Higher Education of the Russian Federation; [075-15-2022-316]</t>
  </si>
  <si>
    <t>Center of Excellence Center of Photonics - Ministry of Science and Higher Education of the Russian Federation;</t>
  </si>
  <si>
    <t>We are grateful for the support by Center of Excellence Center of Photonics funded by The Ministry of Science and Higher Education of the Russian Federation, contract no. 075-15-2022-316.</t>
  </si>
  <si>
    <t>0946-2171</t>
  </si>
  <si>
    <t>1432-0649</t>
  </si>
  <si>
    <t>APPL PHYS B-LASERS O</t>
  </si>
  <si>
    <t>Appl. Phys. B-Lasers Opt.</t>
  </si>
  <si>
    <t>10.1007/s00340-023-08095-8</t>
  </si>
  <si>
    <t>Optics; Physics, Applied</t>
  </si>
  <si>
    <t>Optics; Physics</t>
  </si>
  <si>
    <t>S4KM1</t>
  </si>
  <si>
    <t>WOS:001070872800001</t>
  </si>
  <si>
    <t>He, ZC; Mohsenzadeh, E; Zhang, SC; Rault, F; Salaun, F</t>
  </si>
  <si>
    <t>He, Zhongchen; Mohsenzadeh, Elham; Zhang, Shengchang; Rault, Francois; Salaun, Fabien</t>
  </si>
  <si>
    <t>Development of high-sensitive piezoelectric nanogenerators of all-organic PVDF multilayer nanofibrous membrane with innovative 3D structure via electrohydrodynamic processes</t>
  </si>
  <si>
    <t>JOURNAL OF POLYMER RESEARCH</t>
  </si>
  <si>
    <t>Electrospinning; Electrospraying; PVDF; Piezoelectric performance; Multilayer membrane</t>
  </si>
  <si>
    <t>PRESSURE SENSOR; PERFORMANCE</t>
  </si>
  <si>
    <t>Poly(vinylidene fluoride) (PVDF) electrospun nanofibrous membranes (NFMs) have good piezoelectric properties compared to other polymer materials due to their electroactive phase. However, there is a limit to the content of the electroactive phase (FEA) in PVDF, which restricts the further improvement of PVDF NFMs' piezoelectric properties. This research prepared PVDF multilayer nanofibrous membranes (MNFMs) with a novel 3D structure by assembling electrospun PVDF nanofibers and electrospraying PVDF microspheres. The various properties of PVDF microspheres and PVDF MNFMs, including their crystalline structure, morphology, and piezoelectric properties, were discussed in detail. The addition of PVDF microspheres to PVDF NFMs hardly changed the FEA in PVDF MNFMs. However, the piezoelectric properties of PVDF MNFMs significantly increased compared to those of PVDF NFMs. PVDF MNFMs demonstrate good piezoelectric sensitivity and can detect the stress force as small as 0.25 N and finger tapping. The maximum output voltage of PVDF MNFMs was 112 mV, achieved when applying a force of 0.25 N at a frequency of 110 Hz. This value is three times higher than that of PVDF NFMs.</t>
  </si>
  <si>
    <t>[He, Zhongchen; Mohsenzadeh, Elham; Rault, Francois; Salaun, Fabien] Univ Lille, ENSAIT, ULR 2461 GEMTEX Genie &amp; Mat Text, F-59000 Lille, France; [Mohsenzadeh, Elham] Junia, F-59000 Lille, France; [Zhang, Shengchang] Sichuan Univ, Coll Polymer Sci &amp; Engn, C-610065 Chengdu, Peoples R China</t>
  </si>
  <si>
    <t>Universite de Lille - ISITE; Universite de Lille; Ecole Nationale Superieure des Arts et Industries Textiles (ENSAIT); Sichuan University</t>
  </si>
  <si>
    <t>He, ZC (corresponding author), Univ Lille, ENSAIT, ULR 2461 GEMTEX Genie &amp; Mat Text, F-59000 Lille, France.</t>
  </si>
  <si>
    <t>scu.zhongchen@gmail.com</t>
  </si>
  <si>
    <t>China Scholarship Council</t>
  </si>
  <si>
    <t>China Scholarship Council(China Scholarship Council)</t>
  </si>
  <si>
    <t>1022-9760</t>
  </si>
  <si>
    <t>1572-8935</t>
  </si>
  <si>
    <t>J POLYM RES</t>
  </si>
  <si>
    <t>J. Polym. Res.</t>
  </si>
  <si>
    <t>10.1007/s10965-023-03776-6</t>
  </si>
  <si>
    <t>Polymer Science</t>
  </si>
  <si>
    <t>S6IH7</t>
  </si>
  <si>
    <t>WOS:001072174700002</t>
  </si>
  <si>
    <t>Ho, KP</t>
  </si>
  <si>
    <t>Ho, Kwok-Pun</t>
  </si>
  <si>
    <t>Strongly singular Calderon-Zygmund operators on Hardy spaces associated with ball quasi-Banach function spaces</t>
  </si>
  <si>
    <t>ANALYSIS AND MATHEMATICAL PHYSICS</t>
  </si>
  <si>
    <t>Singular integral operators; Calderon-Zygmund operators; Hardy spaces; Ball quasi-Banach function spaces; Slice spaces; Local Morrey spaces; Herz spaces</t>
  </si>
  <si>
    <t>SUFFICIENT CONDITIONS; INTEGRAL-OPERATORS; SUBLINEAR-OPERATORS; VARIABLE EXPONENT; MAXIMAL OPERATOR; MORREY SPACES; HERZ SPACES; BOUNDEDNESS; INEQUALITIES; FACTORIZATION</t>
  </si>
  <si>
    <t>We obtain the mapping properties of the strongly singular Calderon-Zygmund operators on Hardy spaces associated with ball quasi-Banach function spaces. We established this result by using the idea from extrapolation originated from Rubio de Francia. As applications of this result, we present the mapping properties of the strongly singular Calderon-Zygmund operators to the Hardy Orlicz-slice spaces, the Hardy local Morrey spaces with variable exponents and the Herz-Hardy spaces with variable exponents.</t>
  </si>
  <si>
    <t>[Ho, Kwok-Pun] Educ Univ Hong Kong, Dept Math &amp; Informat Technol, 10 Lo Ping Rd, Hong Kong, Peoples R China</t>
  </si>
  <si>
    <t>Education University of Hong Kong (EdUHK)</t>
  </si>
  <si>
    <t>Ho, KP (corresponding author), Educ Univ Hong Kong, Dept Math &amp; Informat Technol, 10 Lo Ping Rd, Hong Kong, Peoples R China.</t>
  </si>
  <si>
    <t>vkpho@eduhk.hk</t>
  </si>
  <si>
    <t>Ho, Kwok-Pun/0000-0003-0966-5984</t>
  </si>
  <si>
    <t>1664-2368</t>
  </si>
  <si>
    <t>1664-235X</t>
  </si>
  <si>
    <t>ANAL MATH PHYS</t>
  </si>
  <si>
    <t>Anal. Math. Phys.</t>
  </si>
  <si>
    <t>10.1007/s13324-023-00831-9</t>
  </si>
  <si>
    <t>M2SD9</t>
  </si>
  <si>
    <t>WOS:001028721500001</t>
  </si>
  <si>
    <t>Hu, JH; Cui, BB; Li, P; Bisnath, S; Zheng, K</t>
  </si>
  <si>
    <t>Hu, Jiahuan; Cui, Bobin; Li, Pan; Bisnath, Sunil; Zheng, Kai</t>
  </si>
  <si>
    <t>Exploring the role of PPP-RTK network configuration: a balance of server budget and user performance</t>
  </si>
  <si>
    <t>GPS; PPP-RTK; Network configuration; Atmosphere precision; Ionosphere uncertainty</t>
  </si>
  <si>
    <t>IMPACT</t>
  </si>
  <si>
    <t>With atmospheric corrections generated from the server, precise point positioning real-time kinematic (PPP-RTK) can achieve high-precision solutions in a fast convergence. PPP-RTK users are concerned about how to use the corrections and the level of performance that can be achieved; thus, our research has focused on correction methods, a priori stochastic modeling, and positioning performance evaluation. Conversely, it is crucial for the server to improve the precision of corrections provided and to consider the balance between cost, computation burden and user performance, especially for commercial applications. We use different scales of the national GPS network of France to generate ionospheric and tropospheric corrections, and corresponding uncertainty information is generated by establishing error functions with respect to an inter-station distance. The quality of corrections and corresponding user performance are analyzed with inter-station distances varying from 22 to 251 km. The results show that the precision of atmospheric corrections can be improved with an increasing number of stations in the network, but the improvement is not significant when the inter-station distances are smaller than 50 km. Regarding user performance, compared to conventional PPP solutions with ambiguity resolution, the convergence time can be reduced by a maximum of 93% and 85% in the horizontal and vertical components, respectively, when the inter-station distance is about 23 km. However, a station spacing within 100 km can still support a 3-min convergence; thus, a balance of server budget and user performance should be considered instead of a dense network.</t>
  </si>
  <si>
    <t>[Hu, Jiahuan; Bisnath, Sunil] York Univ, Dept Earth &amp; Space Sci &amp; Engn, Toronto, ON M3J 1P3, Canada; [Cui, Bobin] Deutsch GeoForschungsZentrum GFZ, D-14473 Potsdam, Germany; [Li, Pan] Changan Univ, Coll Geol Engn &amp; Geomat, Xian 710054, Peoples R China; [Li, Pan] Jilin Univ, Coll Geoexplorat Sci &amp; Technol, Changchun 130000, Peoples R China; [Zheng, Kai] Wuhan Univ Technol, Sch Nav, Wuhan 430063, Peoples R China</t>
  </si>
  <si>
    <t>York University - Canada; Helmholtz Association; Helmholtz-Center Potsdam GFZ German Research Center for Geosciences; Chang'an University; Jilin University; Wuhan University of Technology</t>
  </si>
  <si>
    <t>Cui, BB (corresponding author), Deutsch GeoForschungsZentrum GFZ, D-14473 Potsdam, Germany.</t>
  </si>
  <si>
    <t>bobin.cui@gfz-potsdam.de</t>
  </si>
  <si>
    <t>Ministry of~Ecological Transition; National Key Ramp;D Program of China [2022YFC3003402]; Key Ramp;D Program of Hubei Province [2022BID010]; National Science and Engineering Research Council of Canada (NSERC)</t>
  </si>
  <si>
    <t>Ministry of~Ecological Transition; National Key Ramp;D Program of China; Key Ramp;D Program of Hubei Province; National Science and Engineering Research Council of Canada (NSERC)(Natural Sciences and Engineering Research Council of Canada (NSERC))</t>
  </si>
  <si>
    <t>The authors acknowledge Resif-Epos for the free access of data, and Resif-Epos is a Research Infrastructure (RI) managed by the CNRS-INSU. It is a consortium of eighteen French research organizations and institutions &amp; nbsp;included &amp; nbsp;in the Ministry of Higher Education, Research and Innovation roadmap. Resif-Epos RI is also supported by the Ministry of &amp; nbsp;Ecological Transition. This research was supported by the National Key R &amp; amp;D Program of China (No. 2022YFC3003402) and the Key R &amp; amp;D Program of Hubei Province (No. 2022BID010). A portion of this research was also funded by the National Science and Engineering Research Council of Canada (NSERC).</t>
  </si>
  <si>
    <t>10.1007/s10291-023-01518-1</t>
  </si>
  <si>
    <t>P1YI1</t>
  </si>
  <si>
    <t>WOS:001048663100001</t>
  </si>
  <si>
    <t>Huang, H; Qiu, JN; Riedl, K</t>
  </si>
  <si>
    <t>Huang, Hui; Qiu, Jinniao; Riedl, Konstantin</t>
  </si>
  <si>
    <t>On the Global Convergence of Particle Swarm Optimization Methods</t>
  </si>
  <si>
    <t>Global derivative-free optimization; High-dimensional nonconvex optimization; Metaheuristics; Particle swarm optimization; Mean-field limit; Vlasov-Fokker-Planck equations</t>
  </si>
  <si>
    <t>CONSENSUS-BASED OPTIMIZATION; MEAN-FIELD LIMIT</t>
  </si>
  <si>
    <t>In this paper we provide a rigorous convergence analysis for the renowned particle swarm optimization method by using tools from stochastic calculus and the analysis of partial differential equations. Based on a continuous-time formulation of the particle dynamics as a system of stochastic differential equations, we establish convergence to a global minimizer of a possibly nonconvex and nonsmooth objective function in two steps. First, we prove consensus formation of an associated mean-field dynamics by analyzing the time-evolution of the variance of the particle distribution, which acts as Lyapunov function of the dynamics. We then show that this consensus is close to a global minimizer by employing the asymptotic Laplace principle and a tractability condition on the energy landscape of the objective function. These results allow for the usage of memory mechanisms, and hold for a rich class of objectives provided certain conditions of well-preparation of the hyperparameters and the initial datum. In a second step, at least for the case without memory effects, we provide a quantitative result about the mean-field approximation of particle swarm optimization, which specifies the convergence of the interacting particle system to the associated mean-field limit. Combining these two results allows for global convergence guarantees of the numerical particle swarm optimization method with provable polynomial complexity. To demonstrate the applicability of the method we propose an efficient and parallelizable implementation, which is tested in particular on a competitive and well-understood high-dimensional benchmark problem in machine learning.</t>
  </si>
  <si>
    <t>[Huang, Hui] Karl Franzens Univ Graz, Inst Math &amp; Sci Comp, Graz, Austria; [Qiu, Jinniao] Univ Calgary, Dept Math &amp; Stat, Calgary, AB, Canada; [Riedl, Konstantin] Tech Univ Munich, Sch Computat Informat &amp; Technol, Dept Math, Munich, Germany; [Riedl, Konstantin] Munich Ctr Machine Learning, Munich, Germany</t>
  </si>
  <si>
    <t>University of Graz; University of Calgary; Technical University of Munich</t>
  </si>
  <si>
    <t>Riedl, K (corresponding author), Tech Univ Munich, Sch Computat Informat &amp; Technol, Dept Math, Munich, Germany.;Riedl, K (corresponding author), Munich Ctr Machine Learning, Munich, Germany.</t>
  </si>
  <si>
    <t>hui.huang@uni-graz.at; jinniao.qiu@ucalgary.ca; konstantin.riedl@ma.tum.de</t>
  </si>
  <si>
    <t>Riedl, Konstantin/0000-0002-2206-4334</t>
  </si>
  <si>
    <t>Projekt DEAL; Pacific Institute for the Mathematical Sciences (PIMS); National Science and Engineering Research Council of Canada (NSERC); University of Calgary; Technical University~of Munich - Institute for Ethics in Artificial Intelligence (IEAI)</t>
  </si>
  <si>
    <t>Projekt DEAL; Pacific Institute for the Mathematical Sciences (PIMS); National Science and Engineering Research Council of Canada (NSERC)(Natural Sciences and Engineering Research Council of Canada (NSERC)); University of Calgary; Technical University~of Munich - Institute for Ethics in Artificial Intelligence (IEAI)</t>
  </si>
  <si>
    <t>Open Access funding enabled and organized by Projekt DEAL. H.H. is partially supported by the Pacific Institute for the Mathematical Sciences (PIMS) postdoctoral fellowship. J.Q. is partially supported by the National Science and Engineering Research Council of Canada (NSERC) and by the start-up funds from the University of Calgary. K.R. acknowledges the financial support from the Technical University of Munich - Institute for Ethics in Artificial Intelligence (IEAI). The authors gratefully acknowledge thecompute and data resources provided by the Leibniz Supercomputing Centre (LRZ).</t>
  </si>
  <si>
    <t>10.1007/s00245-023-09983-3</t>
  </si>
  <si>
    <t>I1FI5</t>
  </si>
  <si>
    <t>WOS:001000297400011</t>
  </si>
  <si>
    <t>Huang, L</t>
  </si>
  <si>
    <t>Huang, Liang</t>
  </si>
  <si>
    <t>The Bilinear Pseudo-differential Operators of S0,0-type on Lp x Lq</t>
  </si>
  <si>
    <t>Pseudo-differential operators; Besov spaces; Bilinear hormander symbol classes</t>
  </si>
  <si>
    <t>THEOREM</t>
  </si>
  <si>
    <t>In this paper, we set up the boundedness of the bilinear pseudodifferential operators of S0,0-type on L-p x L-q -&gt; B-r,1(.)0 In particular, we improve the recent results of Kato-Miyachi-Tomita where they proved the boundedness on L-2 x L-2</t>
  </si>
  <si>
    <t>[Huang, Liang] Xian Univ Posts &amp; Telecommun, Sch Sci, Xian 710121, Peoples R China</t>
  </si>
  <si>
    <t>Xi'an University of Posts &amp; Telecommunications</t>
  </si>
  <si>
    <t>Huang, L (corresponding author), Xian Univ Posts &amp; Telecommun, Sch Sci, Xian 710121, Peoples R China.</t>
  </si>
  <si>
    <t>lhuang@xupt.edu.cn</t>
  </si>
  <si>
    <t>Natural Science Basic Research in Shaanxi Province of China [2022JQ-055, 2023-JQ-QN-0056]</t>
  </si>
  <si>
    <t>Natural Science Basic Research in Shaanxi Province of China</t>
  </si>
  <si>
    <t>The research was supported by the Natural Science Basic Research in Shaanxi Province of China (Grant No.2022JQ-055, Grant No.2023-JQ-QN-0056)</t>
  </si>
  <si>
    <t>10.1007/s00025-023-01949-9</t>
  </si>
  <si>
    <t>L8ZH7</t>
  </si>
  <si>
    <t>WOS:001026086700001</t>
  </si>
  <si>
    <t>Kim, S; Yoon, HK</t>
  </si>
  <si>
    <t>Kim, Sewon; Yoon, Hyung-Koo</t>
  </si>
  <si>
    <t>Application of classification coupled with PCA and SMOTE, for obtaining safety factor of landslide based on HRA</t>
  </si>
  <si>
    <t>BULLETIN OF ENGINEERING GEOLOGY AND THE ENVIRONMENT</t>
  </si>
  <si>
    <t>Classification; Geotechnical engineering; Label encoding; Landslide susceptibility mapping; Synthetic minority over-sampling technique (SMOTE)</t>
  </si>
  <si>
    <t>Machine learning algorithms have been recently applied to build a landslide susceptibility map. The objective of this study is to find whether classification algorithms of machine learning are suitable for obtaining safety factor based on a high-risk-area (HRA) model, composed of eight geotechnical properties. Each property value is designated as an input value for machine learning, and the output value is determined as a safety factor. The data are transformed into continuous data after preprocessing with label encoding since the data have a discontinuous pattern. The DT, KNN, LR, RF, and SVM algorithms are selected to perform the classification with train and validation ratio of 7:3. To improve the reliability of the results, the classification is also performed after applying the PCA technique, which can reduce eight dimensions to two principal components. In addition, the number of data is equally oversampled using the SMOTE technique to solve the data imbalance problem for each class, and the results of classification are also compared. The PCA shows a limited ability to reflect the characteristics of the original data, and the oversampled data by the SMOTE provides high reliability. The results show that the RF is suitable for performing classification with high accuracy in the range of 1.2-2.4 of safety factors. This study demonstrates that it is possible to classify even discontinuous data through a preprocessing technique, and SMOTE can improve the accuracy of landslide risk mapping.</t>
  </si>
  <si>
    <t>[Kim, Sewon] Korea Inst Civil Engn &amp; Bldg Technol, Dept Geotech Engn Res, Goyang 10223, South Korea; [Yoon, Hyung-Koo] Daejeon Univ, Dept Construct &amp; Disaster Prevent Engn, Daejeon 34520, South Korea</t>
  </si>
  <si>
    <t>Korea Institute of Civil Engineering &amp; Building Technology (KICT); Daejeon University</t>
  </si>
  <si>
    <t>Yoon, HK (corresponding author), Daejeon Univ, Dept Construct &amp; Disaster Prevent Engn, Daejeon 34520, South Korea.</t>
  </si>
  <si>
    <t>kkimsse@kict.re.kr; hyungkoo@dju.ac.kr</t>
  </si>
  <si>
    <t>Daejeon University Research Grants (2023)</t>
  </si>
  <si>
    <t>This research was supported by the Daejeon University Research Grants (2023).</t>
  </si>
  <si>
    <t>1435-9529</t>
  </si>
  <si>
    <t>1435-9537</t>
  </si>
  <si>
    <t>B ENG GEOL ENVIRON</t>
  </si>
  <si>
    <t>Bull. Eng. Geol. Environ.</t>
  </si>
  <si>
    <t>10.1007/s10064-023-03403-0</t>
  </si>
  <si>
    <t>Engineering, Environmental; Engineering, Geological; Geosciences, Multidisciplinary</t>
  </si>
  <si>
    <t>Engineering; Geology</t>
  </si>
  <si>
    <t>S0FZ4</t>
  </si>
  <si>
    <t>WOS:001068028000001</t>
  </si>
  <si>
    <t>Louis-Rose, C; Tebou, L</t>
  </si>
  <si>
    <t>Louis-Rose, Carole; Tebou, Louis</t>
  </si>
  <si>
    <t>Carleman Estimates and Simultaneous Boundary Controllability of Uncoupled Wave Equations</t>
  </si>
  <si>
    <t>Uncoupled wave equations; Carleman estimates; Simultaneous controllability; Exact boundary controllability</t>
  </si>
  <si>
    <t>LOWER-ORDER TERMS; OBSERVABILITY INEQUALITIES; HYPERBOLIC SYSTEMS; STABILIZATION</t>
  </si>
  <si>
    <t>We consider two uncoupled wave equations with potentials on an interval; they both have the same Dirichlet boundary control at the left endpoint. First, we discuss the conservative case, and by transmutation, we obtain a simultaneous null controllability for the corresponding uncoupled heat equations. Afterward, in the nonconservative case, we prove global Carleman estimates for the adjoint system; the proof relies on the introduction of new variables, and the construction of appropriate weight functions. Finally, using the Hilbert uniqueness method of Lions, we solve the simultaneous boundary controllability problem. The paper ends with some final remarks and open problems.</t>
  </si>
  <si>
    <t>[Louis-Rose, Carole] Univ Antilles, Lab LAMIA, Campus Fouillole, F-97159 Pointe a Pitre, Guadeloupe, France; [Tebou, Louis] Florida Int Univ, Dept Math &amp; Stat, Modesto Maid Campus, Miami, FL 33199 USA</t>
  </si>
  <si>
    <t>Universite des Antilles; State University System of Florida; Florida International University</t>
  </si>
  <si>
    <t>Tebou, L (corresponding author), Florida Int Univ, Dept Math &amp; Stat, Modesto Maid Campus, Miami, FL 33199 USA.</t>
  </si>
  <si>
    <t>carole.louis-rose@univ-antilles.fr; teboul@fiu.edu</t>
  </si>
  <si>
    <t>TEBOU, LOUIS/0000-0002-2456-7269</t>
  </si>
  <si>
    <t>10.1007/s00245-023-10023-3</t>
  </si>
  <si>
    <t>I9SQ8</t>
  </si>
  <si>
    <t>WOS:001006111200001</t>
  </si>
  <si>
    <t>Martinez, JIZ; Iranzo, EC; Travaini, A; McNitt, DC; Mansilla, AP; Llanos, R; Kelly, MJ</t>
  </si>
  <si>
    <t>Martinez, Juan I. Zanon I.; Iranzo, Esperanza C.; Travaini, Alejandro; McNitt, David C.; Mansilla, Ana P.; Llanos, Romina; Kelly, Marcella J.</t>
  </si>
  <si>
    <t>Puma density, habitat use, and activity patterns across a mosaic landscape of ranches, game reserves, and a protected area in central Argentina</t>
  </si>
  <si>
    <t>Activity patterns; Habitat use; Human interference; Land use patterns; Puma concolor; Density</t>
  </si>
  <si>
    <t>MARK-RESIGHT MODELS; CAMERA-TRAP; CONCOLOR; PREY; CONSERVATION; FOREST; CONFLICT; EXTINCTION; OVERLAP</t>
  </si>
  <si>
    <t>Human-carnivore conflict can lead to serious reduction and even extirpation of top predators when management policies are inadequate or are absent. This is especially true in central Argentina where a few small protected areas are interspersed within a mosaic of ranches and game reserves. We used camera-trapping surveys and spatial mark-resight models, to reanalyze, estimate, and compare puma (Puma concolor) densities among these three different land-use types. We also used an occupancy modeling framework to determine drivers of puma habitat use. We used kernel density estimation to determine if land use altered puma daily activity patterns across sites. Puma density estimates (D &amp; PLUSMN; SE) in cattle ranches and one game reserve were lower (1.00 &amp; PLUSMN;0.36 and 1.38 &amp; PLUSMN;0.91 pumas per 100 km(2), respectively) than in the protected area (4.90 &amp; PLUSMN;1.51 pumas per 100 km(2)) but CIs were wide. Puma detection was the lowest in the game reserve. Puma habitat use increased strongly with vegetation cover and probability of detection was negatively influenced by cattle encounter rates. Pumas were mostly nocturnal with some crepuscular activity in ranches and game reserve, and cathemeral in the protected area. Our results suggest that pumas likely seek refuge in protected areas and relax timing of activity there, information relevant to management plans designed to prevent puma decline or extirpation in central Argentina.</t>
  </si>
  <si>
    <t>[Martinez, Juan I. Zanon I.] Univ Nacl Ctr Prov Buenos Aires, Inst Multidisciplinario Ecosistemas &amp; Desarrollo S, CONICET, Campus Univ,Paraje Arroyo Seco S-N, RA-7000 Tandil, Buenos Aires, Argentina; [Martinez, Juan I. Zanon I.; Iranzo, Esperanza C.] Univ Nacl La Pampa, Ctr Estudio &amp; Conservac Aves Rapaces Argentina, Ave Uruguay 151, RA-6300 Santa Rosa, La Pampa, Argentina; [Iranzo, Esperanza C.] Univ Autonoma Madrid, Dept Ecol, Terr Ecol Res Grp TEG UAM, Madrid, Spain; [Iranzo, Esperanza C.] Univ Austral Chile, Fac Ciencias Vet, Inst Ciencia Anim, Lab Manejo &amp; Conservac Vida Silvestre, Valdivia, Chile; [Iranzo, Esperanza C.] Univ Austral Chile, Fac Ciencias Vet, Programa Invest Aplicada Fauna Silvestre, Valdivia, Chile; [Travaini, Alejandro] Univ Nacl Patagonia Austral, Ctr Invest Puerto Deseado, CONICET, Ave Prefectura Naval S-N, RA-9050 Puerto Deseado, Santa Cruz, Argentina; [McNitt, David C.] Bird Conservancy Rockies, Private Lands Wildlife Biologist, Woodland Pk, CO 80863 USA; [Mansilla, Ana P.] Univ Nacl La Pampa, Inst Ciencias Tierra &amp; Ambientales La Pampa INCITA, Mendoza 109, RA-6300 Santa Rosa, La Pampa, Argentina; [Llanos, Romina] CCT CONICET CENPAT, Inst Patagon Ciencias Sociales &amp; Humanas, Bvd Brown 2915, RA-9120 Puerto Madryn, Chubut, Argentina; [Kelly, Marcella J.] Virginia Tech, Dept Fish &amp; Wildlife Conservat, 146 Cheatham Hall, Blacksburg, VA 24061 USA</t>
  </si>
  <si>
    <t>Comision Nacional de Energia Atomica (CNEA); Consejo Nacional de Investigaciones Cientificas y Tecnicas (CONICET); Autonomous University of Madrid; Universidad Austral de Chile; Universidad Austral de Chile; Universidad Nacional de la Patagonia San Juan Bosco; Consejo Nacional de Investigaciones Cientificas y Tecnicas (CONICET); Centro Nacional Patagonico (CENPAT); Virginia Polytechnic Institute &amp; State University</t>
  </si>
  <si>
    <t>Martinez, JIZ (corresponding author), Univ Nacl Ctr Prov Buenos Aires, Inst Multidisciplinario Ecosistemas &amp; Desarrollo S, CONICET, Campus Univ,Paraje Arroyo Seco S-N, RA-7000 Tandil, Buenos Aires, Argentina.;Martinez, JIZ (corresponding author), Univ Nacl La Pampa, Ctr Estudio &amp; Conservac Aves Rapaces Argentina, Ave Uruguay 151, RA-6300 Santa Rosa, La Pampa, Argentina.</t>
  </si>
  <si>
    <t>jzanon@conicet.gov.ar</t>
  </si>
  <si>
    <t>Iranzo, Esperanza/W-1256-2019</t>
  </si>
  <si>
    <t>Iranzo, Esperanza/0000-0001-9411-8437</t>
  </si>
  <si>
    <t>10.1007/s10344-023-01717-8</t>
  </si>
  <si>
    <t>P1JO5</t>
  </si>
  <si>
    <t>WOS:001048275100001</t>
  </si>
  <si>
    <t>Merad, I; Gaiffas, S</t>
  </si>
  <si>
    <t>Merad, Ibrahim; Gaiffas, Stephane</t>
  </si>
  <si>
    <t>Robust supervised learning with coordinate gradient descent</t>
  </si>
  <si>
    <t>STATISTICS AND COMPUTING</t>
  </si>
  <si>
    <t>Robust methods; Heavy-tailed data; Outliers; Robust gradient descent; Coordinate gradient descent; Generalization error</t>
  </si>
  <si>
    <t>SUB-GAUSSIAN ESTIMATORS; MEAN ESTIMATION; REGRESSION; MINIMIZATION; VARIANCE; MATRIX; LASSO</t>
  </si>
  <si>
    <t>This paper considers the problem of supervised learning with linear methods when both features and labels can be corrupted, either in the form of heavy tailed data and/or corrupted rows. We introduce a combination of coordinate gradient descent as a learning algorithm together with robust estimators of the partial derivatives. This leads to robust statistical learning methods that have a numerical complexity nearly identical to non-robust ones based on empirical risk minimization. The main idea is simple: while robust learning with gradient descent requires the computational cost of robustly estimating the whole gradient to update all parameters, a parameter can be updated immediately using a robust estimator of a single partial derivative in coordinate gradient descent. We prove upper bounds on the generalization error of the algorithms derived from this idea, that control both the optimization and statistical errors with and without a strong convexity assumption of the risk. Finally, we propose an efficient implementation of this approach in a new Python library called linlearn, and demonstrate through extensive numerical experiments that our approach introduces a new interesting compromise between robustness, statistical performance and numerical efficiency for this problem.</t>
  </si>
  <si>
    <t>[Merad, Ibrahim; Gaiffas, Stephane] Univ Paris Diderot, LPSM, UMR 8001, Paris, France; [Gaiffas, Stephane] Ecole normale Super, DMA, Paris, France</t>
  </si>
  <si>
    <t>UDICE-French Research Universities; Universite Paris Cite; UDICE-French Research Universities; Universite PSL; Ecole Normale Superieure (ENS)</t>
  </si>
  <si>
    <t>Merad, I (corresponding author), Univ Paris Diderot, LPSM, UMR 8001, Paris, France.</t>
  </si>
  <si>
    <t>imerad@lpsm.paris; stephane.gaiffas@lpsm.paris</t>
  </si>
  <si>
    <t>PRAIRIE 3IA Institute; french Agence Nationale dela Recherche</t>
  </si>
  <si>
    <t>PRAIRIE 3IA Institute; french Agence Nationale dela Recherche(Agence Nationale de la Recherche (ANR))</t>
  </si>
  <si>
    <t>This research is supported by the french Agence Nationale dela Recherche as well as by the PRAIRIE Institute</t>
  </si>
  <si>
    <t>0960-3174</t>
  </si>
  <si>
    <t>1573-1375</t>
  </si>
  <si>
    <t>STAT COMPUT</t>
  </si>
  <si>
    <t>Stat. Comput.</t>
  </si>
  <si>
    <t>10.1007/s11222-023-10283-7</t>
  </si>
  <si>
    <t>Computer Science, Theory &amp; Methods; Statistics &amp; Probability</t>
  </si>
  <si>
    <t>Computer Science; Mathematics</t>
  </si>
  <si>
    <t>O0QQ0</t>
  </si>
  <si>
    <t>WOS:001040957500001</t>
  </si>
  <si>
    <t>Moustafa, AA; Abdelfath, A; Arnous, MO; Afifi, AM; Guerriero, G; Green, DR</t>
  </si>
  <si>
    <t>Moustafa, Abdelraouf A.; Abdelfath, Amira; Arnous, Mohamed O.; Afifi, Ayman M.; Guerriero, Giulia; Green, David R.</t>
  </si>
  <si>
    <t>Monitoring temporal changes in coastal mangroves to understand the impacts of climate change: Red Sea, Egypt</t>
  </si>
  <si>
    <t>JOURNAL OF COASTAL CONSERVATION</t>
  </si>
  <si>
    <t>Red Sea; Conservation; Climate change; Mangrove; Human threats; Satellite Imagery</t>
  </si>
  <si>
    <t>MARINE PLANTS; FORESTS; PACIFIC</t>
  </si>
  <si>
    <t>This paper focuses on the current state of mangroves in Egypt, analyses how climate change is affecting mangrove forests and suggests a conservation strategy to safeguard this valuable maritime resource. Mangroves in Egypt are primarily found in regions around the Red Sea, making them popular for ecotourism across the globe. A crucial breeding and feeding ground for many commercial fishery species, mangroves are a maritime habitat that is both economically and environmentally significant and a variety of living things call them home. Mangroves are one of the most threatened tropical and subtropical ecoregions in the world. These threats come from both natural and human sources, including oil spills, human waste runoff, herbicide use, and coastal development, all of which have the potential to harm the environment. Mangrove habitats are immediately impacted by salinity changes and rising sea levels brought on by climate change. This is unfortunate as mangroves are one of the most important global carbon sinks, and their loss due to climate change may accelerate sea level rise and ocean acidification, which will cause the extinction of numerous commercial fish species. A conservation strategy should be implemented to safeguard the mangroves around the Egyptian Red Sea by using mitigation techniques, creating marine protected zones near the mangroves, and consulting the owners of the mangrove stalks. Analysis of multi-temporal satellite imagery is one of the most significant methods to assist decision-makers and environmental planners in obtaining high-precision information about environmental and climatic changes. Analysis of satellite imagery is a valuable way to detect, monitor, assess and map the environmental, human, and natural activities that are threatening the growth of the mangrove forest ecosystem. Change detection analyses using satellite imagery were conducted to evaluate the effects of rapid coastal sustainable development, including human urban and tourism activities; the decline and destruction of large areas of the mangrove forest for animal feeding along camel trade roads; and the threat of natural impacts such as flash flooding, coastal and soil erosion or human impacts such as established desalination plants and other human activities along the coastal zone of the Egyptian Red Sea.</t>
  </si>
  <si>
    <t>[Moustafa, Abdelraouf A.] Suez Canal Univ, Fac Sci, Bot Dept, Ismailia, Egypt; [Abdelfath, Amira] Suez Canal Univ, Fac Sci, Marine Sci Dept, Ismailia, Egypt; [Arnous, Mohamed O.] Suez Canal Univ, Fac Sci, Geol Dept, Ismailia, Egypt; [Afifi, Ayman M.] Mawael Environm Expert, 80 Dist 4,St 157,5th Settlement, New Cairo, Egypt; [Guerriero, Giulia] Univ Naples Federico, Interdept Res Ctr Environm IRC Env, Via Mezzocanone 16, I-80134 Naples, Italy; [Green, David R.] Univ Aberdeen, Coll Phys Sci, Sch Geosci, Dept Geog &amp; Environm,AICSM, Aberdeen AB24 3UF, Scotland</t>
  </si>
  <si>
    <t>Egyptian Knowledge Bank (EKB); Suez Canal University; Egyptian Knowledge Bank (EKB); Suez Canal University; Egyptian Knowledge Bank (EKB); Suez Canal University; University of Aberdeen</t>
  </si>
  <si>
    <t>Arnous, MO (corresponding author), Suez Canal Univ, Fac Sci, Geol Dept, Ismailia, Egypt.</t>
  </si>
  <si>
    <t>arnous_72@yahoo.com</t>
  </si>
  <si>
    <t>Arnous, Mohamed/S-7001-2019</t>
  </si>
  <si>
    <t>Arnous, Mohamed/0000-0003-1410-1649</t>
  </si>
  <si>
    <t>1400-0350</t>
  </si>
  <si>
    <t>1874-7841</t>
  </si>
  <si>
    <t>J COAST CONSERV</t>
  </si>
  <si>
    <t>J. Coast. Conserv.</t>
  </si>
  <si>
    <t>10.1007/s11852-023-00970-y</t>
  </si>
  <si>
    <t>Biodiversity Conservation; Environmental Sciences; Marine &amp; Freshwater Biology; Water Resources</t>
  </si>
  <si>
    <t>Biodiversity &amp; Conservation; Environmental Sciences &amp; Ecology; Marine &amp; Freshwater Biology; Water Resources</t>
  </si>
  <si>
    <t>P6QW7</t>
  </si>
  <si>
    <t>WOS:001051912700001</t>
  </si>
  <si>
    <t>Park, SE; Kim, D; Kim, DK; Ha, JY; Jang, JS; Choi, JH; Hwang, IG</t>
  </si>
  <si>
    <t>Park, Song Ee; Kim, Du Hwan; Kim, Don-Kyu; Ha, Joo Young; Jang, Joung-Soon; Choi, Jin Hwa; Hwang, In Gyu</t>
  </si>
  <si>
    <t>Feasibility and safety of exercise during chemotherapy in people with gastrointestinal cancers: a pilot study</t>
  </si>
  <si>
    <t>SUPPORTIVE CARE IN CANCER</t>
  </si>
  <si>
    <t>Cancer; Exercise; Chemotherapy; Overall survival</t>
  </si>
  <si>
    <t>MUSCLE MASS; INTERVENTION; CACHEXIA; TRIAL; WOMEN; LUNG</t>
  </si>
  <si>
    <t>PurposeSarcopenia is a poor prognostic factor in cancer patients, and exercise is one of the treatments to improve sarcopenia. However, there is currently insufficient evidence on whether exercise can improve sarcopenia in patients with advanced cancers. This study examined the feasibility of exercise in advanced gastrointestinal (GI) cancer patients treated with palliative chemotherapy.MethodsBetween 2020 and 2021, 30 patients were enrolled in a resistance and aerobic exercise program for six weeks. The exercise intervention program (EIP) consisted of low, moderate, and high intensity levels. Patients were asked to select the intensity level according to their ability. The primary endpoint was the feasibility of the EIP measured by compliance during the six weeks. A compliance of over 50% was considered acceptable. The secondary endpoints were changes in weight and muscle mass, safety, quality of life (QoL) and overall survival (OS).ResultsThe median age of the study's participants was 60 (30-77). The total compliance to the EIP was 63.3% (19/30 patients). Sixteen (53.3%) patients had a compliance of over 80%. The attrition rate was 30.0% (9/30). The mean exercise time was 41.4 min, and the aerobic exercise was 92.3% and the resistant exercise was 73.7%, and both exercise was 66.5%. Most patients performed the moderate intensity level exercises at home or near their home. The mean skeletal muscle index (SMI) was 43.5 cm2/m2 pre-chemotherapy and 42.2 cm2/m2 after six weeks of chemotherapy, with a decrease of -1.2 &amp; PLUSMN; 2.8 cm2/m2 (-3.0%) (p = 0.030). In the poor compliance group, the mean SMI decrease was -2.8 &amp; PLUSMN; 3.0 cm2/m2 which was significantly different (p = 0.033); however, in the good compliance group, the mean SMI decrease was -0.5 &amp; PLUSMN; 2.5 cm2/m2 which was maintained over the six weeks (p = 0.337). The good compliance group had a significantly longer median OS compared with the poor compliance group (25.3 months vs. 7.9 months, HR = 0.306, 95% CI = 0.120-0.784, p = 0.014). The QoL showed a better score for insomnia (p = 0.042). There were no serious adverse events.ConclusionsThe EIP during palliative chemotherapy in advanced GI cancer patients showed good compliance. In the good compliance group, muscle mass and physical functions were maintained for six weeks. The EIP was safe, and the QoL was maintained. Based on this study, further research in exercise intervention in advanced cancer patients is needed.Clinical trial registrationThe clinical trial registration number is KCT 0005615 (CRIS, https://cris.nih.go.kr/cris/en/); registration date, 23rd Nov 2020.</t>
  </si>
  <si>
    <t>[Park, Song Ee] Chung Ang Univ, Gwang Myeong Hosp, Coll Med, Dept Internal Med, Seoul, South Korea; [Park, Song Ee; Kim, Du Hwan; Choi, Jin Hwa; Hwang, In Gyu] Chung Ang Univ, Integrated Oncol &amp; Palliat Care Res Inst, Seoul, South Korea; [Kim, Du Hwan] Chung Ang Univ, Coll Med, Dept Rehabil Med, Seoul, South Korea; [Kim, Don-Kyu] Chung Ang Univ, Gwang Myeong Hosp, Coll Med, Dept Rehabil Med, Seoul, South Korea; [Ha, Joo Young] Vet Hlth Serv Med Ctr, Dept Internal Med, Seoul, South Korea; [Jang, Joung-Soon] Eulji Univ, Uijeongbu Eulji Med Ctr, Dept Internal Med, Uijongbu, Gyuonggido, South Korea; [Choi, Jin Hwa] Chung Ang Univ, Coll Med, Dept Pharmacol, 84 Heukseok Ro, Seoul 06974, South Korea; [Hwang, In Gyu] Chung Ang Univ, Coll Med, Dept Internal Med, 84 Heukseok Ro, Seoul 06973, South Korea</t>
  </si>
  <si>
    <t>Chung Ang University; Chung Ang University Hospital; Chung Ang University; Chung Ang University; Chung Ang University Hospital; Chung Ang University; Chung Ang University Hospital; Veterans Health Service Medical Center; Eulji University; Chung Ang University; Chung Ang University Hospital; Chung Ang University; Chung Ang University Hospital</t>
  </si>
  <si>
    <t>Choi, JH; Hwang, IG (corresponding author), Chung Ang Univ, Integrated Oncol &amp; Palliat Care Res Inst, Seoul, South Korea.;Choi, JH (corresponding author), Chung Ang Univ, Coll Med, Dept Pharmacol, 84 Heukseok Ro, Seoul 06974, South Korea.;Hwang, IG (corresponding author), Chung Ang Univ, Coll Med, Dept Internal Med, 84 Heukseok Ro, Seoul 06973, South Korea.</t>
  </si>
  <si>
    <t>bonnybee@cau.ac.kr; oncology@cau.ac.kr</t>
  </si>
  <si>
    <t>Choi, Jin Hwa/0000-0002-5568-7984</t>
  </si>
  <si>
    <t>Korean Society of Medical Oncology (KSMO); Chung-Ang University</t>
  </si>
  <si>
    <t>Korean Society of Medical Oncology (KSMO); Chung-Ang University(Chung Ang University)</t>
  </si>
  <si>
    <t>The Korean Society of Medical Oncology (KSMO) supported this study with a 2019 Academic Awards grant. This research was supported by the Chung-Ang University Research Grants in 2020.</t>
  </si>
  <si>
    <t>0941-4355</t>
  </si>
  <si>
    <t>1433-7339</t>
  </si>
  <si>
    <t>SUPPORT CARE CANCER</t>
  </si>
  <si>
    <t>Support. Care Cancer</t>
  </si>
  <si>
    <t>10.1007/s00520-023-08017-6</t>
  </si>
  <si>
    <t>Oncology; Health Care Sciences &amp; Services; Rehabilitation</t>
  </si>
  <si>
    <t>Q9DS0</t>
  </si>
  <si>
    <t>WOS:001060456400003</t>
  </si>
  <si>
    <t>Pazoto, AF; Vieira, MDS</t>
  </si>
  <si>
    <t>Pazoto, Ademir F.; Vieira, Miguel D. Soto</t>
  </si>
  <si>
    <t>Biorthogonal Functions for Complex Exponentials and an Application to the Controllability of the Kawahara Equation Via a Moment Approach</t>
  </si>
  <si>
    <t>KdV equations; Controllability; Moment problem</t>
  </si>
  <si>
    <t>DE-VRIES EQUATION; STABILIZATION; STABILIZABILITY</t>
  </si>
  <si>
    <t>The paper deals with the controllability properties of the Kawahara equation posed on a periodic domain. We show that the equation is exactly controllable by means of a control depending only on time and acting on the system through a given shape function in space. Firstly, the exact controllability property is established for the linearized system through a Fourier expansion of solutions and the analysis of a biorthogonal sequence to a family of complex exponential functions. Finally, the local controllability of the full system is derived by combining the analysis of the linearized system, a fixed point argument and some Bourgain smoothing properties of the Kawahara equation on a periodic domain.</t>
  </si>
  <si>
    <t>[Pazoto, Ademir F.; Vieira, Miguel D. Soto] Univ Fed Rio de Janeiro, Inst Math, UFRJ, POB 68530, BR-21945970 Rio De Janeiro, RJ, Brazil</t>
  </si>
  <si>
    <t>Universidade Federal do Rio de Janeiro</t>
  </si>
  <si>
    <t>Pazoto, AF (corresponding author), Univ Fed Rio de Janeiro, Inst Math, UFRJ, POB 68530, BR-21945970 Rio De Janeiro, RJ, Brazil.</t>
  </si>
  <si>
    <t>ademir@im.ufrj.br; dariosv@gmail.com</t>
  </si>
  <si>
    <t>CNPq (Brazil); CAPES (Brazil); COLCIENCIAS (Colombia) [MINCIENCIAS885/2020]</t>
  </si>
  <si>
    <t>CNPq (Brazil)(Conselho Nacional de Desenvolvimento Cientifico e Tecnologico (CNPQ)); CAPES (Brazil)(Coordenacao de Aperfeicoamento de Pessoal de Nivel Superior (CAPES)); COLCIENCIAS (Colombia)(Departamento Administrativo de Ciencia, Tecnologia e Innovacion Colciencias)</t>
  </si>
  <si>
    <t>We thank the anonymous referees for their valuable comments and remarks which have been taken into account in the revised version of the manuscript. The first author was partially support by CNPq (Brazil). The second author was supported by CAPES and CNPq (Brazil) and COLCIENCIAS, MINCIENCIAS885/2020 (Colombia).</t>
  </si>
  <si>
    <t>10.1007/s00245-023-10032-2</t>
  </si>
  <si>
    <t>P1UE4</t>
  </si>
  <si>
    <t>WOS:001048554900003</t>
  </si>
  <si>
    <t>Preda, V; Sfetcu, RC; Sfetcu, SC</t>
  </si>
  <si>
    <t>Preda, Vasile; Sfetcu, Razvan-Cornel; Sfetcu, Sorina-Cezarina</t>
  </si>
  <si>
    <t>Some Generalizations Concerning Inaccuracy Measures</t>
  </si>
  <si>
    <t>Copula; Varma-Tsallis inaccuracy measure; orthant order; radial symmetry</t>
  </si>
  <si>
    <t>CONVEXITY PROPERTIES; DIVERGENCE RATES; ENTROPY; TSALLIS; MODEL; SELECTION; HAZARD</t>
  </si>
  <si>
    <t>We study some properties concerning Varma-Tsallis co-copula inaccuracy measure, Varma-Tsallis copula dual inaccuracy measure, generalized Varma-Tsallis co-copula inaccuracy measure and generalized Varma-Tsallis copula dual inaccuracy measure. Among results, we find some bounds for these inaccuracy measures, we prove that the triangle inequality is valid, we show that, under some assumptions, there is equality between Varma-Tsallis co-copula inaccuracy measure and Varma-Tsallis copula dual inaccuracy measure and between generalized Varma-Tsallis co-copula inaccuracy measure and generalized Varma-Tsallis copula dual inaccuracy measure. We also make some concrete computations and graphs concerning these inaccuracy measures.</t>
  </si>
  <si>
    <t>[Preda, Vasile] Gheorghe Mihoc Caius Iacob Inst Math Stat &amp; Appl M, Calea 13 Septembrie 13, Bucharest 050711, Romania; [Preda, Vasile] Costin C Kiritescu Natl Inst Econ Res, Calea 13 Septembrie 13, Bucharest 050711, Romania; [Preda, Vasile; Sfetcu, Razvan-Cornel; Sfetcu, Sorina-Cezarina] Univ Bucharest, Fac Math &amp; Comp Sci, Str Academiei 14, Bucharest 010014, Romania</t>
  </si>
  <si>
    <t>National Institute for Economic Research Costin C. Kiritescu; University of Bucharest</t>
  </si>
  <si>
    <t>Preda, V (corresponding author), Gheorghe Mihoc Caius Iacob Inst Math Stat &amp; Appl M, Calea 13 Septembrie 13, Bucharest 050711, Romania.;Preda, V (corresponding author), Costin C Kiritescu Natl Inst Econ Res, Calea 13 Septembrie 13, Bucharest 050711, Romania.;Preda, V (corresponding author), Univ Bucharest, Fac Math &amp; Comp Sci, Str Academiei 14, Bucharest 010014, Romania.</t>
  </si>
  <si>
    <t>vasilepreda0@gmail.com; razvancornelsfetcu@gmail.com; sorina.sfetcu@yahoo.com</t>
  </si>
  <si>
    <t>10.1007/s00025-023-01967-7</t>
  </si>
  <si>
    <t>WOS:001040969200004</t>
  </si>
  <si>
    <t>Qin, R; Ma, TH; Cai, YB; Shi, XY; Cheng, JJ; Dong, JZ; Wang, CY; Li, SH; Pan, GQ; Guan, YX; Zhang, L; Yang, S; Xu, HY; Zhao, CH; Sun, H; Li, XM; Wu, YZ; Li, JM; Cui, F</t>
  </si>
  <si>
    <t>Qin, Ran; Ma, Tianhang; Cai, Yibiao; Shi, Xinyao; Cheng, Jiajia; Dong, Jizi; Wang, Chenyang; Li, Shihui; Pan, Guoqing; Guan, Yuxiang; Zhang, Lei; Yang, Shuang; Xu, Huiyuan; Zhao, Chunhua; Sun, Han; Li, Ximei; Wu, Yongzhen; Li, Junming; Cui, Fa</t>
  </si>
  <si>
    <t>Characterization and fine mapping analysis of a major stable QTL qKnps-4A for kernel number per spike in wheat</t>
  </si>
  <si>
    <t>THEORETICAL AND APPLIED GENETICS</t>
  </si>
  <si>
    <t>GRAIN WEIGHT; FRUITING EFFICIENCY; BREAD WHEAT; YIELD; TRAITS; GENE; EXPRESSION; SIZE; ARCHITECTURE; ELONGATION</t>
  </si>
  <si>
    <t>Kernel number per spike (KNPS) in wheat is a key yield component. Dissection and characterization of major stable quantitative trait loci (QTLs) for KNPS would be of considerable value for the genetic improvement of yield potential using molecular breeding technology. We had previously reported a major stable QTL controlling KNPS, qKnps-4A. In the current study, primary fine-mapping analysis, based on the primary mapping population, located qKnps-4A to an interval of approximately 6.8-Mb from 649.0 to 655.8 Mb on chromosome 4A refering to 'Kenong 9204' genome. Further fine-mapping analysis based on a secondary mapping population narrowed qKnps-4A to an approximately 2.19-Mb interval from 653.72 to 655.91 Mb. Transcriptome sequencing, gene function annotation analysis and homologous gene related reports showed that TraesKN4A01HG38570 and TraesKN4A01HG38590 were most likely to be candidate genes of qKnps-4A. Phenotypic analysis based on paired near-isogenic lines in the target region showed that qKnps-4A increased KNPS mainly by increasing the number of central florets per spike. We also evaluated the effects of qKnps-4A on other yield-related traits. Moreover, we dissected the QTL cluster of qKnps-4A and qTkw-4A and proved that the phenotypic effects were probably due to close linkage of two or more genes rather than pleiotropic effects of a single gene. This study provides molecular marker resource for wheat molecular breeding designed to improve yield potential, and lay the foundation for gene functional analysis of qKnps-4A.</t>
  </si>
  <si>
    <t>[Qin, Ran; Ma, Tianhang; Cai, Yibiao; Shi, Xinyao; Cheng, Jiajia; Dong, Jizi; Wang, Chenyang; Li, Shihui; Pan, Guoqing; Guan, Yuxiang; Zhang, Lei; Yang, Shuang; Xu, Huiyuan; Zhao, Chunhua; Sun, Han; Li, Ximei; Wu, Yongzhen; Cui, Fa] Ludong Univ, Coll Agr, Key Lab Mol Module Based Breeding High Yield &amp; Abi, Yantai 264025, Peoples R China; [Li, Ximei] Qingdao Agr Univ, Coll Agron, Shandong Engn Res Ctr Germplasm Innovat &amp; Utilizat, Shandong Key Lab Dryland Farming Technol, Qingdao 266109, Peoples R China; [Li, Junming] Hebei Normal Univ, Coll Life Sci, Minist Educ, Key Lab Mol &amp; Cellular Biol,Hebei Collaborat Innov, Shijiazhuang 050024, Peoples R China</t>
  </si>
  <si>
    <t>Ludong University; Qingdao Agricultural University; Hebei Normal University</t>
  </si>
  <si>
    <t>Wu, YZ; Cui, F (corresponding author), Ludong Univ, Coll Agr, Key Lab Mol Module Based Breeding High Yield &amp; Abi, Yantai 264025, Peoples R China.;Li, JM (corresponding author), Hebei Normal Univ, Coll Life Sci, Minist Educ, Key Lab Mol &amp; Cellular Biol,Hebei Collaborat Innov, Shijiazhuang 050024, Peoples R China.</t>
  </si>
  <si>
    <t>yongzhenwu1204@163.com; ljm@sjziam.ac.cn; sdaucf@126.com</t>
  </si>
  <si>
    <t>Key R amp; D Program of Shandong Province, China [2022LZG002-2, ZR2019ZD16]; National Natural Science Foundation of China [2021LZGC009, 31871612, 32101726]; Natural Science Foundation of Shandong Province, China [32072051]; Taishan scholar young expert [ZR2022MC119]; Major Basic Research Project of Natural Science Foundation of Shandong Province, China [20230119]</t>
  </si>
  <si>
    <t>Key R amp; D Program of Shandong Province, China; National Natural Science Foundation of China(National Natural Science Foundation of China (NSFC)); Natural Science Foundation of Shandong Province, China(Natural Science Foundation of Shandong Province); Taishan scholar young expert; Major Basic Research Project of Natural Science Foundation of Shandong Province, China</t>
  </si>
  <si>
    <t>This work was funded by the Key R &amp; amp; D Program of Shandong Province, China (Major Innovation Project) (grant no. 2022LZG002-2), the National Natural Science Foundation of China (grant nos. 31871612, 32101726 and 32072051), the Natural Science Foundation of Shandong Province, China (grant no. ZR2022MC119), Taishan scholar young expert (grant no. 20230119), the Major Basic Research Project of Natural Science Foundation of Shandong Province, China (grant no. ZR2019ZD16) and the Key R &amp; amp; D Program of Shandong Province, China (Major Science and Technology Innovation Project) (grant no. 2021LZGC009).</t>
  </si>
  <si>
    <t>0040-5752</t>
  </si>
  <si>
    <t>1432-2242</t>
  </si>
  <si>
    <t>THEOR APPL GENET</t>
  </si>
  <si>
    <t>Theor. Appl. Genet.</t>
  </si>
  <si>
    <t>10.1007/s00122-023-04456-1</t>
  </si>
  <si>
    <t>Agronomy; Plant Sciences; Genetics &amp; Heredity; Horticulture</t>
  </si>
  <si>
    <t>Agriculture; Plant Sciences; Genetics &amp; Heredity</t>
  </si>
  <si>
    <t>S6PW8</t>
  </si>
  <si>
    <t>WOS:001072374400001</t>
  </si>
  <si>
    <t>Ram, M; Vasavada, D; Tikadar, S; Jhala, L; Zala, Y</t>
  </si>
  <si>
    <t>Ram, Mohan; Vasavada, Dushyant; Tikadar, Shyamal; Jhala, Lahar; Zala, Yashpal</t>
  </si>
  <si>
    <t>Population status and distribution of endangered Asiatic lions in Gujarat, India</t>
  </si>
  <si>
    <t>Gir; Greater Gir; Asiatic Lion Landscape; Population estimation</t>
  </si>
  <si>
    <t>PANTHERA-LEO-PERSICA; GIR FOREST; LANDSCAPE; CONSERVATION; MANAGEMENT; SANCTUARY; DYNAMICS; ECOLOGY; CLIMATE</t>
  </si>
  <si>
    <t>Estimating the population size of wildlife is essential for effective conservation and management efforts. In this study, we used a management-oriented technique called minimal total count by direct beat verification to assess the population of Asiatic lions (Panthera leo persica, hereafter referred to as lions) across their distribution range commonly known as Asiatic Lion Landscape. From June 5(th) to 6(th) 2020, we estimated a total of 674 lions at 294 locations among 611 units surveyed. The Gir protected areas had the largest number of lions (344), followed by the satellite populations of Savarkundla-Liliya and adjoining areas (98), the southeastern coast (67), Girnar (56), Bhavnagar mainland (56), the southwestern coast (20), the Bhavnagar coast (17), and Mitiyala (16). Of the total individuals (n = 674), 62.46% were adults, 17.21% were sub-adults, and 20.33% were cubs. During the estimation, we counted 260 adult females, of which 23.08% were lactating. Compared to the previous estimate in 2015, the present estimation showed a percent change of 28.87% in five years, with an annual percent change of 5.77%. Lions were distributed across an area of approximately 30,000 km(2). The adult male-to-female ratio was 1:1.61, and the average group size was 2.29 &amp; PLUSMN; 0.10 (Mean &amp; PLUSMN; SE). The successful conservation initiatives spanning over six decades in the Gujarat state have contributed to the increase in the lion population.</t>
  </si>
  <si>
    <t>[Ram, Mohan; Jhala, Lahar; Zala, Yashpal] Sasan Gir, Wildlife Div, Junagadh 362135, Gujarat, India; [Vasavada, Dushyant] Wildlife Circle, Junagadh 362001, Gujarat, India</t>
  </si>
  <si>
    <t>Ram, M (corresponding author), Sasan Gir, Wildlife Div, Junagadh 362135, Gujarat, India.</t>
  </si>
  <si>
    <t>mrlegha@gmail.com</t>
  </si>
  <si>
    <t>, Mohan Ram/0000-0001-6679-0146</t>
  </si>
  <si>
    <t>Gujarat Forest Department; Asiatic Lion Landscape in Gujarat, India</t>
  </si>
  <si>
    <t>The Gujarat Forest Department conducted the population estimation of lions, which is one of their responsibilities. The work was conducted using funds received under different heads for conservation efforts in the Asiatic Lion Landscape in Gujarat, India.</t>
  </si>
  <si>
    <t>10.1007/s10344-023-01720-z</t>
  </si>
  <si>
    <t>O4SQ7</t>
  </si>
  <si>
    <t>WOS:001043732800001</t>
  </si>
  <si>
    <t>Saldana-Mendoza, SA; Pacios-Michelena, S; Palacios-Ponce, AS; Chavez-Gonzalez, ML; Aguilar, CN</t>
  </si>
  <si>
    <t>Saldana-Mendoza, Salvador A.; Pacios-Michelena, Sandra; Palacios-Ponce, Arturo S.; Chavez-Gonzalez, Monica L.; Aguilar, Cristobal N.</t>
  </si>
  <si>
    <t>Trichoderma as a biological control agent: mechanisms of action, benefits for crops and development of formulations</t>
  </si>
  <si>
    <t>WORLD JOURNAL OF MICROBIOLOGY &amp; BIOTECHNOLOGY</t>
  </si>
  <si>
    <t>Biocontrol; Biopesticide; Bioremediation; Corp protection; Endophyte; Phytopatogen</t>
  </si>
  <si>
    <t>SOLID-STATE FERMENTATION; INDUCED SYSTEMIC RESISTANCE; BIOCONTROL AGENTS; SPORE PRODUCTION; BIODEGRADATION; COLONIZATION; SPP.; BIOPESTICIDE; CONIDIA; STRAIN</t>
  </si>
  <si>
    <t>Currently, the food and economic losses generated by the attack of phytopathogens on the agricultural sector constitute a severe problem. Conventional crop protection techniques based on the application of synthetic pesticides to combat these undesirable microorganisms have also begun to represent an inconvenience since the excessive use of these substances is associated with contamination problems and severe damage to the health of farmers, consumers, and communities surrounding the fields, as well as the generation of resistance by the phytopathogens to be combated. Using biocontrol agents such as Trichoderma to mitigate the attack of phytopathogens represents an alternative to synthetic pesticides, safe for health and the environment. This work explains the mechanisms of action through which Trichoderma exerts biological control, some of the beneficial aspects that it confers to the development of crops through its symbiotic interaction with plants, and the bioremedial effects that it presents in fields contaminated by synthetic pesticides. Also, detail the production of spore-based biopesticides through fermentation processes and formulation development. [GRAPHICS] .</t>
  </si>
  <si>
    <t>[Saldana-Mendoza, Salvador A.; Pacios-Michelena, Sandra; Chavez-Gonzalez, Monica L.; Aguilar, Cristobal N.] Autonomous Univ Coahuila, Sch Chem, Food Res Dept, Venustiano Carranza S-N, Saltillo 25280, Coahuila, Mexico; [Palacios-Ponce, Arturo S.] ESPOL Polytech Univ, Escuela Super Politecn Litoral, Fac Ingn Mecan &amp; Ciencias Prod, ESPOL, Campus Gustavo Galindo Km 30-5 Via Perimetral,POB, Guayaquil, Ecuador</t>
  </si>
  <si>
    <t>Universidad Autonoma de Coahuila; Escuela Superior Politecnica del Litoral</t>
  </si>
  <si>
    <t>Aguilar, CN (corresponding author), Autonomous Univ Coahuila, Sch Chem, Food Res Dept, Venustiano Carranza S-N, Saltillo 25280, Coahuila, Mexico.</t>
  </si>
  <si>
    <t>cristobal.aguilar@uadec.edu.mx</t>
  </si>
  <si>
    <t>Saldaña-Mendoza, Salvador Alexis/JBJ-2928-2023; Aguilar, Cristobal N./F-2725-2013</t>
  </si>
  <si>
    <t>Saldaña-Mendoza, Salvador Alexis/0000-0002-4039-7482; Aguilar, Cristobal N./0000-0001-5867-8672; CHAVEZ GONZALEZ, MONICA LIZETH/0000-0001-6535-2558; Pacios Michelena, Sandra/0000-0002-9698-2576</t>
  </si>
  <si>
    <t>Autonomous University of Coahuila; National Council of Humanities Sciences and Technologies of Mexico (CONAHCYT) [868325]; State Council of Science and Technology COECYT through the Fund Destined to Promote the Development of Science and Technology in the State of Coahuila FONCYT [COAH-2021-C15-C075]</t>
  </si>
  <si>
    <t>Autonomous University of Coahuila; National Council of Humanities Sciences and Technologies of Mexico (CONAHCYT); State Council of Science and Technology COECYT through the Fund Destined to Promote the Development of Science and Technology in the State of Coahuila FONCYT</t>
  </si>
  <si>
    <t>The author Salvador Alexis Saldana Mendoza, thanks the Autonomous University of Coahuila and the National Council of Humanities Sciences and Technologies of Mexico (CONAHCYT) for the scholarship granted to carry out his postgraduate studies with the number 868325. The authors thank the State Council of Science and Technology COECYT for the support granted through the Fund Destined to Promote the Development of Science and Technology in the State of Coahuila FONCYT corresponding to the proposal COAH-2021-C15-C075. None of the funding sources influenced the writing or publication of this work.</t>
  </si>
  <si>
    <t>0959-3993</t>
  </si>
  <si>
    <t>1573-0972</t>
  </si>
  <si>
    <t>WORLD J MICROB BIOT</t>
  </si>
  <si>
    <t>World J. Microbiol. Biotechnol.</t>
  </si>
  <si>
    <t>10.1007/s11274-023-03695-0</t>
  </si>
  <si>
    <t>Biotechnology &amp; Applied Microbiology</t>
  </si>
  <si>
    <t>O1YD9</t>
  </si>
  <si>
    <t>WOS:001041836700001</t>
  </si>
  <si>
    <t>Sena, MVD; Cubo, J</t>
  </si>
  <si>
    <t>Sena, Mariana Valeria de Araujo; Cubo, Jorge</t>
  </si>
  <si>
    <t>Inferring the lifestyles of extinct Crocodyliformes using osteoderm ornamentation</t>
  </si>
  <si>
    <t>SCIENCE OF NATURE</t>
  </si>
  <si>
    <t>Bone ornamentation; Crocodyliformes; Phylogenetic logistic regression; Osteoderms</t>
  </si>
  <si>
    <t>BAURU BASIN; POSTCRANIAL SKELETON; BONE ORNAMENTATION; BODY-TEMPERATURE; MESOEUCROCODYLIA; NOTOSUCHIA; EVOLUTION; PEIROSAURIDAE; MORPHOLOGY; CROCODILES</t>
  </si>
  <si>
    <t>Osteoderms are bony plates formed within the dermis of diverse vertebrate groups. They are present in all crocodylomorphs but Metriorhynchidae. Most of them show typical bone ornamentation consisting of pits and ridges on their outer surface. The most widely discussed functional hypothesis suggests that the ornamentation of osteoderms influences heat exchange with the environment through the adjacent vascular network, facilitating the absorption of solar radiation. This process allows semiaquatic crocodiles to compensate for heat loss resulting from the high thermal conductivity of surrounding water. In order to test this assertion, we conducted a phylogenetic logistic regression analysis to evaluate the relationship between osteoderm relative area of pits (RAP) and lifestyle (terrestrial versus aquatic) in a sample of crocodyliforms. Our results revealed that lifestyle is significantly explained by RAP: the lower the degree of ornamentation (RAP), the higher the probability of a terrestrial lifestyle. We used this model to infer the lifestyle of two extinct taxa, Peirosaurus torminni and Microsuchus schilleri. We concluded that terrestrial notosuchians may have lost osteoderm ornamentation due to the lower thermal conductivity of air and reduced heat loss in a terrestrial environment compared to what happens in water. Among these notosuchians, we hypothesize that large terrestrial baurusuchids maintained a stable body temperature due to thermal inertia, whereas small notosuchians took advantage of the early morning sun exposure to warm up and stayed in terrestrial burrows during periods of intense solar radiation. Finally, unlike the almost motionless behavior of freshwater crocodiles, fully marine Metriorhynchidae probably lost osteoderms because they constantly swim, generating heat by muscular contraction, so osteoderms with a thermoregulatory function for heat absorption were no longer positively selected.</t>
  </si>
  <si>
    <t>[Sena, Mariana Valeria de Araujo; Cubo, Jorge] Sorbonne Univ, Ctr Rech Paleontol Paris CR2P, Museum Natl dHistoire Naturelle, CNRS,UMR 7207, 4 Pl Jussieu,104, F-75005 Paris, BC, France; [Sena, Mariana Valeria de Araujo] Museu Paleontol Placido Cidade Nuvens, Rua Placido Cidade Nuvens 326, BR-63190000 Santana Do Cariri, CE, Brazil</t>
  </si>
  <si>
    <t>UDICE-French Research Universities; Sorbonne Universite; Museum National d'Histoire Naturelle (MNHN); Centre National de la Recherche Scientifique (CNRS); CNRS - Institute of Ecology &amp; Environment (INEE)</t>
  </si>
  <si>
    <t>Sena, MVD (corresponding author), Sorbonne Univ, Ctr Rech Paleontol Paris CR2P, Museum Natl dHistoire Naturelle, CNRS,UMR 7207, 4 Pl Jussieu,104, F-75005 Paris, BC, France.;Sena, MVD (corresponding author), Museu Paleontol Placido Cidade Nuvens, Rua Placido Cidade Nuvens 326, BR-63190000 Santana Do Cariri, CE, Brazil.</t>
  </si>
  <si>
    <t>mari.araujo.sena@gmail.com</t>
  </si>
  <si>
    <t>Sena, Mariana/AAC-4283-2020; Sena, Mariana/K-9347-2018</t>
  </si>
  <si>
    <t>Sena, Mariana/0000-0003-4708-999X; Sena, Mariana/0000-0003-4708-999X</t>
  </si>
  <si>
    <t>Sorbonne Universite [243374]</t>
  </si>
  <si>
    <t>Sorbonne Universite</t>
  </si>
  <si>
    <t>We thank R. Allain and S. Jouve for providing samples for image analysis and L. Cazes for producing pictures of the specimens from the Museum National d'Histoire Naturelle (Paris). Our gratitude goes to P. Aubier for his assistance in the statistical script. The manuscript greatly benefited from the insightful comments and helpful suggestions from reviewers F. Clarac and an anonymous referee. This research was supported by Sorbonne Universite (projet Emergences 2019 No 243374 to JC).</t>
  </si>
  <si>
    <t>0028-1042</t>
  </si>
  <si>
    <t>1432-1904</t>
  </si>
  <si>
    <t>SCI NAT-HEIDELBERG</t>
  </si>
  <si>
    <t>Sci. Nat.</t>
  </si>
  <si>
    <t>10.1007/s00114-023-01871-8</t>
  </si>
  <si>
    <t>Multidisciplinary Sciences</t>
  </si>
  <si>
    <t>Science &amp; Technology - Other Topics</t>
  </si>
  <si>
    <t>O4SG1</t>
  </si>
  <si>
    <t>WOS:001043722200001</t>
  </si>
  <si>
    <t>Shen, FB; Xu, CD; Hu, MG</t>
  </si>
  <si>
    <t>Shen, Fengbei; Xu, Chengdong; Hu, Maogui</t>
  </si>
  <si>
    <t>Comparison of approaches to spatiotemporally interpolate land surface air temperature for the Qinghai-Tibet Plateau</t>
  </si>
  <si>
    <t>ENVIRONMENTAL EARTH SCIENCES</t>
  </si>
  <si>
    <t>The Qinghai-Tibet Plateau; Surface air temperature (SAT) interpolation; Heterogeneity; Spatiotemporal kriging</t>
  </si>
  <si>
    <t>SPATIAL INTERPOLATION; CLIMATE VARIABLES; RESOLUTION; REGRESSION; CHINA; VARIABILITY; RAINFALL; MODELS</t>
  </si>
  <si>
    <t>The Qinghai-Tibet Plateau has complex geomorphic features, which makes it difficult to interpolate surface air temperature precisely because of sparse samples and intensive spatial variations. Different interpolation methods have been developed, and they perform differently under various situations. The statistical errors of interpolation methods are determined by the population properties, the condition of the samples, and the adequacy of covariates. However, few studies have focused on optimal interpolation strategies for Qinghai-Tibet Plateau. In this study, seven typical interpolation models were used and compared. The model-based methods (e.g., ordinary kriging), design-based methods (inverse distance weight (IDW), thin plate splines (TPS), and combined methods (e.g., spatiotemporal regression kriging) were considered. Using auxiliary information, spatiotemporal ordinary kriging, and spatiotemporal stratified kriging models were built. Methods were evaluated by cross validation with mean absolute error (MAE) and root-mean-square error (RMSE). Results showed that for both of the index (RMSE, MAE), spatiotemporal kriging stratified by seasons (1.016 degrees C RMSE, 0.767 degrees C MAE) &lt; spatiotemporal kriging stratified by climate regions (1.018 C, 0.767 degrees C) &lt; spatiotemporal ordinary kriging (1.022 C, 0.774 degrees C) &lt; spatiotemporal regression kriging (1.058 C, 0.806 degrees C) &lt; TPS (1.551 C, 1.143 degrees C) &lt; ordinary kriging (2.674 C, 2.044 degrees C) &lt; IDW (2.917 C, 2.296 degrees C). In conclusion, under the condition of sparsely distributed stations and complex geomorphic features in the study area, taking advantages of time dimensional information, spatiotemporal heterogeneity and covariates (i.e., elevation) can improve interpolation precision effectively.</t>
  </si>
  <si>
    <t>[Shen, Fengbei; Xu, Chengdong; Hu, Maogui] Chinese Acad Sci, State Key Lab Resources &amp; Environm Informat Syst, Inst Geog Sci &amp; Nat Resources Res, Beijing 100101, Peoples R China; [Shen, Fengbei; Xu, Chengdong] Univ Chinese Acad Sci, Beijing 100049, Peoples R China</t>
  </si>
  <si>
    <t>Chinese Academy of Sciences; Institute of Geographic Sciences &amp; Natural Resources Research, CAS; Chinese Academy of Sciences; University of Chinese Academy of Sciences, CAS</t>
  </si>
  <si>
    <t>Xu, CD (corresponding author), Chinese Acad Sci, State Key Lab Resources &amp; Environm Informat Syst, Inst Geog Sci &amp; Nat Resources Res, Beijing 100101, Peoples R China.;Xu, CD (corresponding author), Univ Chinese Acad Sci, Beijing 100049, Peoples R China.</t>
  </si>
  <si>
    <t>xucd@lreis.ac.cn</t>
  </si>
  <si>
    <t>National Science Foundation of China [41971357, 42130713]</t>
  </si>
  <si>
    <t>National Science Foundation of China(National Natural Science Foundation of China (NSFC))</t>
  </si>
  <si>
    <t>This work was supported by the National Science Foundation of China (nos. 41971357, 42130713).</t>
  </si>
  <si>
    <t>1866-6280</t>
  </si>
  <si>
    <t>1866-6299</t>
  </si>
  <si>
    <t>ENVIRON EARTH SCI</t>
  </si>
  <si>
    <t>Environ. Earth Sci.</t>
  </si>
  <si>
    <t>10.1007/s12665-023-11151-3</t>
  </si>
  <si>
    <t>Environmental Sciences; Geosciences, Multidisciplinary; Water Resources</t>
  </si>
  <si>
    <t>Environmental Sciences &amp; Ecology; Geology; Water Resources</t>
  </si>
  <si>
    <t>R6DP0</t>
  </si>
  <si>
    <t>WOS:001065240800008</t>
  </si>
  <si>
    <t>Singh, H; Mohanty, MP</t>
  </si>
  <si>
    <t>Singh, Hrishikesh; Mohanty, Mohit Prakash</t>
  </si>
  <si>
    <t>Can atmospheric reanalysis datasets reproduce flood inundation at regional scales? A systematic analysis with ERA5 over Mahanadi River Basin, India</t>
  </si>
  <si>
    <t>ENVIRONMENTAL MONITORING AND ASSESSMENT</t>
  </si>
  <si>
    <t>ERA5; Flood management; Flood hazards; LISFLOOD-FP; Mahanadi River basin; MODIS</t>
  </si>
  <si>
    <t>PRODUCTS; MAP; PERFORMANCE; MODEL; PART</t>
  </si>
  <si>
    <t>The prime challenges limiting efficient flood management, especially over large regions, are concurrently related to limited hydro-meteorological observations and exorbitant economics with computational modeling. Reanalysis datasets are a valuable alternative, as they furnish relevant variables at high spatiotemporal resolutions. In recent times, ERA5 has gained significant recognition for its applications in hydrological modeling; however, its efficacy at the inundation scale needs to be understood. The advent of global flood models has ensured flood inundation and hazard modeling over large regions, otherwise obscure with regional models. For the first time, the present study explores the fidelity of ERA5 reanalysis at the inundation scale over the Mahanadi River basin, a severely flood-prone region in India. The biases in the discharges within ERA5 are ascertained by comparing them with station-level data at the nascent and extreme levels (i.e., 95th and 99th percentiles). Later, ERA5 is fed to LISFLOOD-FP, an acclaimed global flood model, to reenact the 2006, 2008, 2011, and 2014 flood events. Hit rates exceeding 0.8 compared to MODIS satellite imageries affirm the suitability of ERA5 in accurately capturing flood inundation. Distributed design discharges for 50 yr and 100 yr are derived using a set of extreme value distributions and fed to LISFLOOD-FP to derive design flood inundation and hazards in terms of both depth and product of depth and velocity of flood waters. Results derived from the study provide vital lessons for efficient land-use planning and adaptation strategies linked to flood protection and resilience.</t>
  </si>
  <si>
    <t>[Singh, Hrishikesh; Mohanty, Mohit Prakash] Indian Inst Technol Roorkee, Dept Water Resources Dev &amp; Management, Roorkee, India</t>
  </si>
  <si>
    <t>Indian Institute of Technology System (IIT System); Indian Institute of Technology (IIT) - Roorkee</t>
  </si>
  <si>
    <t>Mohanty, MP (corresponding author), Indian Inst Technol Roorkee, Dept Water Resources Dev &amp; Management, Roorkee, India.</t>
  </si>
  <si>
    <t>mohit.mohanty@wr.iitr.ac.in</t>
  </si>
  <si>
    <t>0167-6369</t>
  </si>
  <si>
    <t>1573-2959</t>
  </si>
  <si>
    <t>ENVIRON MONIT ASSESS</t>
  </si>
  <si>
    <t>Environ. Monit. Assess.</t>
  </si>
  <si>
    <t>10.1007/s10661-023-11798-2</t>
  </si>
  <si>
    <t>R2WO7</t>
  </si>
  <si>
    <t>WOS:001063006800001</t>
  </si>
  <si>
    <t>Song, LH; Fan, J; Chen, DR; Zhou, DX</t>
  </si>
  <si>
    <t>Song, Linhao; Fan, Jun; Chen, Di-Rong; Zhou, Ding-Xuan</t>
  </si>
  <si>
    <t>Approximation of Nonlinear Functionals Using Deep ReLU Networks (vol 29, 50, 2023)</t>
  </si>
  <si>
    <t>JOURNAL OF FOURIER ANALYSIS AND APPLICATIONS</t>
  </si>
  <si>
    <t>[Song, Linhao; Chen, Di-Rong] Beihang Univ, Sch Math Sci, Beijing, Peoples R China; [Song, Linhao] City Univ Hong Kong, Sch Data Sci, Hong Kong, Peoples R China; [Fan, Jun] Hong Kong Baptist Univ, Dept Math, Hong Kong, Peoples R China; [Zhou, Ding-Xuan] Univ Sydney, Sch Math &amp; Stat, Sydney, NSW 2006, Australia</t>
  </si>
  <si>
    <t>Beihang University; City University of Hong Kong; Hong Kong Baptist University; University of Sydney</t>
  </si>
  <si>
    <t>Fan, J (corresponding author), Hong Kong Baptist Univ, Dept Math, Hong Kong, Peoples R China.</t>
  </si>
  <si>
    <t>linhasong2-c@my.cityu.edu.hk; junfan@hkbu.edu.hk; drchen@buaa.edu.cn; dingxuan.zhou@sydney.edu.au</t>
  </si>
  <si>
    <t>Zhou, Ding-Xuan/B-3160-2013</t>
  </si>
  <si>
    <t>Zhou, Ding-Xuan/0000-0003-0224-9216; SONG, Linhao/0000-0001-6724-7321</t>
  </si>
  <si>
    <t>SPRINGER BIRKHAUSER</t>
  </si>
  <si>
    <t>233 SPRING STREET, 6TH FLOOR, NEW YORK, NY 10013 USA</t>
  </si>
  <si>
    <t>1069-5869</t>
  </si>
  <si>
    <t>1531-5851</t>
  </si>
  <si>
    <t>J FOURIER ANAL APPL</t>
  </si>
  <si>
    <t>J. Fourier Anal. Appl.</t>
  </si>
  <si>
    <t>10.1007/s00041-023-10038-y</t>
  </si>
  <si>
    <t>P8BE0</t>
  </si>
  <si>
    <t>WOS:001052860800001</t>
  </si>
  <si>
    <t>Stafford, L; Sinclair, M; Butow, P; Hughes, J; Park, A; Gilham, L; Rose, A; Mann, GB</t>
  </si>
  <si>
    <t>Stafford, Lesley; Sinclair, Michelle; Butow, Phyllis; Hughes, Janemary; Park, Allan; Gilham, Leslie; Rose, Allison; Mann, G. Bruce</t>
  </si>
  <si>
    <t>Is de-escalation of treatment by omission of radiotherapy associated with fear of cancer recurrence in women with early breast cancer? An exploratory study</t>
  </si>
  <si>
    <t>BREAST CANCER RESEARCH AND TREATMENT</t>
  </si>
  <si>
    <t>Breast cancer; Radiotherapy; Fear of cancer recurrence; Quality of life; Treatment de-escalation</t>
  </si>
  <si>
    <t>QUALITY-OF-LIFE; POSTOPERATIVE RADIOTHERAPY; CONSERVING SURGERY; DISTRESS; TRIAL</t>
  </si>
  <si>
    <t>PurposeSafe de-intensification of adjuvant radiotherapy (RT) for early breast cancer (BC) is currently under evaluation. Little is known about the patient experience of de-escalation or its association with fear of cancer recurrence (FCR), a key issue in survivorship. We conducted a cross-sectional study to explore this association.MethodsPsychometrically validated measures including the Fear of Cancer Recurrence Inventory-Short Form were completed by three groups of women with early BC: Women in the PROSPECT clinical trial who underwent pre-surgical MRI and omitted RT (A), women who underwent pre-surgical MRI and received RT (B); and women who received usual care (no MRI, received RT; C). Between group differences were analysed with non-parametric tests. A subset from each group participated in a semi-structured interview. These data (n = 44) were analysed with directed content analysis.ResultsQuestionnaires from 400 women were analysed. Significantly lower FCR was observed in Group A (n = 125) than in Group B (n = 102; p = .002) or Group C (n = 173; p = .001), and when participants were categorized by RT status (omitted RT vs received RT; p &lt; .001). The proportion of women with normal FCR was significantly (p &lt; .05) larger in Group A (62%) than in Group B (35%) or Group C (40%). Two qualitative themes emerged: 'What I had was best' and 'Coping with FCR'.ConclusionsOmitting RT in the setting of the PROSPECT trial was not associated with higher FCR than receiving RT. Positive perceptions about tailored care, lower treatment burden, and trust in clinicians appear to be protective against FCR.</t>
  </si>
  <si>
    <t>[Stafford, Lesley] Royal Melbourne Hosp, Familial Canc Ctr, Melbourne, Vic, Australia; [Stafford, Lesley] Univ Melbourne, Melbourne Sch Psychol Sci, Melbourne, Vic, Australia; [Sinclair, Michelle; Mann, G. Bruce] Univ Melbourne, Dept Surg, Melbourne, Vic, Australia; [Butow, Phyllis] Univ Sydney, Sch Psychol, Sydney, NSW, Australia; [Hughes, Janemary; Park, Allan; Rose, Allison; Mann, G. Bruce] Royal Melbourne &amp; Royal Womens Hosp, Breast Serv, Parkville, Vic, Australia; [Gilham, Leslie; Mann, G. Bruce] Breast Canc Trials, Newcastle, NSW, Australia; [Rose, Allison] Royal Melbourne Hosp, Northwestern BreastScreen, Parkville, Vic, Australia</t>
  </si>
  <si>
    <t>Royal Melbourne Hospital; University of Melbourne; University of Melbourne; University of Sydney; Royal Melbourne Hospital</t>
  </si>
  <si>
    <t>Stafford, L (corresponding author), Royal Melbourne Hosp, Familial Canc Ctr, Melbourne, Vic, Australia.;Stafford, L (corresponding author), Univ Melbourne, Melbourne Sch Psychol Sci, Melbourne, Vic, Australia.</t>
  </si>
  <si>
    <t>Lesley.Stafford@mh.org.au; Michelle.sinclair@mh.org.au; phyllis.butow@sydney.edu.au; Janemary.hughes@mh.org.au; Allan.park@mh.org.au; capenquiries@bctrials.org.au; Allison.rose@mh.org.au; Bruce.mann@mh.org.au</t>
  </si>
  <si>
    <t>Butow, Phyllis/JDV-8766-2023</t>
  </si>
  <si>
    <t>Butow, Phyllis/0000-0003-3562-6954</t>
  </si>
  <si>
    <t>Michelle Sinclair is funded by a Fellowship from Breast Cancer Trials. The authors acknowledge the Psycho-oncology Co-operative Research Group (PoCoG) who supported the development of this research. The Psycho-oncology Co-operative Research Group is funded; Cancer Australia through their Support for Clinical Trials Funding Scheme; Cancer Australia</t>
  </si>
  <si>
    <t>Michelle Sinclair is funded by a Fellowship from Breast Cancer Trials. The authors acknowledge the Psycho-oncology Co-operative Research Group (PoCoG) who supported the development of this research. The Psycho-oncology Co-operative Research Group is funded by Cancer Australia through their Support for Clinical Trials Funding Scheme. The authors acknowledge the contribution of Breast Cancer Trials in funding PROSPECT, without which the current work would not have been possible. Breast Cancer Trials receives funding from Cancer Australia.</t>
  </si>
  <si>
    <t>0167-6806</t>
  </si>
  <si>
    <t>1573-7217</t>
  </si>
  <si>
    <t>BREAST CANCER RES TR</t>
  </si>
  <si>
    <t>Breast Cancer Res. Treat.</t>
  </si>
  <si>
    <t>10.1007/s10549-023-07039-2</t>
  </si>
  <si>
    <t>Oncology</t>
  </si>
  <si>
    <t>Q4CY0</t>
  </si>
  <si>
    <t>WOS:001057025800002</t>
  </si>
  <si>
    <t>Wang, B; Jin, H; Xu, YJ; Sun, Z</t>
  </si>
  <si>
    <t>Wang, Bing; Jin, Hui; Xu, Yongjie; Sun, Zhou</t>
  </si>
  <si>
    <t>Isolation, Characterization, and Genomic Analysis of Multidrug-Resistant Rahnella aquatilis from Fruits in China</t>
  </si>
  <si>
    <t>CURRENT MICROBIOLOGY</t>
  </si>
  <si>
    <t>Many fruits are consumed raw and act as vehicles for spreading antibiotic-resistant bacteria to consumers; hence, preventing foodborne diseases and ensuring food safety of fresh fruits are challenging. In this study, we aimed to analyze contamination in fruits and characterize antibiotic resistance genes in pathogenic microorganisms isolated from fruits. Sixty fruit samples were collected and screened for pathogenic microorganisms. The strains were identified, and the minimum inhibitory concentration for various antibiotics was determined. Antibiotic-resistant strains were analyzed by whole-genome sequencing. We isolated strain L46 from lemon samples and identified it as Rahnella aquatilis using MALDI-TOF MS and 16S rRNA sequencing. The whole genome of R. aquatilis L46 was 4.94 Mb and contained 291 putative antibiotic resistance genes (6.53%), including the gene coding for &amp; beta;-lactamase RAHN-1 CTX-M-2 and conferring resistance to ampicillin, polymyxin B, nitrofurantoin, imipenem, aztreonam, and cefotaxime. Thus, fruits can pose a potential hazard to human health and require greater surveillance and attention, as they may contain pathogenic and multidrug-resistant bacteria.</t>
  </si>
  <si>
    <t>[Wang, Bing; Jin, Hui; Xu, Yongjie; Sun, Zhou] Hangzhou Ctr Dis Control &amp; Prevent, Dept Infect Dis Control &amp; Prevent, Hangzhou, Peoples R China</t>
  </si>
  <si>
    <t>Wang, B (corresponding author), Hangzhou Ctr Dis Control &amp; Prevent, Dept Infect Dis Control &amp; Prevent, Hangzhou, Peoples R China.</t>
  </si>
  <si>
    <t>298013979@qq.com</t>
  </si>
  <si>
    <t>0343-8651</t>
  </si>
  <si>
    <t>1432-0991</t>
  </si>
  <si>
    <t>CURR MICROBIOL</t>
  </si>
  <si>
    <t>Curr. Microbiol.</t>
  </si>
  <si>
    <t>10.1007/s00284-023-03436-4</t>
  </si>
  <si>
    <t>Microbiology</t>
  </si>
  <si>
    <t>P1WG1</t>
  </si>
  <si>
    <t>WOS:001048608800001</t>
  </si>
  <si>
    <t>Wang, F; Yang, DC; Yuan, W</t>
  </si>
  <si>
    <t>Wang, Fan; Yang, Dachun; Yuan, Wen</t>
  </si>
  <si>
    <t>Riesz Transform Characterization of Hardy Spaces Associated with Ball Quasi-Banach Function Spaces</t>
  </si>
  <si>
    <t>Riesz transform characterization; Ball quasi-Banach function space; Hardy space; Poisson integral</t>
  </si>
  <si>
    <t>HARMONIC FUNCTIONS; VARIABLES; OPERATORS; LP</t>
  </si>
  <si>
    <t>Let X be a ball quasi-Banach function space satisfying some mild assumptions and H-X(R-n) the Hardy space associated with X. In this article, the authors introduce both the Hardy space H-X(R-+(n+1)) of harmonic functions and the Hardy space H-X(R-+(n+1)) of harmonic vectors, associated with X, and then establish the isomorphisms among H-X(R-n), H-X,H-2(R-+(n+1)), and HX,2(R-+(n+1)), where H-X,H-2(R+ (n+1)) and H-X,H-2(R-+(n+1) ) are, respectively, certain subspaces of H-X(R-+(n+1) ) and H-X (R-+(n+1)). Using these isomorphisms, the authors establish the first order Riesz transform characterization of HX(Rn). The higher order Riesz transform characterization of HX(Rn) is also obtained. The results obtained in this article have a wide range of generality and can be applied to classical Hardy spaces, weighted Hardy spaces, variable Hardy spaces, Herz-Hardy spaces, Lorentz-Hardy spaces, mixed-norm Hardy spaces, local generalized Herz-Hardy spaces, and mixed-norm Herz-Hardy spaces and all the obtained results on the aforementioned last five Hardy-type spaces are completely new.</t>
  </si>
  <si>
    <t>[Wang, Fan; Yang, Dachun; Yuan, Wen] Beijing Normal Univ, Sch Math Sci, Lab Math &amp; Complex Syst, Minist Educ China, Beijing 100875, Peoples R China</t>
  </si>
  <si>
    <t>Beijing Normal University; Ministry of Education, China</t>
  </si>
  <si>
    <t>Yang, DC (corresponding author), Beijing Normal Univ, Sch Math Sci, Lab Math &amp; Complex Syst, Minist Educ China, Beijing 100875, Peoples R China.</t>
  </si>
  <si>
    <t>fanwang@mail.bnu.edu.cn; dcyang@bnu.edu.cn; wenyuan@bnu.edu.cn</t>
  </si>
  <si>
    <t>YANG, Dachun/ISV-0041-2023</t>
  </si>
  <si>
    <t>YANG, Dachun/0000-0001-9024-3345</t>
  </si>
  <si>
    <t>National Key Research and Development Program of China [2020YFA0712900]; National Natural Science Foundation of China [11971058, 12071197, 12122102]</t>
  </si>
  <si>
    <t>National Key Research and Development Program of China; National Natural Science Foundation of China(National Natural Science Foundation of China (NSFC))</t>
  </si>
  <si>
    <t>AcknowledgementsThe authors would like to thank both referees for their carefully reading and many remarks which indeed improve the quality of this article. This project is partially supported by the National Key Research and Development Program of China (Grant No. 2020YFA0712900) and the National Natural Science Foundation of China (Grant Nos. 11971058, 12071197 and 12122102).</t>
  </si>
  <si>
    <t>10.1007/s00041-023-10036-0</t>
  </si>
  <si>
    <t>P7HZ9</t>
  </si>
  <si>
    <t>WOS:001052361500001</t>
  </si>
  <si>
    <t>Wang, H; Wu, JS; Huang, JJ</t>
  </si>
  <si>
    <t>Wang, Hua; Wu, Jingsong; Huang, Junjie</t>
  </si>
  <si>
    <t>On the solution of nonlinear operator equations and the invariant subspace</t>
  </si>
  <si>
    <t>ADVANCES IN OPERATOR THEORY</t>
  </si>
  <si>
    <t>Operator equation; Solution; Invariant subspace</t>
  </si>
  <si>
    <t>MATRIX</t>
  </si>
  <si>
    <t>In this paper, we study nonzero solutions of the operator equation X-2 AX + XAX = BX, where A, B are given bounded linear operators on Hilbert spaces. Based on the invariant subspace of B, some necessary conditions and sufficient conditions are established for the existence of nonzero solutions of the equation. Moreover, we consider the infinitely many solutions and group invertible solutions. Finally, we give the connection between the nontrivial reducing subspace of B and the nonzero singular commuting solution of the equation.</t>
  </si>
  <si>
    <t>[Wang, Hua; Wu, Jingsong] Inner Mongolia Univ Technol, Coll Sci, Hohhot 010051, Peoples R China; [Huang, Junjie] Inner Mongolia Univ, Sch Math Sci, Hohhot 010021, Peoples R China</t>
  </si>
  <si>
    <t>Inner Mongolia University of Technology; Inner Mongolia University</t>
  </si>
  <si>
    <t>Wang, H (corresponding author), Inner Mongolia Univ Technol, Coll Sci, Hohhot 010051, Peoples R China.</t>
  </si>
  <si>
    <t>hrenly@163.com</t>
  </si>
  <si>
    <t>NNSF of China [11961052, 12261065]; NSF of Inner Mongolia [2022MS01005]; Basic Science Research Fund of the Universities Directly under the Inner Mongolia Autonomous Region [JY20220084, JY20220151]; Program for Innovative Research Team in Universities of Inner Mongolia Autonomous Region [NMGIRT2317]</t>
  </si>
  <si>
    <t>NNSF of China(National Natural Science Foundation of China (NSFC)); NSF of Inner Mongolia; Basic Science Research Fund of the Universities Directly under the Inner Mongolia Autonomous Region; Program for Innovative Research Team in Universities of Inner Mongolia Autonomous Region</t>
  </si>
  <si>
    <t>Thiswork is supported by the NNSF of China (No. 11961052, 12261065), and the NSF of Inner Mongolia (No. 2022MS01005), and the Basic Science Research Fund of the Universities Directly under the Inner Mongolia Autonomous Region (Nos. JY20220084, JY20220151), and the Program for Innovative Research Team in Universities of Inner Mongolia Autonomous Region (No. NMGIRT2317).</t>
  </si>
  <si>
    <t>2662-2009</t>
  </si>
  <si>
    <t>2538-225X</t>
  </si>
  <si>
    <t>ADV OPER THEORY</t>
  </si>
  <si>
    <t>Adv. Oper. Theory</t>
  </si>
  <si>
    <t>10.1007/s43036-023-00291-9</t>
  </si>
  <si>
    <t>R1EV3</t>
  </si>
  <si>
    <t>WOS:001061851300001</t>
  </si>
  <si>
    <t>Wang, M; Shen, Q; Tian, XB; Xue, ZQ</t>
  </si>
  <si>
    <t>Wang, Meng; Shen, Qiang; Tian, Xiaobin; Xue, Zhiqin</t>
  </si>
  <si>
    <t>GLONASS signal characteristics analysis and navigation performance for geostationary satellites</t>
  </si>
  <si>
    <t>GEO; GLONASS; Navigation; Orbit determination; High orbit; Side lobe; Transmit power</t>
  </si>
  <si>
    <t>GNSS</t>
  </si>
  <si>
    <t>The utilization of the global navigation satellite system (GNSS) is becoming an attractive approach for autonomous navigation of the geostationary orbit (GEO) satellites. As one of the global navigation systems, the feasibility of using GLONASS in high-orbit spacecraft has attracted attention. A receiver compatible with GLONASS has been mounted in the GEO satellites of TJS-2 and TJS-5 to demonstrate the ability to track signals and real-time orbit determination. In accordance with flight data, the GLONASS signal characteristics are analyzed, including the observation availability and distribution. When the side lobe signals are considered, the mean number of GLONASS satellites tracked increases from 1.8 to 5.8. The transmit power of each GLONASS satellite was estimated by using the C/N-0 measurements. Based on the influence analysis results, we found that the side lobe signal transmit power plays an important role in increasing the number of observations. In particular, we investigate the characteristics, such as quantity, C/N-0, and doppler, of the GLONASS antipodal satellite signals tracked simultaneously in the GEO case. We give the navigation performance assessment based on GLONASS-only flight data through comparisons with the precision reference orbits. For single-epoch least square solutions, the root mean squares (RMS) of position differences in radial, along-track, and cross-track is 157.0, 29.5, and 21.5 m, respectively. The navigation accuracy is significantly improved when using the real-time orbit determination method, and the RMS of position differences in radial, along-track, and cross-track is 5.19, 8.98, and 3.15 m, respectively.</t>
  </si>
  <si>
    <t>[Wang, Meng; Shen, Qiang; Tian, Xiaobin; Xue, Zhiqin] Beijing Inst Satellite Informat Engn, Beijing 100095, Peoples R China; [Wang, Meng] Beijing Inst Technol, Beijing 100081, Peoples R China</t>
  </si>
  <si>
    <t>Beijing Institute of Technology</t>
  </si>
  <si>
    <t>Wang, M (corresponding author), Beijing Inst Satellite Informat Engn, Beijing 100095, Peoples R China.;Wang, M (corresponding author), Beijing Inst Technol, Beijing 100081, Peoples R China.</t>
  </si>
  <si>
    <t>wangmeng104@163.com</t>
  </si>
  <si>
    <t>National Natural Science Foundation of China (NSFC) [62073044]</t>
  </si>
  <si>
    <t>National Natural Science Foundation of China (NSFC)(National Natural Science Foundation of China (NSFC))</t>
  </si>
  <si>
    <t>AcknowledgementsThis work was supported by the National Natural Science Foundation of China (NSFC) under Grant Nos. 62073044.</t>
  </si>
  <si>
    <t>10.1007/s10291-023-01508-3</t>
  </si>
  <si>
    <t>L3SU2</t>
  </si>
  <si>
    <t>WOS:001022498500001</t>
  </si>
  <si>
    <t>Zhang, K; Rao, MPN; Banerjee, A; Wang, J; Ning, SY; Zi, J; Wang, Y; Wan, Y</t>
  </si>
  <si>
    <t>Zhang, Kun; Narsing Rao, Manik Prabhu; Banerjee, Aparna; Wang, Jun; Ning, Shuo-ying; Zi, Jing; Wang, Yan; Wan, Yi</t>
  </si>
  <si>
    <t>Description of Tellurirhabdus bombi sp. nov., Isolated from Bumblebee</t>
  </si>
  <si>
    <t>MULTIPLE SEQUENCE ALIGNMENT; CLASSIFICATION; IDENTIFICATION; MENAQUINONES; DIVERSITY; BACTERIA</t>
  </si>
  <si>
    <t>A Gram-stain-negative, aerobic, non-motile, and rod-shaped bacterium, designated IE-0392(T), was isolated from a bumblebee. The 16S rRNA gene sequence (highest 16S rRNA gene sequence similarity with the type strain of Tellurirhabdus rosea (90.0%) and phylogenetic analysis suggest that strain IE-0392(T) was a member of the genus Tellurirhabdus. Strain IE-0392(T) optimally grew at 25 ? and pH 7.0. Menaquinone 7 (MK-7) was the only isoprenoid quinone present in strain IE-0392T. The major fatty acids (&gt; 10%) of strain IE-0392(T) were iso-C-15:0, C-16:1?5c, and iso-C-17:0 3-OH. The polar lipids of strain IE-0392(T) were phosphatidylethanolamine, phosphatidylserine, unidentified aminophospholipids, unidentified aminolipid, unidentified phospholipid, and unidentified lipids. The genomic DNA G + C content of strain IE-0392(T) was 48.8%. The amino acid identity (AAI) and the average nucleotide identity (ANI) values suggest that strain IE-0392(T) is a novel member of the genus Tellurirhabdus. The results suggest that strain IE-0392T represents a novel species of the genus Tellurirhabdus, for which the name Tellurirhabdus bombi sp. nov., is proposed. The type strain is IE-0392(T) (= GDMCC 1.2794(T) = JCM 35040(T)).</t>
  </si>
  <si>
    <t>[Zhang, Kun; Wang, Jun; Zi, Jing; Wang, Yan; Wan, Yi] Shaanxi Inst Microbiol, Xian 710043, Peoples R China; [Ning, Shuo-ying] Shaanxi Inst Zool, Xian 710032, Peoples R China; [Narsing Rao, Manik Prabhu; Banerjee, Aparna] Univ Autonoma Chile, Fac Ingn, Inst Ciencias Quim Aplicadas, Talca 3460000, Chile</t>
  </si>
  <si>
    <t>Universidad Autonoma de Chile</t>
  </si>
  <si>
    <t>Wan, Y (corresponding author), Shaanxi Inst Microbiol, Xian 710043, Peoples R China.</t>
  </si>
  <si>
    <t>wanyi6565@163.com</t>
  </si>
  <si>
    <t>The authors acknowledge the Shaanxi Province Academy of Sciences, China, for kindly supporting the project. We are grateful to Ling-ling Yang for the electron microscopy sample preparation.; Shaanxi Province Academy of Sciences, China</t>
  </si>
  <si>
    <t>The authors acknowledge the Shaanxi Province Academy of Sciences, China, for kindly supporting the project. We are grateful to Ling-ling Yang for the electron microscopy sample preparation.</t>
  </si>
  <si>
    <t>10.1007/s00284-023-03440-8</t>
  </si>
  <si>
    <t>R1RZ8</t>
  </si>
  <si>
    <t>WOS:001062196700001</t>
  </si>
  <si>
    <t>Chou, HY; Ma, SC; Tsai, YW; Shih, CL; Yeh, CT</t>
  </si>
  <si>
    <t>Chou, Hsiang-Yun; Ma, Shang-Chun; Tsai, Ya-Wen; Shih, Chia-Li; Yeh, Chieh-Ting</t>
  </si>
  <si>
    <t>Effects of functional performance and national health insurance cost on length of hospitalization for postacute care in stroke: a retrospective observational study</t>
  </si>
  <si>
    <t>BMC NEUROLOGY</t>
  </si>
  <si>
    <t>Stroke; Postacute care; Disability; Healthcare costs; Health policy; Decision making; Health care allocation</t>
  </si>
  <si>
    <t>POST-ACUTE CARE; OF-STAY; REHABILITATION; DISABILITY; INPATIENT</t>
  </si>
  <si>
    <t>BackgroundThe postacute care for cerebrovascular disease (PAC-CVD) program was launched in Taiwan nearly a decade ago. However, no clear regulations regarding length of stay (LOS) in the program and extension standards exist. Thus, the allocation of limited medical resources such as hospital beds is a major issue.MethodsThis novel study retrospectively investigated the effects of functional performance and national health insurance (NHI) costs on PAC-CVD LOS. Data for 263 patients with stroke who participated in the PAC-CVD program were analysed. Hierarchical multiple regression was used to estimate the effects of functional performance and NHI costs on LOS at three time points: weeks 3, 6, and 9.ResultsAt week 3, age, NHI costs, modified Rankin scale score, and Barthel index significantly affected LOS, whereas at week 6, age and NHI costs were significant factors. However, functional performance and NHI costs were not significant factors at week 9.ConclusionsThe study provides crucial insights into the factors affecting LOS in the PAC-CVD program, and the results can enable medical decision-makers and health care teams to develop inpatient rehabilitation plans or provide transfer arrangements tailored to patients. Specifically, this study highlights the importance of early functional recovery and consideration of NHI costs when managing LOS in the PAC-CVD program.</t>
  </si>
  <si>
    <t>[Chou, Hsiang-Yun; Tsai, Ya-Wen; Shih, Chia-Li] China Med Univ, An Nan Hosp, Dept Rehabil, 66,Sec 2,Changhe Rd,Annan Dist, Tainan 709204, Taiwan; [Ma, Shang-Chun] Natl Cheng Kung Univ, Inst Phys Educ Hlth &amp; Leisure Studies, 1,Daxue Rd,East Dist, Tainan 701401, Taiwan; [Yeh, Chieh-Ting] China Med Univ, An Nan Hosp, Dept Nursing, 66,Sec 2,Changhe Rd,Annan Dist, Tainan 709204, Taiwan</t>
  </si>
  <si>
    <t>National Cheng Kung University</t>
  </si>
  <si>
    <t>Tsai, YW (corresponding author), China Med Univ, An Nan Hosp, Dept Rehabil, 66,Sec 2,Changhe Rd,Annan Dist, Tainan 709204, Taiwan.;Ma, SC (corresponding author), Natl Cheng Kung Univ, Inst Phys Educ Hlth &amp; Leisure Studies, 1,Daxue Rd,East Dist, Tainan 701401, Taiwan.</t>
  </si>
  <si>
    <t>mshangch@mail.ncku.edu.tw; 023897@tool.caaumed.org.tw</t>
  </si>
  <si>
    <t>We thank the participants of the Taiwan PAC-CVD program, the data of which include clinical information, including the functional outcomes and NHI costs of rehabilitation, which is valuable to medical decision makers.</t>
  </si>
  <si>
    <t>1471-2377</t>
  </si>
  <si>
    <t>BMC NEUROL</t>
  </si>
  <si>
    <t>BMC Neurol.</t>
  </si>
  <si>
    <t>SEP 29</t>
  </si>
  <si>
    <t>10.1186/s12883-023-03396-z</t>
  </si>
  <si>
    <t>Clinical Neurology</t>
  </si>
  <si>
    <t>Neurosciences &amp; Neurology</t>
  </si>
  <si>
    <t>S7EX7</t>
  </si>
  <si>
    <t>WOS:001072774500001</t>
  </si>
  <si>
    <t>Robertson, MM; Zhang, FY</t>
  </si>
  <si>
    <t>Robertson, Melissa M.; Zhang, Fanyi</t>
  </si>
  <si>
    <t>Attachment in Mentoring Relationships</t>
  </si>
  <si>
    <t>JOURNAL OF BUSINESS AND PSYCHOLOGY</t>
  </si>
  <si>
    <t>Mentoring; Attachment; Scale development</t>
  </si>
  <si>
    <t>WITHIN-PERSON VARIATION; THEORY PERSPECTIVE; ADULT ATTACHMENT; YOUNG-ADULTS; SUPPORT; WORK; ANTECEDENTS; PERCEPTIONS; PERFORMANCE; EXPERIENCES</t>
  </si>
  <si>
    <t>Attachment theory has high potential for advancing a relational understanding of mentoring. However, there is a lack of empirical evidence that proteges develop attachments to mentors. The present manuscript provides this foundation by developing and validating a measure of attachment to mentors across five studies. In Study 1, we find qualitative evidence that proteges experience the four features of attachment in their relationships with mentors. In Study 2, we develop a pool of items to measure attachment to mentors and conduct content validation. In Studies 3a and 3b, we develop a multidimensional measure of attachment and conduct exploratory and confirmatory analyses. In Study 4, we replicate the factor structure and provide evidence of reliability and measurement invariance over time. Consistent with attachment theory, we find that attachment to mentors is related to, and empirically distinct from, mentor support, protege work-related exploration, protege attachment anxiety and avoidance, and relationship satisfaction in the hypothesized directions. Our findings support the application of attachment theory to mentoring relationships and provide an empirical foundation for future examination of the development, maintenance, and termination of attachment relationships in the work domain. Moreover, our work offers a new measurement tool and insights for assessing and developing mentoring relationships in practice.</t>
  </si>
  <si>
    <t>[Robertson, Melissa M.] Univ Georgia, Dept Psychol, 125 Baldwin St, Athens, GA 30602 USA; [Zhang, Fanyi] Purdue Univ, Dept Psychol Sci, W Lafayette, IN USA</t>
  </si>
  <si>
    <t>University System of Georgia; University of Georgia; Purdue University System; Purdue University West Lafayette Campus; Purdue University</t>
  </si>
  <si>
    <t>Robertson, MM (corresponding author), Univ Georgia, Dept Psychol, 125 Baldwin St, Athens, GA 30602 USA.</t>
  </si>
  <si>
    <t>mrobertson@uga.edu</t>
  </si>
  <si>
    <t>We thank Chris Agnew, Ximena Arriaga, Lillian Eby, Jordan Matthew, Bradley Pitcher, Victoria Scotney, Chelsea Song, Nicole Strah, Louis Tay, and Rick Yang for serving as subject matter experts. We also thank Asher Denny for his assistance with processing p</t>
  </si>
  <si>
    <t>We thank Chris Agnew, Ximena Arriaga, Lillian Eby, Jordan Matthew, Bradley Pitcher, Victoria Scotney, Chelsea Song, Nicole Strah, Louis Tay, and Rick Yang for serving as subject matter experts. We also thank Asher Denny for his assistance with processing participant incentives.</t>
  </si>
  <si>
    <t>0889-3268</t>
  </si>
  <si>
    <t>1573-353X</t>
  </si>
  <si>
    <t>J BUS PSYCHOL</t>
  </si>
  <si>
    <t>J. Bus. Psychol.</t>
  </si>
  <si>
    <t>2023 SEP 29</t>
  </si>
  <si>
    <t>10.1007/s10869-023-09914-7</t>
  </si>
  <si>
    <t>SEP 2023</t>
  </si>
  <si>
    <t>Business; Psychology, Applied</t>
  </si>
  <si>
    <t>Business &amp; Economics; Psychology</t>
  </si>
  <si>
    <t>S6ZM2</t>
  </si>
  <si>
    <t>WOS:001072629000001</t>
  </si>
  <si>
    <t>Khalil, MMY; Wang, QX; Chen, B; Wang, WD</t>
  </si>
  <si>
    <t>Khalil, Mian Muhammad Yasir; Wang, Qingxian; Chen, Bo; Wang, Weidong</t>
  </si>
  <si>
    <t>Cross-modality representation learning from transformer for hashtag prediction</t>
  </si>
  <si>
    <t>JOURNAL OF BIG DATA</t>
  </si>
  <si>
    <t>Attention mechanism; Hashtag recommendation; Multimodal data; Transfer learning</t>
  </si>
  <si>
    <t>RECOMMENDATION</t>
  </si>
  <si>
    <t>Hashtags are the keywords that describe the theme of social media content and have become very popular in influence marketing and trending topics. In recent years, hashtag prediction has become a hot topic in AI research to help users with automatic hashtag recommendations by capturing the theme of the post. Most of the previous work mainly focused only on textual information, but many microblog posts contain not only text but also the corresponding images. This work explores both image-text features of the microblog post. Inspired by the self-attention mechanism of the transformer in natural language processing, the visual-linguistics pre-train model with transfer learning also outperforms many downstream tasks that require image and text inputs. However, most of the existing models for multimodal hashtag recommendation are based on the traditional co-attention mechanism. This paper investigates the cross-modality transformer LXMERT for multimodal hashtag prediction for developing LXMERT4Hashtag, a cross-modality representation learning transformer model for hashtag prediction. It is a large-scale transformer model that consists of three encoders: a language encoder, an object encoder, and a cross-modality encoder. We evaluate the presented approach on dataset InstaNY100K. Experimental results show that our model is competitive and achieves impressive results, including precision of 50.5% vs 46.12%, recall of 44.02% vs 38.93%, and F1-score of 47.04% vs 42.22% compared to the existing state-of-the-art baseline model.</t>
  </si>
  <si>
    <t>[Khalil, Mian Muhammad Yasir; Wang, Qingxian; Chen, Bo; Wang, Weidong] Univ Elect Sci &amp; Technol China, Sch Informat &amp; Software Engn, Jianshe North Rd, Chengdu 610054, Peoples R China</t>
  </si>
  <si>
    <t>University of Electronic Science &amp; Technology of China</t>
  </si>
  <si>
    <t>Wang, WD (corresponding author), Univ Elect Sci &amp; Technol China, Sch Informat &amp; Software Engn, Jianshe North Rd, Chengdu 610054, Peoples R China.</t>
  </si>
  <si>
    <t>wdwang@uestc.edu.cn</t>
  </si>
  <si>
    <t>We would like to thank the authors of the InstaNY100K dataset and LXMERT model for the availability of code on Github. We also want to thank Adham Alkhadrawi for his support throughout this project and Ata Ur Rahman Khalid for helpful discussions.</t>
  </si>
  <si>
    <t>2196-1115</t>
  </si>
  <si>
    <t>J BIG DATA-GER</t>
  </si>
  <si>
    <t>J. Big Data</t>
  </si>
  <si>
    <t>SEP 28</t>
  </si>
  <si>
    <t>10.1186/s40537-023-00824-2</t>
  </si>
  <si>
    <t>Computer Science, Theory &amp; Methods</t>
  </si>
  <si>
    <t>S7FC3</t>
  </si>
  <si>
    <t>WOS:001072780000001</t>
  </si>
  <si>
    <t>Jin, YH; Wang, YP; Xie, YL; Tian, GH; Zhang, XY; Shi, NN; Yang, KH; Sun, X; Chen, YL; Wu, DR; Guo, XF; Ge, L; Zhao, C; Lu, C; Jiang, Y; Guo, J; Yan, SY; Wang, YB; Huang, Q; Ren, XY; Rao, YY; Wang, YY; Yuan, MQ; Zeng, XT; Shang, HC</t>
  </si>
  <si>
    <t>Jin, Ying-Hui; Wang, Yan-Ping; Xie, Ying-Lan; Tian, Gui-Hua; Zhang, Xiao-Yu; Shi, Nan-Nan; Yang, Ke-Hu; Sun, Xin; Chen, Yao-Long; Wu, Da-Rong; Guo, Xin-Feng; Ge, Long; Zhao, Chen; Lu, Cheng; Jiang, Yin; Guo, Jing; Yan, Si-Yu; Wang, Yong-Bo; Huang, Qiao; Ren, Xiang-Ying; Rao, Ying-Yue; Wang, Yun-Yun; Yuan, Meng-Qian; Zeng, Xian-Tao; Shang, Hong-Cai</t>
  </si>
  <si>
    <t>Research on the development methodology for clinical practice guidelines for organic integration of traditional Chinese and Western medicine</t>
  </si>
  <si>
    <t>MILITARY MEDICAL RESEARCH</t>
  </si>
  <si>
    <t>Methodology; Traditional Chinese medicine; Western medicine; Organic integration; Clinical practice guidelines</t>
  </si>
  <si>
    <t>ALTERNATIVE MEDICINE; COMPLEMENTARY</t>
  </si>
  <si>
    <t>Integrated traditional Chinese medicine (TCM) and Western medicine (WM) is a new medical science grounded in the knowledge bases of both TCM and WM, which then forms a unique modern medical system in China. Integrated TCM and WM has a long history in China, and has made important achievements in the process of clinical diagnosis and treatment. However, the methodological defects in currently published clinical practice guidelines limit its development. The organic integration of TCM and WM is a deeper integration of TCM and WM. To realize the progression of integration to organic integration, a targeted and standardized guideline development methodology is needed. Therefore, the purpose of this study is to establish a standardized development procedure for clinical practice guidelines for the organic integration of TCM and WM to promote the systematic integration of TCM and WM research results into clinical practice guidelines in order to achieve optimal results as the whole is greater than the sum of the parts.</t>
  </si>
  <si>
    <t>[Jin, Ying-Hui; Yan, Si-Yu; Wang, Yong-Bo; Huang, Qiao; Ren, Xiang-Ying; Wang, Yun-Yun; Zeng, Xian-Tao] Wuhan Univ, Ctr Evidence Based &amp; Translat Med, Zhongnan Hosp, Wuhan 430071, Peoples R China; [Wang, Yan-Ping; Zhang, Xiao-Yu; Shi, Nan-Nan; Zhao, Chen; Lu, Cheng; Jiang, Yin] China Acad Chinese Med Sci, Inst Basic Res Clin Med, Beijing 100700, Peoples R China; [Wang, Yan-Ping; Zhang, Xiao-Yu; Shi, Nan-Nan; Zhao, Chen; Lu, Cheng; Jiang, Yin] Ctr Evidence Based Chinese Med, Beijing 100029, Peoples R China; [Xie, Ying-Lan; Rao, Ying-Yue] Hubei Prov Hosp Tradit Chinese Med, Wuhan 430074, Peoples R China; [Tian, Gui-Hua; Shang, Hong-Cai] Beijing Univ Chinese Med, Dongzhimen Hosp, Key Lab Chinese Internal Med, Minist Educ &amp; Beijing, Beijing, Peoples R China; [Yang, Ke-Hu; Chen, Yao-Long; Ge, Long] Lanzhou Univ, Evidence Based Med Ctr, Sch Basic Med Sci, Lanzhou 730000, Peoples R China; [Sun, Xin] Sichuan Univ, West China Hosp, China Ctr Evidence Based Med, Chengdu 610041, Peoples R China; [Wu, Da-Rong] Guangzhou Univ Chinese Med, Affiliated Hosp 2, State Key Lab Dampness Syndrome Chinese Med, Guangzhou 510120, Peoples R China; [Guo, Xin-Feng] Guangdong Prov Hosp Tradit Chinese Med, Evidence Based Med Team, Guangzhou 510120, Peoples R China; [Guo, Jing] Nanjing Univ Chinese Med, Nanjing 210023, Peoples R China; [Yuan, Meng-Qian] Jiangsu Prov Hosp Chinese Med, Nanjing 210029, Peoples R China</t>
  </si>
  <si>
    <t>Wuhan University; China Academy of Chinese Medical Sciences; Institute of Basic Research In Clinical Medicine, CACMS; Beijing University of Chinese Medicine; Lanzhou University; Sichuan University; Guangzhou University of Chinese Medicine; Guangzhou University of Chinese Medicine; Nanjing University of Chinese Medicine; Nanjing University of Chinese Medicine</t>
  </si>
  <si>
    <t>Zeng, XT (corresponding author), Wuhan Univ, Ctr Evidence Based &amp; Translat Med, Zhongnan Hosp, Wuhan 430071, Peoples R China.;Shang, HC (corresponding author), Beijing Univ Chinese Med, Dongzhimen Hosp, Key Lab Chinese Internal Med, Minist Educ &amp; Beijing, Beijing, Peoples R China.</t>
  </si>
  <si>
    <t>zengxiantao1128@163.com; shanghongcai@126.com</t>
  </si>
  <si>
    <t>We thank Jean Glover from Tianjin Golden Framework Consulting for language editing. We also express gratitude to all the participants who participated in this study for openly sharing their opinions.</t>
  </si>
  <si>
    <t>2095-7467</t>
  </si>
  <si>
    <t>2054-9369</t>
  </si>
  <si>
    <t>MILITARY MED RES</t>
  </si>
  <si>
    <t>MILITARY MED. RES.</t>
  </si>
  <si>
    <t>SEP 27</t>
  </si>
  <si>
    <t>10.1186/s40779-023-00481-9</t>
  </si>
  <si>
    <t>S4MR2</t>
  </si>
  <si>
    <t>WOS:001070929900001</t>
  </si>
  <si>
    <t>Lin, ABH; Gromov, M; Nikiforov, A; Smits, E; Bogaerts, A</t>
  </si>
  <si>
    <t>Lin, Abraham; Gromov, Mikhail; Nikiforov, Anton; Smits, Evelien; Bogaerts, Annemie</t>
  </si>
  <si>
    <t>Characterization of Non-Thermal Dielectric Barrier Discharges for Plasma Medicine: From Plastic Well Plates to Skin Surfaces</t>
  </si>
  <si>
    <t>PLASMA CHEMISTRY AND PLASMA PROCESSING</t>
  </si>
  <si>
    <t>Non-thermal plasma; Plasma medicine; Dielectric barrier discharge; Plasma diagnostics; Plasma surface interaction; In situ plasma monitoring</t>
  </si>
  <si>
    <t>INDUCED FLUORESCENCE SPECTROSCOPY; QUENCHING RATE CONSTANTS; DENSITY-MEASUREMENTS; LIFETIMES</t>
  </si>
  <si>
    <t>In the past decade, the applications of dielectric barrier discharge (DBD) plasma technologies have been expanding, and one of the most exciting and rapidly growing applications is in biology and medicine. Most biomedical studies with DBD plasma systems are performed in vitro, which include cells grown on the surface of plastic well plates, or in vivo, which include animal research models (e.g. mice, pigs). Since many DBD systems use the biological target as the secondary electrode for direct plasma generation and treatment, they are sensitive to the surface properties of the target, and thus can be altered based on the in vitro or in vivo system used. This could consequently affect biological response from plasma treatment. Therefore, in this study, we investigated the DBD plasma behavior both in vitro (i.e. 96-well flat bottom plates, 96-well U-bottom plates, and 24-well flat bottom plates), and in vivo (i.e. mouse skin). Intensified charge coupled device (ICCD) imaging was performed and the plasma discharges were visually distinguishable between the different systems. The geometry of the wells did not affect DBD plasma generation for low application distances (&amp; LE; 2 mm), but differentially affected plasma uniformity on the bottom of the well at greater distances. Since DBD plasma treatment in vitro is rarely performed in dry wells for plasma medicine experiments, the effect of well wetness was also investigated. In all in vitro cases, the uniformity of the DBD plasma was affected when comparing wet versus dry wells, with the plasma in the wide-bottom wells appearing the most similar to plasma generated on mouse skin. Interestingly, based on quantification of ICCD images, the DBD plasma intensity per surface area demonstrated an exponential one-phase decay with increasing application distance, regardless of the in vitro or in vivo system. This trend is similar to that of the energy per pulse of plasma, which is used to determine the total plasma treatment energy for biological systems. Optical emission spectroscopy performed on the plasma revealed similar trends in radical species generation between the plastic well plates and mouse skin. Therefore, taken together, DBD plasma intensity per surface area may be a valuable parameter to be used as a simple method for in situ monitoring during biological treatment and active plasma treatment control, which can be applied for in vitro and in vivo systems.</t>
  </si>
  <si>
    <t>[Lin, Abraham; Bogaerts, Annemie] Univ Antwerp, Plasma Lab Sustainabil &amp; Med Antwerp PLASMANT, Univ pl 1, B-2610 Antwerp, Belgium; [Lin, Abraham; Smits, Evelien] Univ Antwerp, Ctr Oncol Res, Integrated Personalized &amp; Precis Oncol Network, Univ pl 1, B-2610 Antwerp, Belgium; [Gromov, Mikhail; Nikiforov, Anton] Univ Ghent, Dept Appl Phys, Res Unit Plasma Technol RUPT, Sint Pietersnieuwstr 41, B-9000 Ghent, Belgium</t>
  </si>
  <si>
    <t>University of Antwerp; University of Antwerp; Ghent University</t>
  </si>
  <si>
    <t>Lin, ABH (corresponding author), Univ Antwerp, Plasma Lab Sustainabil &amp; Med Antwerp PLASMANT, Univ pl 1, B-2610 Antwerp, Belgium.;Lin, ABH (corresponding author), Univ Antwerp, Ctr Oncol Res, Integrated Personalized &amp; Precis Oncol Network, Univ pl 1, B-2610 Antwerp, Belgium.</t>
  </si>
  <si>
    <t>abraham.lin@uantwerpen.be</t>
  </si>
  <si>
    <t>This work was partially funded by the Research Foundation-Flanders (FWO) and supported by the following Grants: 12S9221N (A. L.), G044420N (A. L. and A. B.), and G033020N (A.B.). We would also like to thank several patrons, as part of this research was fun [12S9221N, G044420N, G033020N]; Research Foundation-Flanders (FWO); Vereycken family [CA20114]; European Cooperation in Science amp;amp; Technology</t>
  </si>
  <si>
    <t>This work was partially funded by the Research Foundation-Flanders (FWO) and supported by the following Grants: 12S9221N (A. L.), G044420N (A. L. and A. B.), and G033020N (A.B.). We would also like to thank several patrons, as part of this research was fun; Research Foundation-Flanders (FWO)(FWO); Vereycken family; European Cooperation in Science amp;amp; Technology</t>
  </si>
  <si>
    <t>This work was partially funded by the Research Foundation-Flanders (FWO) and supported by the following Grants: 12S9221N (A. L.), G044420N (A. L. and A. B.), and G033020N (A.B.). We would also like to thank several patrons, as part of this research was funded by donations from different donors, including Dedert Schilde vzw, Mr Willy Floren, and the Vereycken family. We would also like to acknowledge the support from the European Cooperation in Science &amp; amp; Technology (COST) Action on Therapeutical applications of Cold Plasmas (CA20114; PlasTHER).</t>
  </si>
  <si>
    <t>0272-4324</t>
  </si>
  <si>
    <t>1572-8986</t>
  </si>
  <si>
    <t>PLASMA CHEM PLASMA P</t>
  </si>
  <si>
    <t>Plasma Chem. Plasma Process.</t>
  </si>
  <si>
    <t>2023 SEP 27</t>
  </si>
  <si>
    <t>10.1007/s11090-023-10389</t>
  </si>
  <si>
    <t>Engineering, Chemical; Physics, Applied; Physics, Fluids &amp; Plasmas</t>
  </si>
  <si>
    <t>Engineering; Physics</t>
  </si>
  <si>
    <t>S6YQ9</t>
  </si>
  <si>
    <t>WOS:001072607700001</t>
  </si>
  <si>
    <t>Cui, C; Wang, HX; Wei, YM</t>
  </si>
  <si>
    <t>Cui, Chong; Wang, Hongxing; Wei, Yimin</t>
  </si>
  <si>
    <t>Perturbations of Moore-Penrose inverse and dual Moore-Penrose generalized inverse</t>
  </si>
  <si>
    <t>JOURNAL OF APPLIED MATHEMATICS AND COMPUTING</t>
  </si>
  <si>
    <t>Dual matrix; Moore-Penrose inverse; Dual Moore-Penrose generalized inverse; Singular value decomposition; Matrix perturbation</t>
  </si>
  <si>
    <t>STABLE PERTURBATIONS</t>
  </si>
  <si>
    <t>In this paper, we present explicit expressions for the Moore-Penrose inverse of the perturbation matrix under the rank condition in the real field. Then we estimate the error between Moore-Penrose inverse and dual Moore-Penrose generalized inverse (DMPGI) and obtain an upper bound of the error. Furthermore, we discuss the above results under several special conditions.</t>
  </si>
  <si>
    <t>[Cui, Chong; Wang, Hongxing] Guangxi Minzu Univ, Lab Hybrid Computat &amp; IC Design Anal, Nanning 530006, Peoples R China; [Wei, Yimin] Fudan Univ, Sch Math Sci, Shanghai 200433, Peoples R China; [Wei, Yimin] Fudan Univ, Shanghai Key Lab Contemporary Appl Math, Shanghai 200433, Peoples R China</t>
  </si>
  <si>
    <t>Guangxi Minzu University; Fudan University; Fudan University</t>
  </si>
  <si>
    <t>Wei, YM (corresponding author), Fudan Univ, Sch Math Sci, Shanghai 200433, Peoples R China.;Wei, YM (corresponding author), Fudan Univ, Shanghai Key Lab Contemporary Appl Math, Shanghai 200433, Peoples R China.</t>
  </si>
  <si>
    <t>cuichong0307@126.com; winghongxing0902@163.com; ymwei@fudan.edu.cn</t>
  </si>
  <si>
    <t>Research Fund Project of Guangxi Minzu University [2019KJQD03]; Thousands of Young and Middle-aged Key Teachers Training Programme in Guangxi Colleges and Universities [GUIJIAOSHIFAN2019-81HAO]; Shanghai Municipal Science and Technology Commission [23WZ2501400]; Ministry of Science andTechnology of China [G2023132005L]</t>
  </si>
  <si>
    <t>Research Fund Project of Guangxi Minzu University; Thousands of Young and Middle-aged Key Teachers Training Programme in Guangxi Colleges and Universities; Shanghai Municipal Science and Technology Commission(Science &amp; Technology Commission of Shanghai Municipality (STCSM)); Ministry of Science andTechnology of China(Ministry of Science and Technology, China)</t>
  </si>
  <si>
    <t>&amp; nbsp;H. Wang is supported partially by Research Fund Project of Guangxi Minzu University under grant 2019KJQD03 and Thousands of Young and Middle-aged Key Teachers Training Programme in Guangxi Colleges and Universities under grant GUIJIAOSHIFAN2019-81HAO. Y. Wei is supported by Shanghai Municipal Science and Technology Commission under grant 23WZ2501400 and Ministry of Science andTechnology of China under Grant G2023132005L.</t>
  </si>
  <si>
    <t>1598-5865</t>
  </si>
  <si>
    <t>1865-2085</t>
  </si>
  <si>
    <t>J APPL MATH COMPUT</t>
  </si>
  <si>
    <t>J. Appl. Math. Comput.</t>
  </si>
  <si>
    <t>2023 SEP 26</t>
  </si>
  <si>
    <t>10.1007/s12190-023-01920-5</t>
  </si>
  <si>
    <t>S6MU9</t>
  </si>
  <si>
    <t>WOS:001072292200001</t>
  </si>
  <si>
    <t>Ding, WF; Sun, HH</t>
  </si>
  <si>
    <t>Ding, Weifu; Sun, Huihui</t>
  </si>
  <si>
    <t>Prediction of PM2.5 concentration based on the weighted RF-LSTM model</t>
  </si>
  <si>
    <t>EARTH SCIENCE INFORMATICS</t>
  </si>
  <si>
    <t>Review; Early Access</t>
  </si>
  <si>
    <t>Prediction; PM2.5; Random Forest; LSTM; Weighted RF-LSTM; Deep learning</t>
  </si>
  <si>
    <t>AIR-POLLUTION; NEURAL-NETWORK; ROADSIDE; TERRAIN; CHINA</t>
  </si>
  <si>
    <t>Accurate prediction of PM2.5 concentrations can provide a solid foundation for preventing and controlling air pollution. When the Long Short-Term Memory (LSTM) is applied to predict PM2.5 concentration, the influential factors strongly correlated with PM2.5 concentration are directly fed into the LSTM network. However, the influence of these factors on PM2.5 concentration is different. To address this issue, a weighted Random Forest (RF)-LSTM model was proposed to predict PM2.5 concentration for the next six hours in this study. This model first uses the RF to select the factors that are more important for predicting PM2.5 concentration and then uses a fully connected neural network to learn the weight value of each factor. Finally, the weighted data is fed into the LSTM network. The model is trained, validated, and tested using hourly air pollutant and meteorological data collected from four monitoring stations in Beijing, China, from November 1, 2019 to February 28, 2022. The prediction performance of the weighted RF-LSTM model was compared to the RF-LSTM and LSTM models. The results show that the RMSE and MAE of the weighted RF-LSTM model are the smallest, and the R2 is the largest for the next six hours' prediction of PM2.5 concentration at four stations. Compared to the LSTM model, the weighted RF-LSTM model decreases RMSE by 2.3%-5.3%, MAE by 5.6%-9.6%, and improves R2 by 2.0%-4.8%, showing that the weighted RF-LSTM model proposed in this study can achieve better prediction performance and has strong generalization ability.</t>
  </si>
  <si>
    <t>[Ding, Weifu; Sun, Huihui] North Minzu Univ, Sch Math &amp; Informat Sci, Yinchuan 750021, Ningxia, Peoples R China</t>
  </si>
  <si>
    <t>North Minzu University</t>
  </si>
  <si>
    <t>Sun, HH (corresponding author), North Minzu Univ, Sch Math &amp; Informat Sci, Yinchuan 750021, Ningxia, Peoples R China.</t>
  </si>
  <si>
    <t>13797816993@163.com</t>
  </si>
  <si>
    <t>National Natural Science Foundation [12361108]; Ningxia Natural Science Foundation [2023AAC03278]; First Class Disciplines Foundation of Ningxia [NXYLXK2017B09]; 2023 Ningxia Youth Top Talent Program</t>
  </si>
  <si>
    <t>National Natural Science Foundation(National Natural Science Foundation of China (NSFC)); Ningxia Natural Science Foundation; First Class Disciplines Foundation of Ningxia; 2023 Ningxia Youth Top Talent Program</t>
  </si>
  <si>
    <t>&amp; nbsp;This work was supported by the National Natural Science Foundation, Research on air pollution and ecological toughness and time and space in the Yellow River Basin City under Grant 12361108, the Ningxia Natural Science Foundation under Grant no. 2023AAC03278, First Class Disciplines Foundation of Ningxia under Grant NXYLXK2017B09, the 2023 Ningxia Youth Top Talent Program.</t>
  </si>
  <si>
    <t>1865-0473</t>
  </si>
  <si>
    <t>1865-0481</t>
  </si>
  <si>
    <t>EARTH SCI INFORM</t>
  </si>
  <si>
    <t>Earth Sci. Inform.</t>
  </si>
  <si>
    <t>10.1007/s12145-023-01111-7</t>
  </si>
  <si>
    <t>Computer Science, Interdisciplinary Applications; Geosciences, Multidisciplinary</t>
  </si>
  <si>
    <t>Computer Science; Geology</t>
  </si>
  <si>
    <t>S5LZ4</t>
  </si>
  <si>
    <t>WOS:001071593400001</t>
  </si>
  <si>
    <t>Duan, R; Chen, KY; Du, Y; Kulkarni, PM; Qu, YM</t>
  </si>
  <si>
    <t>Duan, Ran; Chen, Kaiyi; Du, Yu; Kulkarni, Pandurang M.; Qu, Yongming</t>
  </si>
  <si>
    <t>Non-monotone Exponential Time (NEXT) Model for the Longitudinal Trend of a Continuous Outcome in Clinical Trials</t>
  </si>
  <si>
    <t>THERAPEUTIC INNOVATION &amp; REGULATORY SCIENCE</t>
  </si>
  <si>
    <t>Integrated two-component prediction (ITP) model; Time to the maximum effect; Mixed mode for repeated measures (MMRM); Prediction</t>
  </si>
  <si>
    <t>The dose-response curve has been studied extensively for decades. However, most of these methods ignore intermediate measurements of the response variable and only use the measurement at the endpoint. In early phase trials, it is crucial to utilize all available data due to the smaller sample size. Simulation studies have shown that the longitudinal dose-response surface model provides a more precise parameter estimation compared to the traditional dose response using only data from the primary time point. However, the current longitudinal models with parametric assumptions assume the treatment effect increases monotonically over time, which may be controversial to reality. We propose a parametric non-monotone exponential time (NEXT) model, an enhanced longitudinal dose-response model with greater flexibility, capable of accommodating non-monotonic treatment effects and making predictions for longer-term efficacy. In addition, the estimator for the time to maximum treatment effect and its asymptotic distribution have been derived from NEXT. Extensive simulation studies using known data-generating models and using real clinical data showed the NEXT model outperformed the existing monotone longitudinal models.</t>
  </si>
  <si>
    <t>[Duan, Ran] Angitia Biopharmceut Inc, Woodland Hills, CA USA; [Chen, Kaiyi; Du, Yu; Kulkarni, Pandurang M.; Qu, Yongming] Eli Lilly &amp; Co, Lilly Corp Ctr, Dept Global Stat Sci, Indianapolis, IN 46285 USA</t>
  </si>
  <si>
    <t>Eli Lilly</t>
  </si>
  <si>
    <t>Qu, YM (corresponding author), Eli Lilly &amp; Co, Lilly Corp Ctr, Dept Global Stat Sci, Indianapolis, IN 46285 USA.</t>
  </si>
  <si>
    <t>qu_yongming@lilly.com</t>
  </si>
  <si>
    <t>2168-4790</t>
  </si>
  <si>
    <t>2168-4804</t>
  </si>
  <si>
    <t>THER INNOV REGUL SCI</t>
  </si>
  <si>
    <t>Ther. Innov. Regul. Sci.</t>
  </si>
  <si>
    <t>10.1007/s43441-023-00576-4</t>
  </si>
  <si>
    <t>Medical Informatics; Pharmacology &amp; Pharmacy</t>
  </si>
  <si>
    <t>S6LW1</t>
  </si>
  <si>
    <t>WOS:001072267400001</t>
  </si>
  <si>
    <t>Eskuri, M; Kemi, N; Helminen, O; Huhta, H; Kauppila, JH</t>
  </si>
  <si>
    <t>Eskuri, Maarit; Kemi, Niko; Helminen, Olli; Huhta, Heikki; Kauppila, Joonas H.</t>
  </si>
  <si>
    <t>Toll-like receptors 1, 2, 4, 5, and 6 in gastric cancer</t>
  </si>
  <si>
    <t>VIRCHOWS ARCHIV</t>
  </si>
  <si>
    <t>Toll-like receptors; TLR1; TLR2; TLR4; TLR5; TLR6; Gastric cancer</t>
  </si>
  <si>
    <t>CARCINOMA CELLS; PROMOTES; EXPRESSION; PREDICTS; TLR4</t>
  </si>
  <si>
    <t>Toll-like receptors (TLRs) are expressed on both immune cells and tumor cells, triggering both anti-tumor and pro-tumor responses. Therefore, TLRs have potential as prognostic biomarkers and immunotherapeutic targets. The aim of this study was to investigate TLR1, TLR2, TLR4, TLR5, and TLR6 expression and association with clinicopathological variables and survival in gastric cancer. Immunohistochemical study on cancer specimens from 564 resected gastric cancer patients was performed using tissue microarrays. The association between patient survival and TLR expression was calculated with Cox regression adjusted for confounding factors. Patients with high cytoplasmic TLR2 expression had significantly poorer 5-year survival than the low cytoplasmic TLR2 expression group in multivariate analysis (adjusted HR 1.38, 95% CI 1.11-1.71), and this estimate was similar in intestinal type (adjusted HR 1.33, 95% CI 0.98-1.80) and diffuse type (adjusted HR 1.48, 95% CI 1.06-2.05) histology subgroups. Patients with high cytoplasmic TLR6 expression group had significantly better 5-year survival compared with low cytoplasmic TLR6 expression group in multivariate analysis (adjusted HR 0.74, 95% CI 0.60-0.91). In the subgroup analysis of diffuse type of histology, the 5-year survival was better in high cytoplasmic TLR6 expression group in multivariable analysis (HR 0.62, 95% CI 0.46-0.83). In the intestinal type of histology subgroup, no significant differences between the groups were present. TLR1, TLR4, and TLR5 expression were not associated with 5-year survival. In conclusion, cytoplasmic TLR2 and TLR6 expression seem to have independent prognostic impact in gastric cancer, while TLR1, TLR4, and TLR5 do not.</t>
  </si>
  <si>
    <t>[Eskuri, Maarit; Kemi, Niko; Helminen, Olli; Huhta, Heikki; Kauppila, Joonas H.] Univ Oulu, Med Res Ctr, Canc &amp; Translat Med Res Unit, Aapistie 5,POB 5000, Oulu 90014, Finland; [Eskuri, Maarit; Kemi, Niko; Helminen, Olli; Huhta, Heikki; Kauppila, Joonas H.] Oulu Univ Hosp, POB 5000,Aapistie 5, Oulu 90014, Finland; [Kauppila, Joonas H.] Oulu Univ Hosp, Dept Mol Med &amp; Surg, Upper Gastrointestinal Surg, POB 5000,Aapistie 5, Oulu 90014, Finland</t>
  </si>
  <si>
    <t>University of Oulu; University of Oulu; University of Oulu</t>
  </si>
  <si>
    <t>Eskuri, M (corresponding author), Univ Oulu, Med Res Ctr, Canc &amp; Translat Med Res Unit, Aapistie 5,POB 5000, Oulu 90014, Finland.;Eskuri, M (corresponding author), Oulu Univ Hosp, POB 5000,Aapistie 5, Oulu 90014, Finland.</t>
  </si>
  <si>
    <t>maarit.eskuri@oulu.fi</t>
  </si>
  <si>
    <t>Eskuri, Maarit/0000-0002-6583-6891</t>
  </si>
  <si>
    <t>We thank Erja Tomperi and Riitta Vuento for important technical assistance. The study benefited from samples/data from Northern Finland Biobank Borealis, Oulu, Finland.; Northern Finland Biobank Borealis, Oulu, Finland</t>
  </si>
  <si>
    <t>We thank Erja Tomperi and Riitta Vuento for important technical assistance. The study benefited from samples/data from Northern Finland Biobank Borealis, Oulu, Finland.</t>
  </si>
  <si>
    <t>0945-6317</t>
  </si>
  <si>
    <t>1432-2307</t>
  </si>
  <si>
    <t>VIRCHOWS ARCH</t>
  </si>
  <si>
    <t>Virchows Arch.</t>
  </si>
  <si>
    <t>10.1007/s00428-023-03635-1</t>
  </si>
  <si>
    <t>Pathology</t>
  </si>
  <si>
    <t>S4HS9</t>
  </si>
  <si>
    <t>WOS:001070800900001</t>
  </si>
  <si>
    <t>Joussellin, V; Bonny, V; Spadaro, S; Clerc, S; Parfait, M; Ferioli, M; Sieye, A; Jalil, Y; Janiak, V; Pinna, A; Dres, M</t>
  </si>
  <si>
    <t>Joussellin, Vincent; Bonny, Vincent; Spadaro, Savino; Clerc, Sebastien; Parfait, Melodie; Ferioli, Martina; Sieye, Antonin; Jalil, Yorschua; Janiak, Vincent; Pinna, Andrea; Dres, Martin</t>
  </si>
  <si>
    <t>Lung aeration estimated by chest electrical impedance tomography and lung ultrasound during extubation</t>
  </si>
  <si>
    <t>ANNALS OF INTENSIVE CARE</t>
  </si>
  <si>
    <t>Electrical impedance tomography; Lung ultrasound; Mechanical ventilation; Extubation failure; Weaning</t>
  </si>
  <si>
    <t>INTENSIVE-CARE-UNIT; COMPUTED-TOMOGRAPHY; RECRUITMENT; FAILURE; TIME</t>
  </si>
  <si>
    <t>BackgroundThis study hypothesized that patients with extubation failure exhibit a loss of lung aeration and heterogeneity in air distribution, which could be monitored by chest EIT and lung ultrasound. Patients at risk of extubation failure were included after a successful spontaneous breathing trial. Lung ultrasound [with calculation of lung ultrasound score (LUS)] and chest EIT [with calculation of the global inhomogeneity index, frontback center of ventilation (CoV), regional ventilation delay (RVD) and surface available for ventilation] were performed before extubation during pressure support ventilation (H0) and two hours after extubation during spontaneous breathing (H2). EIT was then repeated 6 h (H6) after extubation. EIT derived indices and LUS were compared between patients successfully extubated and patients with extubation failure.Results40 patients were included, of whom 12 (30%) failed extubation. Before extubation, when compared with patients with successful extubation, patients who failed extubation had a higher LUS (19 vs 10, p = 0.003) and a smaller surface available for ventilation (352 vs 406 pixels, p = 0.042). After extubation, GI index and LUS were higher in the extubation failure group, whereas the surface available for ventilation was lower. The RVD and the CoV were not different between groups.ConclusionBefore extubation, a loss of lung aeration was observed in patients who developed extubation failure afterwards. After extubation, this loss of lung aeration persisted and was associated with regional lung ventilation heterogeneity.Trial registration Clinical trials, NCT04180410, Registered 27 November 2019-prospectively registered, https://clinicaltrials.gov/ct2/show/NCT04180410.ConclusionBefore extubation, a loss of lung aeration was observed in patients who developed extubation failure afterwards. After extubation, this loss of lung aeration persisted and was associated with regional lung ventilation heterogeneity.Trial registration Clinical trials, NCT04180410, Registered 27 November 2019-prospectively registered, https://clinicaltrials.gov/ct2/show/NCT04180410.</t>
  </si>
  <si>
    <t>[Joussellin, Vincent; Bonny, Vincent; Clerc, Sebastien; Parfait, Melodie; Ferioli, Martina; Sieye, Antonin; Jalil, Yorschua; Janiak, Vincent; Dres, Martin] Sorbonne Univ, INSERM, Neurophysiol Resp Expt &amp; Clin, UMRS1158, Paris, France; [Joussellin, Vincent; Bonny, Vincent; Clerc, Sebastien; Parfait, Melodie; Ferioli, Martina; Sieye, Antonin; Dres, Martin] Sorbonne Univ, Hop Pitie Salpetriere, AP HP, Dept R3S,Serv Med Intens,Reanimat, 47-83 Blvd Hop, F-75013 Paris, France; [Spadaro, Savino] Univ Ferrara, St Anna Hosp, Dept Translat Med, Intens Care Unit, Ferrara, Italy; [Janiak, Vincent; Pinna, Andrea] Sorbonne Univ, LIP6, CNRS, F-75005 Paris, France; [Janiak, Vincent] Bioserenity, 20 Rue Berbier Du Metz, F-75013 Paris, France; [Ferioli, Martina] IRCCS Azienda Osped Univ Bologna, Resp &amp; Crit Care Unit, Bologna, Italy; [Ferioli, Martina] Alma Mater Studiorum Univ Bologna, Dept Clin Integrated &amp; Expt Med DIMES, Bologna, Italy; [Jalil, Yorschua] Pontificia Univ Catolica Chile, Fac Med, Dept Med Intens, Santiago, Chile; [Jalil, Yorschua] Pontificia Univ Catolica Chile, Dept Ciencias Salud, Carrera Kinesiol, Fac Med, Santiago, Chile</t>
  </si>
  <si>
    <t>UDICE-French Research Universities; Sorbonne Universite; Institut National de la Sante et de la Recherche Medicale (Inserm); Assistance Publique Hopitaux Paris (APHP); Hopital Universitaire Pitie-Salpetriere - APHP; UDICE-French Research Universities; Universite Paris Cite; Hopital Universitaire Cochin - APHP; Hopital Universitaire Saint-Louis - APHP; Sorbonne Universite; University of Ferrara; Arcispedale Sant'Anna; Centre National de la Recherche Scientifique (CNRS); UDICE-French Research Universities; Sorbonne Universite; IRCCS Azienda Ospedaliero-Universitaria di Bologna; University of Bologna; Pontificia Universidad Catolica de Chile; Pontificia Universidad Catolica de Chile</t>
  </si>
  <si>
    <t>Dres, M (corresponding author), Sorbonne Univ, INSERM, Neurophysiol Resp Expt &amp; Clin, UMRS1158, Paris, France.;Dres, M (corresponding author), Sorbonne Univ, Hop Pitie Salpetriere, AP HP, Dept R3S,Serv Med Intens,Reanimat, 47-83 Blvd Hop, F-75013 Paris, France.</t>
  </si>
  <si>
    <t>martin.dres@aphp.fr</t>
  </si>
  <si>
    <t>We thank the patients for their participation in the study and the caregivers of the ICU.</t>
  </si>
  <si>
    <t>2110-5820</t>
  </si>
  <si>
    <t>ANN INTENSIVE CARE</t>
  </si>
  <si>
    <t>Ann. Intensive Care</t>
  </si>
  <si>
    <t>SEP 26</t>
  </si>
  <si>
    <t>10.1186/s13613-023-01180-3</t>
  </si>
  <si>
    <t>Critical Care Medicine</t>
  </si>
  <si>
    <t>S8TM9</t>
  </si>
  <si>
    <t>WOS:001073838400001</t>
  </si>
  <si>
    <t>Sobecki, NK; Frazier, DV</t>
  </si>
  <si>
    <t>Sobecki, Nicholas Kirk; Frazier, Derrick V.</t>
  </si>
  <si>
    <t>Negotiating regional order: regional power influences on nuclear nonproliferation in East Asia</t>
  </si>
  <si>
    <t>INTERNATIONAL POLITICS</t>
  </si>
  <si>
    <t>Regional powers; East Asia; China; Nuclear proliferation</t>
  </si>
  <si>
    <t>INTERNATIONAL ORDER; CHINA; STATES; US</t>
  </si>
  <si>
    <t>In this paper, we explore the relationship between regional powers and security norms by examining the influence of the liberal international order (LIO) on regional security dynamics in East Asia. In examining the influence of the LIO on East Asian nonproliferation norms, the USA and its partner nations have displayed a great deal of inconsistency regarding nuclear nonproliferation. We contend that this inconsistency offers opportunities for regional powers like China to reinforce or contest expectations associated with international nuclear norms. Often perceived as a stable pillar of the international order, variations in nuclear nonproliferation norms from the global to those in East Asia suggest a need to reconsider the influence and nature of the ILO on regional orders more broadly. Due to the role regional powers play in this relationship between the global and regional levels, this research also reinforces the continued importance of the Regional Powers Research Program.</t>
  </si>
  <si>
    <t>[Sobecki, Nicholas Kirk] Univ Alabama, Tuscaloosa, AL USA; [Frazier, Derrick V.] Sch Adv Air &amp; Space Studies, Montgomery, AL 36112 USA</t>
  </si>
  <si>
    <t>University of Alabama System; University of Alabama Tuscaloosa</t>
  </si>
  <si>
    <t>Frazier, DV (corresponding author), Sch Adv Air &amp; Space Studies, Montgomery, AL 36112 USA.</t>
  </si>
  <si>
    <t>nicholas.k.sobecki@gmail.com; derrick.frazier@au.af.edu</t>
  </si>
  <si>
    <t>1384-5748</t>
  </si>
  <si>
    <t>1740-3898</t>
  </si>
  <si>
    <t>INT POLITICS</t>
  </si>
  <si>
    <t>Int. Polit.</t>
  </si>
  <si>
    <t>10.1057/s41311-023-00505-0</t>
  </si>
  <si>
    <t>International Relations; Political Science</t>
  </si>
  <si>
    <t>International Relations; Government &amp; Law</t>
  </si>
  <si>
    <t>S6LL1</t>
  </si>
  <si>
    <t>WOS:001072256400001</t>
  </si>
  <si>
    <t>Sruthi, S; Sahoo, M; Dutta, S</t>
  </si>
  <si>
    <t>Sruthi, S.; Sahoo, Manoranjan; Dutta, Soma</t>
  </si>
  <si>
    <t>Thick films for high-temperature piezoelectric applications - a future reference</t>
  </si>
  <si>
    <t>JOURNAL OF ELECTROCERAMICS</t>
  </si>
  <si>
    <t>Piezoelectric material; Thick film; High temperature; Curie temperature</t>
  </si>
  <si>
    <t>STAINLESS-STEEL SUBSTRATE; ULTRASONIC TRANSDUCER; AEROSOL DEPOSITION; BISMUTH TITANATE; ENERGY HARVESTER; PHASE; FABRICATION; CERAMICS; DEGRADATION; PERFORMANCE</t>
  </si>
  <si>
    <t>The piezoelectric thick film of the active component that works at high temperatures for space and aeronautics has been in significant demand. The thick film has great technological importance as its thickness lies between the thin film and bulk material. The application, such as sensors and actuators, require a thickness that is not less than thin film or not more than bulk to be sufficiently powerful and sensitive. While the thick film is exposed to a temperature higher than room temperature, the piezoelectricity and elastic properties should not be degraded. Thus researchers have been investigating high-temperature thick films for the past decade. This review focuses on the detailed study of high-temperature piezoelectric thick films of lead-based and lead-free based materials and their composites, highlighting fabrication methods. Other important areas, such as substrates for thick film properties achieved and targeted applications, are also discussed. This discussion shows that selecting the high-temperature piezoelectric material, fabrication method, substrates, etc., are essential for fabricating a high-temperature piezoelectric transducer.</t>
  </si>
  <si>
    <t>[Sruthi, S.; Sahoo, Manoranjan; Dutta, Soma] CSIR, Natl Aerosp Labs, Mat Sci Div, Bangalore 560017, India; [Sahoo, Manoranjan; Dutta, Soma] Acad Sci &amp; Innovat Res AcSIR, Ghaziabad 201002, India</t>
  </si>
  <si>
    <t>Council of Scientific &amp; Industrial Research (CSIR) - India; CSIR - National Aerospace Laboratories (NAL); Academy of Scientific &amp; Innovative Research (AcSIR)</t>
  </si>
  <si>
    <t>Dutta, S (corresponding author), CSIR, Natl Aerosp Labs, Mat Sci Div, Bangalore 560017, India.;Dutta, S (corresponding author), Acad Sci &amp; Innovat Res AcSIR, Ghaziabad 201002, India.</t>
  </si>
  <si>
    <t>som@nal.res.in</t>
  </si>
  <si>
    <t>Sruthi S acknowledges Department of Science amp;amp; Technology (DST), Govt. of India for her fellowship under the Women Scientists Scheme (WOS-A) to pursue the present research. Manoranjan Sahoo gratefully acknowledges the doctoral fellowship from Counci; Department of Science amp;amp; Technology (DST); Women Scientists Scheme (WOS-A); Council of Scientific amp;amp; Industrial Research (CSIR); Academy of Scientific and Innovative Research (AcSIR); CSIR- National Aerospace Laboratories</t>
  </si>
  <si>
    <t>Sruthi S acknowledges Department of Science &amp; amp; Technology (DST), Govt. of India for her fellowship under the Women Scientists Scheme (WOS-A) to pursue the present research. Manoranjan Sahoo gratefully acknowledges the doctoral fellowship from Council of Scientific &amp; amp; Industrial Research (CSIR), Govt. of India and Academy of Scientific and Innovative Research (AcSIR), Ghaziabad to perform the present work. All the authors acknowledge CSIR- National Aerospace Laboratories for providing the infrastructure facilities to conduct the present study.</t>
  </si>
  <si>
    <t>1385-3449</t>
  </si>
  <si>
    <t>1573-8663</t>
  </si>
  <si>
    <t>J ELECTROCERAM</t>
  </si>
  <si>
    <t>J. Electroceram.</t>
  </si>
  <si>
    <t>10.1007/s10832-023-00331</t>
  </si>
  <si>
    <t>Materials Science, Ceramics</t>
  </si>
  <si>
    <t>Materials Science</t>
  </si>
  <si>
    <t>S4AO3</t>
  </si>
  <si>
    <t>WOS:001070613400001</t>
  </si>
  <si>
    <t>Zhu, X; Lei, Y; Wan, HT; Li, SH; Dui, G</t>
  </si>
  <si>
    <t>Zhu, Xiang; Lei, Yang; Wan, Haitao; Li, Shihao; Dui, Guansuo</t>
  </si>
  <si>
    <t>Constitutive modeling of porosity and grain size effects on superelasticity of porous nanocrystalline NiTi shape memory alloy</t>
  </si>
  <si>
    <t>ACTA MECHANICA</t>
  </si>
  <si>
    <t>NANOSCALE PHASE-TRANSITION; MARTENSITIC-TRANSFORMATION; CONCENTRATION MODULATION; YOUNGS MODULUS; FLOW RULES; BEHAVIOR; COMPOSITE; DEFORMATION; PLASTICITY; MATRIX</t>
  </si>
  <si>
    <t>Porous nanocrystalline NiTi shape memory alloy (SMA) benefit from a combination of the smart responses of nanograined SMA and the characteristics of porous materials, showing great potential in the high-tech field. Porosity and grain size exert an influence on the microstructure evolution during phase transformations, thus possessing the ability to alter the transformation characteristics of NiTi SMA. To investigate the porosity and grain size-dependent superelastic behaviors of porous nanocrystalline NiTi, the constitutive model incorporating grain size effects and tensile-compressive asymmetry for dense nanocrystalline NiTi is first developed. Based on the dense SMA model, porous nanocrystalline NiTi SMA is regarded as a composite material consisting of the void phase and the SMA matrix phase. The voids are treated as inclusions embedded in the SMA matrix composed of grain core and grain boundary. Tensile-compressive asymmetry, transformation hardening modulus associated with intrinsic length scale and grain size are incorporated into the modified Gurson-Tvergaard-Needleman potential function, leading to the construction of constitutive model for porous nanocrystalline NiTi SMA. Simulated results demonstrate that the proposed model is capable to describe the characteristics of porous nanocrystalline NiTi SMA, such as grain size and porosity dependent superelasticity and tensile-compressive asymmetry. Using the developed model, the combined effects of porosity and grain size on the critical transformation stresses, strain hardening, peak stresses, tensile-compressive asymmetry behaviors and the superelastic stress-strain hysteresis loop are analyzed.</t>
  </si>
  <si>
    <t>[Zhu, Xiang; Lei, Yang; Wan, Haitao; Li, Shihao] Henan Univ, Sch Civil Engn &amp; Architecture, Kaifeng 475004, Peoples R China; [Dui, Guansuo] Beijing Jiaotong Univ, Sch Civil Engn, Beijing, Peoples R China</t>
  </si>
  <si>
    <t>Henan University; Beijing Jiaotong University</t>
  </si>
  <si>
    <t>Wan, HT (corresponding author), Henan Univ, Sch Civil Engn &amp; Architecture, Kaifeng 475004, Peoples R China.</t>
  </si>
  <si>
    <t>wht110119040@henu.edu.cn</t>
  </si>
  <si>
    <t>The authors acknowledge the financial support of the National Natural Science Foundation of China (NNSFC, Grant No. 11772041). [11772041]; National Natural Science Foundation of China (NNSFC)</t>
  </si>
  <si>
    <t>The authors acknowledge the financial support of the National Natural Science Foundation of China (NNSFC, Grant No. 11772041).; National Natural Science Foundation of China (NNSFC)(National Natural Science Foundation of China (NSFC))</t>
  </si>
  <si>
    <t>The authors acknowledge the financial support of the National Natural Science Foundation of China (NNSFC, Grant No. 11772041).</t>
  </si>
  <si>
    <t>0001-5970</t>
  </si>
  <si>
    <t>1619-6937</t>
  </si>
  <si>
    <t>ACTA MECH</t>
  </si>
  <si>
    <t>Acta Mech.</t>
  </si>
  <si>
    <t>10.1007/s00707-023-03721-0</t>
  </si>
  <si>
    <t>Mechanics</t>
  </si>
  <si>
    <t>S4HS4</t>
  </si>
  <si>
    <t>WOS:001070800400001</t>
  </si>
  <si>
    <t>Jeelani, N; Bhat, AH</t>
  </si>
  <si>
    <t>Jeelani, Naira; Bhat, Abdul Hamid</t>
  </si>
  <si>
    <t>Analysis of various modulation techniques for high-frequency isolated single-phase modified quasi-Z-source AC-AC converter-based solid-state transformer</t>
  </si>
  <si>
    <t>ELECTRICAL ENGINEERING</t>
  </si>
  <si>
    <t>Solid-state transformer (SST); Bidirectional switch; AC-AC converters; Z-source AC-AC converters; Delta sigma modulation (DSM); Finite control set model predictive control (FCS-MPC)</t>
  </si>
  <si>
    <t>Solid-state transformers (SSTs) are expected to become one of the most powerful and adaptable devices that allow controllable voltage, power factor correction, fault isolation, compact size as compared to their low-frequency (50 Hz/60 Hz) counterparts. The high-frequency isolation of single-phase modified quasi-Z-source AC-AC converter (SPM-qZAC) employing bidirectional switches to create the single-stage SPM-qZAC-based SST is proposed in this paper. The proposed topology offers all the benefits of conventional impedance source topologies, including single-stage power conversion with a small footprint, buck-boost operation and retaining or reversing the phase angle. Moreover, the presented converter topology allows to share the same ground between input and output voltage, continuous input current, no input-output LC filters and performs AC-AC power conversion without the use of DC storage, making it suitable for AC voltage regulation. This study introduces two modulation schemes for SPM-qZAC-based SST. Finite control set model predictive control (FCS-MPC) which is a current control technique at variable switching frequency is employed owing to the capabilities of modern digital signal processing. Further, an adaptive hysteresis band-based delta sigma modulation (DSM) technique that offers the benefit of constant switching frequency (CSF) is proposed as an alternative voltage control-based modulation of the same topology. Various performance indices including steady-state response, total harmonic distortion of source current and dynamic response are assessed through simulation studies using MATLAB/Simulink software and real-time simulation environment using RT-Lab with OPAL-RT OP4510. It is observed that SPM-qZAC exhibits good performance when modulated using either modulation techniques; however, CSF-DSM technique offers an additional benefit of constant switching frequency.</t>
  </si>
  <si>
    <t>[Jeelani, Naira; Bhat, Abdul Hamid] Natl Inst Technol, Elect Engn Dept, Srinagar 190006, Jammu &amp; Kashmir, India</t>
  </si>
  <si>
    <t>National Institute of Technology (NIT System); National Institute of Technology Srinagar</t>
  </si>
  <si>
    <t>Jeelani, N (corresponding author), Natl Inst Technol, Elect Engn Dept, Srinagar 190006, Jammu &amp; Kashmir, India.</t>
  </si>
  <si>
    <t>naira_04phd19@nitsri.ac.in; bhatdee@nitsri.ac.in</t>
  </si>
  <si>
    <t>0948-7921</t>
  </si>
  <si>
    <t>1432-0487</t>
  </si>
  <si>
    <t>ELECTR ENG</t>
  </si>
  <si>
    <t>Electr. Eng.</t>
  </si>
  <si>
    <t>2023 SEP 25</t>
  </si>
  <si>
    <t>10.1007/s00202-023-02025-9</t>
  </si>
  <si>
    <t>Engineering, Electrical &amp; Electronic</t>
  </si>
  <si>
    <t>S5MC7</t>
  </si>
  <si>
    <t>WOS:001071596700001</t>
  </si>
  <si>
    <t>Jones, MJ; Uzuneser, TC; Clement, T; Wang, HH; Ojima, I; Rushlow, WJ; Laviolette, SR</t>
  </si>
  <si>
    <t>Jones, Matthew J.; Uzuneser, Taygun C.; Clement, Timothy; Wang, Hehe; Ojima, Iwao; Rushlow, Walter J.; Laviolette, Steven R.</t>
  </si>
  <si>
    <t>Inhibition of fatty acid binding protein-5 in the basolateral amygdala induces anxiolytic effects and accelerates fear memory extinction</t>
  </si>
  <si>
    <t>PSYCHOPHARMACOLOGY</t>
  </si>
  <si>
    <t>Anxiety; Fear memory; Endocannabinoid system; Anandamide; Basolateral amygdala; Behavioural pharmacology; In vivo electrophysiology</t>
  </si>
  <si>
    <t>MEDIAL PREFRONTAL CORTEX; ENDOGENOUS CANNABINOID ANANDAMIDE; ANXIETY-LIKE BEHAVIOR; AMIDE HYDROLASE FAAH; ENDOCANNABINOID SYSTEM; NEURONAL PLASTICITY; SIGNAL-TRANSDUCTION; CONDITIONED FEAR; RECEPTOR; CB1</t>
  </si>
  <si>
    <t>RationaleThe endocannabinoid (eCB) system critically controls anxiety and fear-related behaviours. Anandamide (AEA), a prominent eCB ligand, is a hydrophobic lipid that requires chaperone proteins such as Fatty Acid Binding Proteins (FABPs) for intracellular transport. Intracellular AEA transport is necessary for degradation, so blocking FABP activity increases AEA neurotransmission.ObjectiveTo investigate the effects of a novel FABP5 inhibitor (SBFI-103) in the basolateral amygdala (BLA) on anxiety and fear memory.MethodsWe infused SBFI-103 (0.5 &amp; mu;g-5 &amp; mu;g) to the BLA of adult male Sprague Dawley rats and ran various anxiety and fear memory behavioural assays, neurophysiological recordings, and localized molecular signaling analyses. We also co-infused SBFI-103 with the AEA inhibitor, LEI-401 (3 &amp; mu;g and 10 &amp; mu;g) to investigate the potential role of AEA in these phenomena.ResultsAcute intra-BLA administration of SBFI-103 produced strong anxiolytic effects across multiple behavioural tests. Furthermore, animals exhibited acute and long-term accelerated associative fear memory extinction following intra-BLA FABP5 inhibition. In addition, BLA FABP5 inhibition induced strong modulatory effects on putative PFC pyramidal neurons along with significantly increased gamma oscillation power. Finally, we observed local BLA changes in the phosphorylation activity of various anxiety- and fear memory-related molecular biomarkers in the PI3K/Akt and MAPK/Erk signaling pathways. At all three levels of analyses, we found the functional effects of SBFI-103 depend on availability of the AEA ligand.ConclusionsThese findings demonstrate a novel intra-BLA FABP5 signaling mechanism regulating anxiety and fear memory behaviours, neuronal activity states, local anxiety-related molecular pathways, and functional AEA modulation.</t>
  </si>
  <si>
    <t>[Jones, Matthew J.] Univ Western Ontario, Schulich Sch Med &amp; Dent, Dept Neurosci, 1151 Richmond St, London, ON, Canada; [Uzuneser, Taygun C.; Rushlow, Walter J.; Laviolette, Steven R.] Univ Western Ontario, Schulich Sch Med &amp; Dent, Dept Anat &amp; Cell Biol, 1151 Richmond St, London, ON, Canada; [Clement, Timothy; Wang, Hehe; Ojima, Iwao] SUNY Stony Brook, Inst Chem Biol &amp; Drug Discoveries, 100 Nicolls Rd, Stony Brook, NY USA; [Clement, Timothy; Wang, Hehe; Ojima, Iwao] SUNY Stony Brook, Dept Chem, 100 Nicolls Rd, Stony Brook, NY USA; [Rushlow, Walter J.; Laviolette, Steven R.] Univ Western Ontario, Schulich Sch Med &amp; Dent, Dept Psychiat, 1151 Richmond St, London, ON, Canada; [Laviolette, Steven R.] Lawson Hlth Res Inst, 268 Grosvenor St, London, ON, Canada</t>
  </si>
  <si>
    <t>Western University (University of Western Ontario); Western University (University of Western Ontario); State University of New York (SUNY) System; State University of New York (SUNY) Stony Brook; State University of New York (SUNY) System; State University of New York (SUNY) Stony Brook; Western University (University of Western Ontario); Western University (University of Western Ontario)</t>
  </si>
  <si>
    <t>Laviolette, SR (corresponding author), Univ Western Ontario, Schulich Sch Med &amp; Dent, Dept Anat &amp; Cell Biol, 1151 Richmond St, London, ON, Canada.;Laviolette, SR (corresponding author), Univ Western Ontario, Schulich Sch Med &amp; Dent, Dept Psychiat, 1151 Richmond St, London, ON, Canada.;Laviolette, SR (corresponding author), Lawson Hlth Res Inst, 268 Grosvenor St, London, ON, Canada.</t>
  </si>
  <si>
    <t>steven.laviolette@schulich.uwo.ca</t>
  </si>
  <si>
    <t>This work was supported by Artelo Biosciences, Mitacs Canada, and a Natural Sciences and Engineering Research Council (NSERC) fellowship to M.J.J.; Mitacs Canada; Natural Sciences and Engineering Research Council (NSERC) fellowship</t>
  </si>
  <si>
    <t>This work was supported by Artelo Biosciences, Mitacs Canada, and a Natural Sciences and Engineering Research Council (NSERC) fellowship to M.J.J.</t>
  </si>
  <si>
    <t>0033-3158</t>
  </si>
  <si>
    <t>1432-2072</t>
  </si>
  <si>
    <t>Psychopharmacology</t>
  </si>
  <si>
    <t>10.1007/s00213-023-06468-7</t>
  </si>
  <si>
    <t>Neurosciences; Pharmacology &amp; Pharmacy; Psychiatry</t>
  </si>
  <si>
    <t>Neurosciences &amp; Neurology; Pharmacology &amp; Pharmacy; Psychiatry</t>
  </si>
  <si>
    <t>S3NW8</t>
  </si>
  <si>
    <t>WOS:001070280000001</t>
  </si>
  <si>
    <t>Kamil, S; Mohsen, S</t>
  </si>
  <si>
    <t>Kamil, Sara; Mohsen, Samer</t>
  </si>
  <si>
    <t>Diode Laser for Juvenile Recurrent Respiratory Papillomatosis: A Case Series of 13 Patients</t>
  </si>
  <si>
    <t>INDIAN JOURNAL OF OTOLARYNGOLOGY AND HEAD &amp; NECK SURGERY</t>
  </si>
  <si>
    <t>Juvenile recurrent respiratory papillomatosis; Diode laser; HPV</t>
  </si>
  <si>
    <t>SURGERY</t>
  </si>
  <si>
    <t>Juvenile recurrent respiratory papillomatosis (JRRP) is the most common benign tumor in the larynx. It is uncommon; however, it is potentially life-threatening because it compromises the respiratory tract and required several surgeries to manage recurrences. Currently, the carbon dioxide laser is the treatment of choice. There are no studies about the role of the diode laser which is easy to use and has lower usage cost. This case series presentation reported on the therapeutic effects and recurrence rate of JRRP when using Diode laser. This is a case series presentation of 13 children, who were diagnosed with JRRP and operated for laryngeal papillomatosis with Diode laser in Otorhinolaryngology and Head and Nick Surgery Department et al. Mouwasat Hospital, Damascus, Syria between 2015 and 2022. 13 children required 56 surgeries at a rate of 1-2 surgeries/year, mean number of surgeries for each child was 4.31. That suggests that Diode laser might have a role in reducing the number of surgeries compared to a study used cold instrument and CO2 laser. The complications rate was 30.8%, which is considered a high rate compared to the other studies. In conclusion, we encourage using it when the CO2 laser device is not available. However, we suggest, reducing the power as low as possible and avoiding of two opposing raw surfaces, especially at the anterior commissure and deep excision. Further longitudinal studies are recommended to validate these results.</t>
  </si>
  <si>
    <t>[Kamil, Sara; Mohsen, Samer] Damascus Univ, Fac Med, Dept Otolaryngol, Damascus, Syria; [Mohsen, Samer] Damascus Univ, Fac Hlth Sci, Dept Audiol, Damascus, Syria</t>
  </si>
  <si>
    <t>Mohsen, S (corresponding author), Damascus Univ, Fac Med, Dept Otolaryngol, Damascus, Syria.;Mohsen, S (corresponding author), Damascus Univ, Fac Hlth Sci, Dept Audiol, Damascus, Syria.</t>
  </si>
  <si>
    <t>Sarakamil994@gmail.com; samer.mohsen1@damascusuniversity.edu.sy</t>
  </si>
  <si>
    <t>We thank all patients who participated in this research.</t>
  </si>
  <si>
    <t>2231-3796</t>
  </si>
  <si>
    <t>0973-7707</t>
  </si>
  <si>
    <t>INDIAN J OTOLARYNGOL</t>
  </si>
  <si>
    <t>Indian J. Otolaryngol. Head Neck Surg.</t>
  </si>
  <si>
    <t>10.1007/s12070-023-04205-2</t>
  </si>
  <si>
    <t>Surgery</t>
  </si>
  <si>
    <t>S8HB0</t>
  </si>
  <si>
    <t>WOS:001073511000001</t>
  </si>
  <si>
    <t>Lawaetz, M; Binderup, T; Christensen, A; Juhl, K; Lelkaitis, G; Lykke, E; Knudsen, L; von Buchwald, C; Kjaer, A</t>
  </si>
  <si>
    <t>Lawaetz, Mads; Binderup, Tina; Christensen, Anders; Juhl, Karina; Lelkaitis, Giedrius; Lykke, Eva; Knudsen, Line; von Buchwald, Christian; Kjaer, Andreas</t>
  </si>
  <si>
    <t>Urokinase-Type Plasminogen Activator Receptor (uPAR) Expression and [64Cu]Cu-DOTA-AE105 uPAR-PET/CT in Patient-Derived Xenograft Models of Oral Squamous Cell Carcinoma</t>
  </si>
  <si>
    <t>MOLECULAR IMAGING AND BIOLOGY</t>
  </si>
  <si>
    <t>Urokinase-type plasminogen activator receptor; Patient-derived xenograft models; PET/CT; Cu-64-DOTA-AE105; Oral squamous cell carcinoma</t>
  </si>
  <si>
    <t>RADIONUCLIDE THERAPY; TUMOR XENOGRAFTS; CANCER; NECK; HEAD; TRIAL; CU-64-DOTA-AE105; IDENTIFICATION; METASTASES; SURVIVAL</t>
  </si>
  <si>
    <t>Purpose [Cu-64]Cu-DOTA-AE105 urokinase-type plasminogen activator receptor (uPAR)-PET/CT is a novel and promising imaging modality for cancer visualization, although it has not been tested in head and neck cancer patients nor in preclinical models that closely resemble these heterogenous tumors, i.e., patient-derived xenograft (PDX) models. The aim of the present study was to establish and validate oral squamous cell carcinoma (OSCC) PDX models and to evaluate [Cu-64]Cu-uPAR-PET/CT for tumor imaging in these models.Procedures PDX flank tumor models were established by engrafting tumor tissue from three patients with locally advanced OSCC into immunodeficient mice. [Cu-64]Cu-DOTA-AE105 was injected in passage 2 (P2) mice, and [Cu-64]Cu-uPAR-PET/CT was performed 1 h and 24 h after injection. After the last PET scan, all animals were euthanized, and tumors dissected for autoradiography and immunohistochemical (IHC) staining.Results Three PDX models were established, and all of them showed histological stability and unchanged heterogenicity, uPAR expression, and Ki67 expression through passages. A significant correlation between uPAR expression and tumor growth was found. All tumors of all models (n=29) showed tumor uptake of [Cu-64]Cu-DOTA-AE105. There was a clear visual concordance between the distribution of uPAR expression (IHC) and [Cu-64]Cu-DOTA-AE105 uptake pattern in tumor tissue (autoradiography). No significant correlation was found between IHC (H-score) and PET-signal (SUVmax) (r=0.34; p=0.07).Conclusions OSCC PDX models in early passages histologically mimic donor tumors and could serve as a valuable platform for the development of uPAR-targeted imaging and therapeutic modalities. Furthermore, [64Cu]Cu-uPAR-PET/CT showed target- and tumor-specific uptake in OSCC PDX models demonstrating the diagnostic potential of this modality for OSCC patients.</t>
  </si>
  <si>
    <t>[Lawaetz, Mads; Christensen, Anders; Lykke, Eva; von Buchwald, Christian] Copenhagen Univ Hosp, Dept Otolaryngol Head &amp; Neck Surg &amp; Audiol, Rigshosp, Copenhagen, Denmark; [Lawaetz, Mads; Binderup, Tina; Christensen, Anders; Juhl, Karina; Knudsen, Line; Kjaer, Andreas] Univ Copenhagen, Copenhagen Univ Hosp, Dept Clin Physiol, Nucl Med,Rigshosp, Copenhagen, Denmark; [Lawaetz, Mads; Binderup, Tina; Christensen, Anders; Juhl, Karina; Knudsen, Line; Kjaer, Andreas] Univ Copenhagen, Copenhagen Univ Hosp, PET &amp; Cluster Mol Imaging, Rigshosp, Copenhagen, Denmark; [Lawaetz, Mads; Binderup, Tina; Christensen, Anders; Juhl, Karina; Knudsen, Line; Kjaer, Andreas] Univ Copenhagen, Dept Biomed Sci, Copenhagen, Denmark; [Lelkaitis, Giedrius] Copenhagen Univ Hosp, Dept Pathol, Rigshosp, Copenhagen, Denmark</t>
  </si>
  <si>
    <t>University of Copenhagen; Rigshospitalet; Rigshospitalet; University of Copenhagen; University of Copenhagen; Rigshospitalet; University of Copenhagen; Rigshospitalet; University of Copenhagen</t>
  </si>
  <si>
    <t>Lawaetz, M (corresponding author), Copenhagen Univ Hosp, Dept Otolaryngol Head &amp; Neck Surg &amp; Audiol, Rigshosp, Copenhagen, Denmark.;Lawaetz, M (corresponding author), Univ Copenhagen, Copenhagen Univ Hosp, Dept Clin Physiol, Nucl Med,Rigshosp, Copenhagen, Denmark.;Lawaetz, M (corresponding author), Univ Copenhagen, Copenhagen Univ Hosp, PET &amp; Cluster Mol Imaging, Rigshosp, Copenhagen, Denmark.;Lawaetz, M (corresponding author), Univ Copenhagen, Dept Biomed Sci, Copenhagen, Denmark.</t>
  </si>
  <si>
    <t>madslawaetz@gmail.com</t>
  </si>
  <si>
    <t>Kjaer, Andreas/E-8932-2015</t>
  </si>
  <si>
    <t>Kjaer, Andreas/0000-0002-2706-5547</t>
  </si>
  <si>
    <t>Royal Library; Copenhagen University Library</t>
  </si>
  <si>
    <t>Open access funding provided by Royal Library, Copenhagen University Library</t>
  </si>
  <si>
    <t>1536-1632</t>
  </si>
  <si>
    <t>1860-2002</t>
  </si>
  <si>
    <t>MOL IMAGING BIOL</t>
  </si>
  <si>
    <t>Mol. Imaging. Biol.</t>
  </si>
  <si>
    <t>10.1007/s11307-023-01858-x</t>
  </si>
  <si>
    <t>Radiology, Nuclear Medicine &amp; Medical Imaging</t>
  </si>
  <si>
    <t>S8HD9</t>
  </si>
  <si>
    <t>WOS:001073514000001</t>
  </si>
  <si>
    <t>Mohanapriya, V; Sharmila, B</t>
  </si>
  <si>
    <t>Mohanapriya, V.; Sharmila, B.</t>
  </si>
  <si>
    <t>Optimum PV reconfiguration approach based on SOA for improving the harvest power under PS situations</t>
  </si>
  <si>
    <t>Photovoltaic system; Reconfiguration; Seagull optimization algorithm; Partial shading conditions; Global maximum power</t>
  </si>
  <si>
    <t>ARRAY RECONFIGURATION; MAXIMUM POWER; PHOTOVOLTAIC ARRAY; OPTIMIZATION ALGORITHM; SYSTEM; ENHANCEMENT; EXTRACTION; SCHEME</t>
  </si>
  <si>
    <t>Photovoltaic (PV) systems-based harvest energy becomes huge support for the electric grids in recent days and also becomes the sustainable replacement for conventional energy sources. But the efficacy of PV-based electricity is degraded due to the effect of partial shading conditions. The reconfiguration technique is one effective strategy to diminish the impact of shadow on the photovoltaic (PV) array. This entails rearranging the PV array's switching matrix by the temperature and shading levels. A Seagull Optimization Algorithm (SOA) is proposed in this work to identify the optimal pattern for rearranging the matrix and optimising power output from the PV array. A 9 x 9 PV array operating under four common shadow patterns-Short Wide (SW), Long Wide (LW), Short Narrow (SN), and Long Narrow (LN)-is subjected to the algorithm. Mismatch power, fill factor, percentage power loss, and percentage power enhancement are used to assess the algorithm's effectiveness. Comparisons are made between the results from the proposed SOA and those from the Total-Cross-Tied (TCT), Competence Square, Butterfly Optimisation Algorithm, and Harris Hawks Optimization. The highest increase in Global Maximum Power has been attained by the proposed SOA corresponding to the TCT array is 36% and 30% in the SW and LW shadow arrangement, while the least increase of 7% occurs in the SN and LN arrangements. The evaluated results show the proposed SOA's competence and effective in optimising the shaded array reconfiguration.</t>
  </si>
  <si>
    <t>[Mohanapriya, V.] Bannari Amman Inst Technol, Dept EEE, Erode, Tamil Nadu, India; [Sharmila, B.] Sri Ramakrishna Engn Coll, Dept EIE, Coimbatore, Tamil Nadu, India</t>
  </si>
  <si>
    <t>Bannari Amman Institute of Technology; Sri Ramakrishna Engineering College</t>
  </si>
  <si>
    <t>Mohanapriya, V (corresponding author), Bannari Amman Inst Technol, Dept EEE, Erode, Tamil Nadu, India.</t>
  </si>
  <si>
    <t>mohanapriya.achu@gmail.com</t>
  </si>
  <si>
    <t>10.1007/s00202-023-02006</t>
  </si>
  <si>
    <t>S4AF4</t>
  </si>
  <si>
    <t>WOS:001070604400002</t>
  </si>
  <si>
    <t>Radcliffe, E; Servin, R; Cox, N; Lim, S; Tan, QY; Howard, C; Sheikh, C; Rutter, P; Latter, S; Lown, M; Brad, L; Fraser, SDS; Bradbury, K; Roberts, HC; Saucedo, AR; Ibrahim, K</t>
  </si>
  <si>
    <t>Radcliffe, Eloise; Servin, Renee; Cox, Natalie; Lim, Stephen; Tan, Qian Yue; Howard, Clare; Sheikh, Claire; Rutter, Paul; Latter, Sue; Lown, Mark; Brad, Lawrence; Fraser, Simon D. S.; Bradbury, Katherine; Roberts, Helen C.; Saucedo, Alejandra Recio; Ibrahim, Kinda</t>
  </si>
  <si>
    <t>What makes a multidisciplinary medication review and deprescribing intervention for older people work well in primary care? A realist review and synthesis</t>
  </si>
  <si>
    <t>BMC GERIATRICS</t>
  </si>
  <si>
    <t>Medicines optimisation; Deprescribing; Polypharmacy; Older people; Primary care; Multidisciplinary team; Realist review</t>
  </si>
  <si>
    <t>RANDOMIZED CONTROLLED-TRIAL; POLYPHARMACY; FRAMEWORK; HEALTH; PHARMACISTS; ADULTS</t>
  </si>
  <si>
    <t>BackgroundA third of older people take five or more regular medications (polypharmacy). Conducting medication reviews in primary care is key to identify and reduce/ stop inappropriate medications (deprescribing). Recent recommendations for effective deprescribing include shared-decision making and a multidisciplinary approach. Our aim was to understand when, why, and how interventions for medication review and deprescribing in primary care involving multidisciplinary teams (MDTs) work (or do not work) for older people.MethodsA realist synthesis following the Realist And Meta-narrative Evidence Syntheses: Evolving Standards guidelines was completed. A scoping literature review informed the generation of an initial programme theory. Systematic searches of different databases were conducted, and documents screened for eligibility, with data extracted based on a Context, Mechanisms, Outcome (CMO) configuration to develop further our programme theory. Documents were appraised based on assessments of relevance and rigour. A Stakeholder consultation with 26 primary care health care professionals (HCPs), 10 patients and three informal carers was conducted to test and refine the programme theory. Data synthesis was underpinned by Normalisation Process Theory to identify key mechanisms to enhance the implementation of MDT medication review and deprescribing in primary care.FindingsA total of 2821 abstracts and 175 full-text documents were assessed for eligibility, with 28 included. Analysis of documents alongside stakeholder consultation outlined 33 CMO configurations categorised under four themes: 1) HCPs roles, responsibilities and relationships; 2) HCPs training and education; 3) the format and process of the medication review 4) involvement and education of patients and informal carers. A number of key mechanisms were identified including clearly defined roles and good communication between MDT members, integration of pharmacists in the team, simulation-based training or team building training, targeting high-risk patients, using deprescribing tools and drawing on expertise of other HCPs (e.g., nurses and frailty practitioners), involving patents and carers in the process, starting with 'quick wins', offering deprescribing as 'drug holidays', and ensuring appropriate and tailored follow-up plans that allow continuity of care and management.ConclusionWe identified key mechanisms that could inform the design of future interventions and services that successfully embed deprescribing in primary care.</t>
  </si>
  <si>
    <t>[Radcliffe, Eloise; Lown, Mark; Fraser, Simon D. S.; Ibrahim, Kinda] Univ Southampton, Sch Primary Care Populat Sci &amp; Med Educ, Aldermoor Hlth Ctr, Fac Med, Aldermoor Close, Southampton SO16 5ST, England; [Radcliffe, Eloise; Lim, Stephen; Tan, Qian Yue; Bradbury, Katherine; Roberts, Helen C.; Ibrahim, Kinda] Univ Southampton, NIHR Appl Res Collaborat ARC Wessex, Southampton, England; [Servin, Renee] Imperial Coll London, Fac Med, South Kensington Campus, London, England; [Cox, Natalie; Lim, Stephen; Tan, Qian Yue; Roberts, Helen C.; Ibrahim, Kinda] Univ Southampton, Fac Med, Acad Geriatr Med, Southampton, England; [Howard, Clare] Wessex Acad Hlth Sci Network, Sci Pk, Southampton, England; [Sheikh, Claire] Hampshire &amp; Isle Wight Integrated Care Board, Southampton, England; [Rutter, Paul] Univ Portsmouth, Sch Pharm &amp; Biomed Sci, Portsmouth, England; [Latter, Sue] Univ Southampton, Sch Hlth Sci, Southampton, England; [Brad, Lawrence] Westbourne Med Ctr, Bournemouth, England; [Fraser, Simon D. S.; Roberts, Helen C.] Univ Hosp Southampton NHS Fdn Trust, NIHR Southampton Biomed Res Ctr, Southampton, England; [Bradbury, Katherine] Univ Southampton, Sch Psychol, Southampton, England; [Saucedo, Alejandra Recio] Univ Southampton, Sch Healthcare Enterprise &amp; Innovat, Natl Inst Hlth Res Evaluat, Trials &amp; Studies Coordinating Ctr, Southampton, England</t>
  </si>
  <si>
    <t>University of Southampton; University of Southampton; Imperial College London; University of Southampton; University of Portsmouth; University of Southampton; University of Southampton; University Hospital Southampton NHS Foundation Trust; University of Southampton; University of Southampton</t>
  </si>
  <si>
    <t>Radcliffe, E (corresponding author), Univ Southampton, Sch Primary Care Populat Sci &amp; Med Educ, Aldermoor Hlth Ctr, Fac Med, Aldermoor Close, Southampton SO16 5ST, England.;Radcliffe, E (corresponding author), Univ Southampton, NIHR Appl Res Collaborat ARC Wessex, Southampton, England.</t>
  </si>
  <si>
    <t>e.radcliffe@soton.ac.uk</t>
  </si>
  <si>
    <t>Rutter, Paul/0000-0003-4106-1515</t>
  </si>
  <si>
    <t>We would like to thank all of the patients, carers and health care professionals who participated in the realist stakeholder consultations.</t>
  </si>
  <si>
    <t>1471-2318</t>
  </si>
  <si>
    <t>BMC GERIATR</t>
  </si>
  <si>
    <t>BMC Geriatr.</t>
  </si>
  <si>
    <t>SEP 25</t>
  </si>
  <si>
    <t>10.1186/s12877-023-04256-8</t>
  </si>
  <si>
    <t>Geriatrics &amp; Gerontology; Gerontology</t>
  </si>
  <si>
    <t>Science Citation Index Expanded (SCI-EXPANDED); Social Science Citation Index (SSCI)</t>
  </si>
  <si>
    <t>S4FM0</t>
  </si>
  <si>
    <t>WOS:001070741700002</t>
  </si>
  <si>
    <t>Zhao, P; Peng, C; Chang, X; Cheng, W; Yang, YH; Shen, Y; Sun, C; Feng, XY; Liu, CP; Wu, J</t>
  </si>
  <si>
    <t>Zhao, Ping; Peng, Cheng; Chang, Xin; Cheng, Wei; Yang, Yanhong; Shen, Yu; Sun, Chao; Feng, Xiuyuan; Liu, Cuiping; Wu, Jian</t>
  </si>
  <si>
    <t>Decreased expression of TIGIT on CD14?+?monocytes correlates with clinical features and laboratory parameters of patients with primary Sj &amp; ouml;gren's syndrome</t>
  </si>
  <si>
    <t>CLINICAL RHEUMATOLOGY</t>
  </si>
  <si>
    <t>Disease activity; Monocytes; Primary Sjogren's syndrome; TIGIT</t>
  </si>
  <si>
    <t>DISEASE-ACTIVITY; T-CELLS; LUPUS</t>
  </si>
  <si>
    <t>ObjectivesThe purpose of this study was to investigate the expression of T-cell immunoglobulin and ITIM domain (TIGIT) in peripheral circulation of primary Sjogren's syndrome (pSS) and its role in the development of pSS.MethodsThe expression of TIGIT on T cells, B cells, natural killer (NK) cells, and CD14 + monocytes was detected by flow cytometry in pSS and healthy control (HC). The correlations between expression of TIGIT and clinical features and laboratory parameters of pSS were analyzed. Meanwhile, we analyzed the change in expression of TIGIT before and after treatment, and its role in the prognosis of pSS treatment was evaluated.ResultsThe expression of TIGIT on CD3 + , CD4 + , and CD8 + T cells increased and decreased on CD14 + monocytes in pSS compared to HC; however, there was no significance of B lymphocytes and NK cells. The correlation analysis between the expression of TIGIT on T lymphocytes and CD14 + monocytes and clinical features of pSS showed that the decrease in TIGIT expression on CD14 + monocytes was more closely related to pSS. The expression of TIGIT + CD14 + monocytes negatively correlated with the disease activity of pSS. The expression of TIGIT + CD14 + monocytes of pSS with arthralgia, fatigue, decayed tooth, xerostomia, interstitial lung disease, anti-Ro52 positive, and high IgG decreased compared to that in negative patients. Furthermore, it was significantly lower in active patients than in nonactive patients. After treatment, the expression of TIGIT + CD14 + monocytes tended to increase.ConclusionOur study suggested that decreased TIGIT expression on CD14 + monocytes was associated with the clinical manifestations, disease activity, and prognosis of pSS patients. TIGIT + CD14 + monocytes may present as a potential target and a biomarker of the prognosis for immunomodulatory therapy in pSS.Key Points &amp; BULL; The expression of TIGIT+CD14+ monocytes significantly decreased in pSS patients compared to HC.&amp; BULL; There was a negative correlation between TIGIT+CD14+ monocytes and the disease activity of pSS.&amp; BULL; TIGIT+CD14+ monocyte expression was associated with the clinical manifestations, autoantibodies, IgG, and prognosis of pSS patients.</t>
  </si>
  <si>
    <t>[Zhao, Ping; Peng, Cheng; Chang, Xin; Feng, Xiuyuan; Wu, Jian] Soochow Univ, Dept Rheumatol, Affiliated Hosp 1, 188 Shizi St, Suzhou 215006, Jiangsu, Peoples R China; [Zhao, Ping; Sun, Chao] Bengbu Med Coll, Dept Rheumatol &amp; Clin Immunol, Affiliated Hosp 1, Bengbu, Peoples R China; [Chang, Xin; Shen, Yu; Liu, Cuiping] Soochow Univ, Affiliated Hosp 1, Jiangsu Inst Clin Immunol, Suzhou, Jiangsu, Peoples R China; [Chang, Xin; Shen, Yu; Liu, Cuiping] Soochow Univ, Jiangsu Key Lab Clin Immunol, Affiliated Hosp 1, Suzhou, Peoples R China; [Cheng, Wei] Xuzhou Med Univ, Dept Dermatol, Affiliated Changshu Hosp, Suzhou, Peoples R China; [Yang, Yanhong] Soochow Univ, Dept Obstet &amp; Gynecol, Affiliated Hosp 2, Suzhou, Peoples R China</t>
  </si>
  <si>
    <t>Soochow University - China; Bengbu Medical College; Soochow University - China; Soochow University - China; Xuzhou Medical University; Soochow University - China</t>
  </si>
  <si>
    <t>Wu, J (corresponding author), Soochow Univ, Dept Rheumatol, Affiliated Hosp 1, 188 Shizi St, Suzhou 215006, Jiangsu, Peoples R China.;Liu, CP (corresponding author), Soochow Univ, Affiliated Hosp 1, Jiangsu Inst Clin Immunol, Suzhou, Jiangsu, Peoples R China.;Liu, CP (corresponding author), Soochow Univ, Jiangsu Key Lab Clin Immunol, Affiliated Hosp 1, Suzhou, Peoples R China.</t>
  </si>
  <si>
    <t>414366791@qq.com; terminihg@163.com; xinchang@suda.edu.cn; 634790535@qq.com; yang18806298619@126.com; 262231845@qq.com; 332126369@qq.com; fengxiuyuan2009@163.com; liucuiping1980@126.com; wujian001@suda.edu.cn</t>
  </si>
  <si>
    <t>We sincerely thank the platform provided by the Jiangsu Institute of Clinical Immunology and Jiangsu Key Laboratory of Clinical Immunology. We are grateful for the help provided by all departments of rheumatology in the First Affiliated Hospital of Soochow; Jiangsu Institute of Clinical Immunology and Jiangsu Key Laboratory of Clinical Immunology; departments of rheumatology in the First Affiliated Hospital of Soochow University</t>
  </si>
  <si>
    <t>We sincerely thank the platform provided by the Jiangsu Institute of Clinical Immunology and Jiangsu Key Laboratory of Clinical Immunology. We are grateful for the help provided by all departments of rheumatology in the First Affiliated Hospital of Soochow University.</t>
  </si>
  <si>
    <t>0770-3198</t>
  </si>
  <si>
    <t>1434-9949</t>
  </si>
  <si>
    <t>CLIN RHEUMATOL</t>
  </si>
  <si>
    <t>Clin. Rheumatol.</t>
  </si>
  <si>
    <t>10.1007/s10067-023-06759-6</t>
  </si>
  <si>
    <t>Rheumatology</t>
  </si>
  <si>
    <t>S3NZ9</t>
  </si>
  <si>
    <t>WOS:001070283100001</t>
  </si>
  <si>
    <t>Butz, B; Alvarez, PG; Harbring, C</t>
  </si>
  <si>
    <t>Butz, Britta; Alvarez, Pablo Guillen; Harbring, Christine</t>
  </si>
  <si>
    <t>Incentives for cooperation in groups: sociality meets decision rights</t>
  </si>
  <si>
    <t>REVIEW OF MANAGERIAL SCIENCE</t>
  </si>
  <si>
    <t>Donations; Decision right; Public good game; Team incentives; Laboratory experiment; Charitable giving; C72; C92; D64; D70; J33; M52</t>
  </si>
  <si>
    <t>SELF-DETERMINATION THEORY; PUBLIC-GOODS; INTRINSIC MOTIVATION; IMPURE ALTRUISM; WARM-GLOW; RESPONSIBILITY; PRODUCTIVITY; DELEGATION; AUTHORITY; BENEFITS</t>
  </si>
  <si>
    <t>We investigate the effect of a donation incentive tied to contributions to a public good when group members can decide on the size of their donation. An up to 20% donation of the public good was implemented either exogenously or endogenously by group members. In the Vote treatment, groups could either decide in favor of or against a donation of 20% of the public good; in the Vote Share treatment, subjects could decide on a donation share of between 0 and 20%. Results show that a large percentage of the participants vote in favor of implementing a donation share in both treatments. In groups voting in favor of a 20% donation share or endogenously implementing a high donation share in the Vote Share treatment contributions to the public good are higher compared to an exogenously implemented donation share.</t>
  </si>
  <si>
    <t>[Butz, Britta; Harbring, Christine] Rhein Westfal TH Aachen, Templergraben 64, D-52062 Aachen, Germany; [Alvarez, Pablo Guillen] Univ Sydney, Camperdown, NSW 2050, Australia</t>
  </si>
  <si>
    <t>RWTH Aachen University; University of Sydney</t>
  </si>
  <si>
    <t>Harbring, C (corresponding author), Rhein Westfal TH Aachen, Templergraben 64, D-52062 Aachen, Germany.</t>
  </si>
  <si>
    <t>christine.harbring@org.rwth-aachen.de</t>
  </si>
  <si>
    <t>Open Access funding enabled and organized by Projekt DEAL</t>
  </si>
  <si>
    <t>1863-6683</t>
  </si>
  <si>
    <t>1863-6691</t>
  </si>
  <si>
    <t>REV MANAG SCI</t>
  </si>
  <si>
    <t>Rev. Manag. Sci.</t>
  </si>
  <si>
    <t>2023 SEP 24</t>
  </si>
  <si>
    <t>10.1007/s11846-023-00698</t>
  </si>
  <si>
    <t>Management</t>
  </si>
  <si>
    <t>S3ZS2</t>
  </si>
  <si>
    <t>WOS:001070591200001</t>
  </si>
  <si>
    <t>Shree, S; Zhou, C; Barati, M</t>
  </si>
  <si>
    <t>Shree, Shreyshi; Zhou, Chen; Barati, Masoud</t>
  </si>
  <si>
    <t>Data protection in internet of medical things using blockchain and secret sharing method</t>
  </si>
  <si>
    <t>JOURNAL OF SUPERCOMPUTING</t>
  </si>
  <si>
    <t>Internet of medical things; Online healthcare systems; Data security; Secret sharing algorithm; Blockchain</t>
  </si>
  <si>
    <t>SECURITY</t>
  </si>
  <si>
    <t>The Internet of Medical Things (IoMT) amalgamates the Internet of Things (IoT) with medical devices, revolutionizing health care by providing cost-effective solutions and expediting patient treatments. The burgeoning use of IoMT has ushered in significant data security challenges, prompting investigations into blockchain and IPFS (InterPlanetary File System) solutions. However, many of these solutions lean heavily on key-based encryption, which is increasingly vulnerable to emerging cryptographic advancements, such as quantum computing. Moreover, certain solutions overlook the potential threat posed by resource-abundant attackers like corrupted cloud service providers, who could exploit IPFS nodes for unauthorized data access within an IPFS cluster. Thus, ensuring data confidentiality within the IoMT architecture is a pressing concern. To address these challenges, we propose an innovative architecture that combines blockchain and IPFS, bolstered by a secret sharing algorithm (SSA) for robust data protection. Our architecture leverages SSA to fragment data and securely stores these fragments on publicly accessible IPFS clusters. SSA's information-theoretic security guarantees data confidentiality, even when a portion of IPFS nodes is compromised and key-based encryption is circumvented. By integrating SSA, our architecture adeptly harnesses the decentralization and scalability advantages of public IPFS clusters. Moreover, the inclusion of a public blockchain within our architecture enhances transparency and trust throughout the data uploading and sharing processes. A prototype of our proposed architecture is implemented and tested within an IoMT-based monitoring scenario to investigate its feasibility, scalability, and performance.</t>
  </si>
  <si>
    <t>[Shree, Shreyshi] Newcastle Univ, Sch Comp, Newcastle Upon Tyne NE4 5TG, England; [Zhou, Chen; Barati, Masoud] Carleton Univ, Sch Informat Technol, Ottawa, ON K1S 5B6, Canada</t>
  </si>
  <si>
    <t>Newcastle University - UK; Carleton University</t>
  </si>
  <si>
    <t>Barati, M (corresponding author), Carleton Univ, Sch Informat Technol, Ottawa, ON K1S 5B6, Canada.</t>
  </si>
  <si>
    <t>s.shree2@newcastle.ac.uk; chenzhou4@cmail.carleton.ca; masoud.barati@carleton.ca</t>
  </si>
  <si>
    <t>0920-8542</t>
  </si>
  <si>
    <t>1573-0484</t>
  </si>
  <si>
    <t>J SUPERCOMPUT</t>
  </si>
  <si>
    <t>J. Supercomput.</t>
  </si>
  <si>
    <t>10.1007/s11227-023-05657-7</t>
  </si>
  <si>
    <t>Computer Science, Hardware &amp; Architecture; Computer Science, Theory &amp; Methods; Engineering, Electrical &amp; Electronic</t>
  </si>
  <si>
    <t>Computer Science; Engineering</t>
  </si>
  <si>
    <t>S4AC5</t>
  </si>
  <si>
    <t>WOS:001070601500002</t>
  </si>
  <si>
    <t>Thakur, KK; Lekurwale, R; Bansode, S; Pansare, R</t>
  </si>
  <si>
    <t>Thakur, Kavita Kumari; Lekurwale, Ramesh; Bansode, Sangita; Pansare, Rajesh</t>
  </si>
  <si>
    <t>3D Bioprinting: A Systematic Review for Future Research Direction</t>
  </si>
  <si>
    <t>INDIAN JOURNAL OF ORTHOPAEDICS</t>
  </si>
  <si>
    <t>3D bioprinting; Biomaterials; Bioink; Meta-analysis; Systematic literature review</t>
  </si>
  <si>
    <t>MESENCHYMAL STEM-CELLS; SCAFFOLDS; TISSUES; DESIGN</t>
  </si>
  <si>
    <t>Purpose3D bioprinting is capable of rapidly producing small-scale human-based tissue models, or organoids, for pathology modeling, diagnostics, and drug development. With the use of 3D bioprinting technology, 3D functional complex tissue can be created by combining biocompatible materials, cells, and growth factor. In today's world, 3D bioprinting may be the best solution for meeting the demand for organ transplantation. It is essential to examine the existing literature with the objective to identify the future trend in terms of applicationof 3D bioprinting, different bioprinting techniques, and selected tissues by the researchers, it is very important to examine the existing literature. To find trends in 3D bioprinting research, this work conducted an systematic literature review of 3D bioprinting.MethodologyThis literature provides a thorough study and analysis of research articles on bioprinting from 2000 to 2022 that were extracted from the Scopus database. The articles selected for analysis were classified according to the year of publication, articles and publishers, nation, authors who are working in bioprinting area, universities, biomaterial used, and targeted applications.FindingsThe top nations, universities, journals, publishers, and writers in this field were picked out after analyzing research publications on bioprinting. During this study, the research themes and research trends were also identified. Furthermore, it has been observed that there is a need for additional research in this domain for the development of bioink and their properties that can guide practitioners and researchers while selecting appropriate combinations of biomaterials to obtain bioink suitable for mimicking human tissue.Significance of the ResearchThis research includes research findings, recommendations, and observations for bioprinting researchers and practitioners. This article lists significant research gaps, future research directions, and potential application areas for bioprinting.NoveltyThe review conducted here is mainly focused on the process of collecting, organizing, capturing, evaluating, and analyzing data to give a deeper understanding of bioprinting and to identify potential future research trends.</t>
  </si>
  <si>
    <t>[Thakur, Kavita Kumari; Lekurwale, Ramesh; Bansode, Sangita; Pansare, Rajesh] Somaiya Vidyavihar Univ, KJ Somaiya Coll Engn, Dept Mech Engn, Mumbai 400077, Maharashtra, India</t>
  </si>
  <si>
    <t>Somaiya Vidyavihar University; K J Somaiya College of Engineering</t>
  </si>
  <si>
    <t>Thakur, KK (corresponding author), Somaiya Vidyavihar Univ, KJ Somaiya Coll Engn, Dept Mech Engn, Mumbai 400077, Maharashtra, India.</t>
  </si>
  <si>
    <t>kavitakumari.t@somaiya.edu; rameshlekurwale@somaiya.edu; sangeetabansode@somaiya.edu; rajeshpansare@somaiya.edu</t>
  </si>
  <si>
    <t>0019-5413</t>
  </si>
  <si>
    <t>1998-3727</t>
  </si>
  <si>
    <t>INDIAN J ORTHOP</t>
  </si>
  <si>
    <t>Indian J. Orthop.</t>
  </si>
  <si>
    <t>10.1007/s43465-023-01000-7</t>
  </si>
  <si>
    <t>Orthopedics</t>
  </si>
  <si>
    <t>S3ZN8</t>
  </si>
  <si>
    <t>WOS:001070586800001</t>
  </si>
  <si>
    <t>Chen, L; Xu, Y; Perfetti, C</t>
  </si>
  <si>
    <t>Chen, Lin; Xu, Yi; Perfetti, Charles</t>
  </si>
  <si>
    <t>A character-word dual function model of reading Chinese: evidence from reading Chinese compounds</t>
  </si>
  <si>
    <t>READING AND WRITING</t>
  </si>
  <si>
    <t>Chinese word; Character; Morpheme; Orthography; Meaning</t>
  </si>
  <si>
    <t>SEMANTIC TRANSPARENCY; TEXT INTEGRATION; RECOGNITION; ORTHOGRAPHY; ACQUISITION; ACTIVATION; ENGLISH</t>
  </si>
  <si>
    <t>There is a long-standing argument about whether words or character morphemes are the functional units in reading Chinese. We propose a Character-Word Dual Function (CWDF) model of reading Chinese in which both characters and words are functional units that contribute differentially to orthographic and meaning processes in reading Chinese. Two masked constituent priming experiments examined one of the model's predictions by testing orthographic and meaning priming effects in reading Chinese compounds. The meaning transparency of the prime (a constituent character) and the target (a compound word) was manipulated to distinguish meaning effects from orthographic effects. In transparent pairs, the prime and target were orthographically and semantically related (e.g., (sic)-(sic) [home-family]); in opaque pairs, the prime and target shared orthography only (e.g., (sic)-(sic)(sic) [home-guy]). Exposure durations of the prime were varied (50ms and 216ms) to allow orthographic and meaning priming, respectively. We manipulated word frequency to reflect the accessibility of word-level representations. The results are as follows: (1) Sharing character level orthography facilitated word reading for both high- and low-frequency words, supporting the assumption of an important role for the character level in orthographic processes. (2) The meaning priming effect was found with the longer exposure duration and only for low-frequency words. High-frequency words produced rapid access, which was not enhanced by the meaning priming of its constituent characters, suggesting that the word functions as the primary meaning provider in reading. These findings are congruent with the CWDF model, which posits that characters are the fundamental orthographic units of written Chinese and that words are primary meaning providers.</t>
  </si>
  <si>
    <t>[Chen, Lin; Perfetti, Charles] Univ Pittsburgh, Learning Res &amp; Dev Ctr, Murdoch Bldg,3420 Forbes Ave, Pittsburgh, PA 15260 USA; [Xu, Yi] Univ Pittsburgh, Dept East Asian Languages &amp; Literatures, Pittsburgh, PA USA</t>
  </si>
  <si>
    <t>Pennsylvania Commonwealth System of Higher Education (PCSHE); University of Pittsburgh; Pennsylvania Commonwealth System of Higher Education (PCSHE); University of Pittsburgh</t>
  </si>
  <si>
    <t>Chen, L (corresponding author), Univ Pittsburgh, Learning Res &amp; Dev Ctr, Murdoch Bldg,3420 Forbes Ave, Pittsburgh, PA 15260 USA.</t>
  </si>
  <si>
    <t>linc@pitt.edu</t>
  </si>
  <si>
    <t>0922-4777</t>
  </si>
  <si>
    <t>1573-0905</t>
  </si>
  <si>
    <t>READ WRIT</t>
  </si>
  <si>
    <t>Read. Writ.</t>
  </si>
  <si>
    <t>2023 SEP 23</t>
  </si>
  <si>
    <t>10.1007/s11145-023-10478-4</t>
  </si>
  <si>
    <t>Education &amp; Educational Research; Psychology, Educational</t>
  </si>
  <si>
    <t>Education &amp; Educational Research; Psychology</t>
  </si>
  <si>
    <t>S3RO0</t>
  </si>
  <si>
    <t>WOS:001070376400001</t>
  </si>
  <si>
    <t>Kassem, R</t>
  </si>
  <si>
    <t>Kassem, Rasha</t>
  </si>
  <si>
    <t>External auditors' use and perceptions of fraud factors in assessing fraudulent financial reporting risk (FFRR): Implications for audit policy and practice</t>
  </si>
  <si>
    <t>SECURITY JOURNAL</t>
  </si>
  <si>
    <t>Agency theory; Accountability; External auditors; Fraud; Fraudulent financial reporting; Fraud risk assessment</t>
  </si>
  <si>
    <t>MODEL; FIRM</t>
  </si>
  <si>
    <t>This study used semi-structured interviews with twenty-four external auditors to explore how they perceive and use fraud factors when assessing fraudulent financial reporting risk in external audits. The fraud factors include top management's motive, integrity, opportunity, rationalisation, and capabilities. The participants work for Big four audit firms and have international auditing experience, specifically in the US, the UK, Egypt, the UAE, Qatar, Bahrain, and Saudi Arabia. The findings reveal that top management's integrity and motives are, in theory, the most critical factors in fraud risk assessment. However, a self-selection bias pushes external auditors not to evaluate these essential factors because they are too complicated to assess, and not enough guidance is provided to them by standard setters or audit firms. In turn, external auditors concentrate mainly on evaluating the opportunities to commit fraud when assessing fraud risk. This may lead to non-optimal fraud risk assessment and, ultimately, non-optimal audit quality. The findings have implications for policy, practice, and future research, later discussed.</t>
  </si>
  <si>
    <t>[Kassem, Rasha] Aston Univ, Birmingham, England</t>
  </si>
  <si>
    <t>Aston University</t>
  </si>
  <si>
    <t>Kassem, R (corresponding author), Aston Univ, Birmingham, England.</t>
  </si>
  <si>
    <t>r.kassem@aston.ac.uk</t>
  </si>
  <si>
    <t>0955-1662</t>
  </si>
  <si>
    <t>1743-4645</t>
  </si>
  <si>
    <t>SECUR J</t>
  </si>
  <si>
    <t>Secur. J.</t>
  </si>
  <si>
    <t>10.1057/s41284-023-00399</t>
  </si>
  <si>
    <t>Criminology &amp; Penology</t>
  </si>
  <si>
    <t>S3RL3</t>
  </si>
  <si>
    <t>WOS:001070373600001</t>
  </si>
  <si>
    <t>Ullah, MI; Qadeer, M; Arshad, M; Khalid, S; Saleem, U; Riaz, MA; Mumtaz, A; Rizwan, M; Sayed, SM; Alhelaify, SS; Alharthy, OM; Mushtaq, M</t>
  </si>
  <si>
    <t>Ullah, Muhammad Irfan; Qadeer, Muqadas; Arshad, Muhammad; Khalid, Samina; Saleem, Usman; Riaz, Muhammad Asam; Mumtaz, Amina; Rizwan, Muhammad; Sayed, Samy M.; Alhelaify, Seham Sater; Alharthy, Ohoud Muslat; Mushtaq, Muntazir</t>
  </si>
  <si>
    <t>Insights into sublethal effects of Metarhizium anisopliae on the biotic potentials of Spodoptera frugiperda (J. E. Smith) (Lepidoptera: Noctuidae) on maize</t>
  </si>
  <si>
    <t>EGYPTIAN JOURNAL OF BIOLOGICAL PEST CONTROL</t>
  </si>
  <si>
    <t>Metarhizium anisopliae; Sublethal concentrations; Life table parameters; Fall armyworm; Reproduction; Survival</t>
  </si>
  <si>
    <t>INSECTICIDES; REPRODUCTION; STAGE</t>
  </si>
  <si>
    <t>Background Entomopathogenic fungi are an important biological agent in integrated pest management, playing a critical role in controlling insect populations. In the present study, the sublethal effects of the entomopathogenic fungus, Metarhizium anisopliae (Ascomycota: Hypocreales), were investigated on the biotic potential of Spodoptera frugiperda (J. E. Smith) (Lepidoptera: Noctuidae), which is a major pest of economically important crops.Results Obtained results revealed that exposure to LC50 concentration of M. anisopliae resulted in a significantly longer larval developmental time (3.25-6.45 days) than the control group (2.42-5.49 days). Similarly, pupal duration was longer in the LC50 treatment (8.24 days) than in the control (6.91 days). Adult longevity was also significantly reduced in the LC50 (9.64 days) and LC30 (10.49 days) treatments compared to the control group (11.7 days). The number of eggs laid by female S. frugiperda exposed to LC50 value of M. anisopliae during the immature stages was significantly lower (464.79 eggs) than that in the control groups (696.93 eggs). Furthermore, all population and age-stage-specific parameters were significantly affected by the sublethal exposure to M. anisopliae at LC30 and LC50 values.Conclusion These results suggest that sublethal exposure to M. anisopliae negatively impacts the life table parameters of S. frugiperda. However, the use of M. anisopliae at sublethal levels may have potential benefits for integrated pest management strategies seeking to reduce the use of chemicals.</t>
  </si>
  <si>
    <t>[Ullah, Muhammad Irfan; Qadeer, Muqadas; Arshad, Muhammad; Riaz, Muhammad Asam] Univ Sargodha, Dept Entomol, Sargodha 40100, Pakistan; [Khalid, Samina] COMSATS Univ Islamabad, Dept Environm Sci, Vehari Campus, Vehari, Pakistan; [Saleem, Usman] Univ Sargodha, Dept Plant Breeding &amp; Genet, Sargodha 40100, Pakistan; [Mumtaz, Amina] Univ Sargodha, Dept Chem, Sargodha 40100, Pakistan; [Rizwan, Muhammad] Beekeeping &amp; Hill Fruit Pests Res Stn, Rawalpindi 46300, Pakistan; [Sayed, Samy M.] Taif Univ, Univ Coll Ranyah, Dept Sci &amp; Technol, POB 11099, ,, Taif 21944, Saudi Arabia; [Alhelaify, Seham Sater; Alharthy, Ohoud Muslat] Taif Univ, Fac Sci, Dept Biotechnol, Box 11099, Taif 21944, Saudi Arabia; [Mushtaq, Muntazir] Shoolini Univ Biotechnol &amp; Management Sci, MS Swaminathan Sch Agr, Solan, Himachal Prades, India</t>
  </si>
  <si>
    <t>University of Sargodha; COMSATS University Islamabad (CUI); University of Sargodha; University of Sargodha; Taif University; Taif University; Shoolini University</t>
  </si>
  <si>
    <t>Sayed, SM (corresponding author), Taif Univ, Univ Coll Ranyah, Dept Sci &amp; Technol, POB 11099, ,, Taif 21944, Saudi Arabia.</t>
  </si>
  <si>
    <t>samy_mahmoud@hotmail.com</t>
  </si>
  <si>
    <t>1110-1768</t>
  </si>
  <si>
    <t>2536-9342</t>
  </si>
  <si>
    <t>EGYPT J BIOL PEST CO</t>
  </si>
  <si>
    <t>Egypt. J. Biol. Pest Control</t>
  </si>
  <si>
    <t>SEP 23</t>
  </si>
  <si>
    <t>10.1186/s41938-023-00741-9</t>
  </si>
  <si>
    <t>Entomology</t>
  </si>
  <si>
    <t>S4KH9</t>
  </si>
  <si>
    <t>WOS:001070868600001</t>
  </si>
  <si>
    <t>Berra, S; Bernaschini, ME; Mamondi, V; Rajmil, L</t>
  </si>
  <si>
    <t>Berra, Silvina; Bernaschini, Maria Eugenia; Mamondi, Veronica; Rajmil, Luis</t>
  </si>
  <si>
    <t>Gender differences in trajectories of health-related quality of life from childhood to adolescence in a 7-year follow-up study in a urban socially disadvantaged sample from Argentina</t>
  </si>
  <si>
    <t>QUALITY OF LIFE RESEARCH</t>
  </si>
  <si>
    <t>Adolescent health; Child health; Development; Health inequities; Health-related quality of life</t>
  </si>
  <si>
    <t>CHILDREN; SYSTEM</t>
  </si>
  <si>
    <t>PurposeThe transition from childhood to adolescence is a period of developmental changes, with social influences. Few previous studies have analyzed changes in health-related quality of life (HRQoL) during childhood and adolescence based on longitudinal studies in high-income countries. This study aimed to describe the evolution of HRQoL scores by gender in a school sample over a 7-year period in Argentina.MethodsProspective cohort of children attending fourth grade in public schools. HRQoL was measured using the KIDSCREEN-52 questionnaire. Trajectories of HRQoL were estimated for girls and boys through multilevel models, adjusted by socioeconomic status (SES).ResultsThe study began in 2014 with a sample of 494 school children, reaching an 85.6% response rate in 2016, 31.4% in 2018, and 41.9% in 2021. Most of the predicted scores are negatively associated with linear age or/and quadratic age, suggesting a decrease in scores over the 7-year follow-up. Interactions between gender and age denote an increase in the differences in scores between girls and boys over time in favor of the latter. For the Index, Physical Well-being, Psychological Well-being, Autonomy, Parent relations, Social support and peers and Financial resources, individuals with medium or high SES have significantly higher scores than those with low SES.ConclusionsHRQoL scores decrease during the transition period from childhood to adolescence, with girls showing the greatest decrease. There were also socioeconomic inequalities in the evolution of HRQoL in a context characterized by social segregation and economic crisis, possibly aggravated by the COVID-19 pandemic.</t>
  </si>
  <si>
    <t>[Berra, Silvina; Bernaschini, Maria Eugenia] Consejo Nacl Invest Cient &amp; Tecn, Ctr Invest &amp; Estudios Cultura &amp; Soc, Av Valparaiso S-N,Ciudad Univ, RA-5000 Cordoba, Argentina; [Berra, Silvina] Univ Nacl Cordoba, Escuela Salud Publ, Fac Ciencias Med, Cordoba, Argentina; [Bernaschini, Maria Eugenia] Univ Nacl Cordoba, Fac Matemat Astron Fis &amp; Comp, Cordoba, Argentina; [Mamondi, Veronica] Univ Nacl Cordoba, Escuela Nutr, Fac Ciencias Med, Cordoba, Argentina</t>
  </si>
  <si>
    <t>Consejo Nacional de Investigaciones Cientificas y Tecnicas (CONICET); National University of Cordoba; National University of Cordoba; National University of Cordoba</t>
  </si>
  <si>
    <t>Berra, S (corresponding author), Consejo Nacl Invest Cient &amp; Tecn, Ctr Invest &amp; Estudios Cultura &amp; Soc, Av Valparaiso S-N,Ciudad Univ, RA-5000 Cordoba, Argentina.;Berra, S (corresponding author), Univ Nacl Cordoba, Escuela Salud Publ, Fac Ciencias Med, Cordoba, Argentina.</t>
  </si>
  <si>
    <t>sberra@unc.edu.ar</t>
  </si>
  <si>
    <t>Ministry of Science, Technology and Innovation, through the Fund for Scientific and Technological Research (FONCYT) [411/2018]; National University of Cordoba, through grants of the Secretary of Science and Technology (SECYT) [301/18, 1565/2014, 313/2016]; [141/13]</t>
  </si>
  <si>
    <t>Ministry of Science, Technology and Innovation, through the Fund for Scientific and Technological Research (FONCYT); National University of Cordoba, through grants of the Secretary of Science and Technology (SECYT);</t>
  </si>
  <si>
    <t>This project has been supported by state funds since 2014, including those of Ministry of Science, Technology and Innovation, through the Fund for Scientific and Technological Research (FONCYT), grants 141/13 to PICT-2012-1173, and 301/18 to PICT -2017-1689; and the National University of Cordoba, through grants of the Secretary of Science and Technology (SECYT) 1565/2014, 313/2016, and 411/2018.</t>
  </si>
  <si>
    <t>0962-9343</t>
  </si>
  <si>
    <t>1573-2649</t>
  </si>
  <si>
    <t>QUAL LIFE RES</t>
  </si>
  <si>
    <t>Qual. Life Res.</t>
  </si>
  <si>
    <t>2023 SEP 22</t>
  </si>
  <si>
    <t>10.1007/s11136-023-03515</t>
  </si>
  <si>
    <t>Health Care Sciences &amp; Services; Health Policy &amp; Services; Public, Environmental &amp; Occupational Health</t>
  </si>
  <si>
    <t>Health Care Sciences &amp; Services; Public, Environmental &amp; Occupational Health</t>
  </si>
  <si>
    <t>S3BR8</t>
  </si>
  <si>
    <t>WOS:001069962100001</t>
  </si>
  <si>
    <t>Brine, TJ; Viswanathan, SB; Murphy, AM; Pate, AE; Wamonje, FO; Carr, JP</t>
  </si>
  <si>
    <t>Brine, Thomas J.; Viswanathan, Satish B.; Murphy, Alex M.; Pate, Adrienne E.; Wamonje, Francis O.; Carr, John P.</t>
  </si>
  <si>
    <t>Investigating the interactions of endornaviruses with each other and with other viruses in common bean, Phaseolus vulgaris</t>
  </si>
  <si>
    <t>VIROLOGY JOURNAL</t>
  </si>
  <si>
    <t>Persistent virus; Viral mutualism; Viral synergy; Viral cross-protection</t>
  </si>
  <si>
    <t>DOUBLE-STRANDED-RNA; MOSAIC-VIRUS; GENE-EXPRESSION; RESISTANCE; SEQUENCE; NECROSIS; RICE; EGG</t>
  </si>
  <si>
    <t>Background Plant viruses of the genus Alphaendornavirus are transmitted solely via seed and pollen and generally cause no apparent disease. It has been conjectured that certain plant endornaviruses may confer advantages on their hosts through improved performance (e.g., seed yield) or resilience to abiotic or biotic insult. We recently characterised nine common bean (Phaseolus vulgaris L.) varieties that harboured either Phaseolus vulgaris endornavirus (PvEV1) alone, or PvEV1 in combination with PvEV2 or PvEV1 in combination with PvEV2 and PvEV3. Here, we investigated the interactions of these endornaviruses with each other, and with three infectious pathogenic viruses: cucumber mosaic virus (CMV), bean common mosaic virus (BCMV), and bean common mosaic necrosis virus (BCMNV).Results In lines harbouring PvEV1, PvEV1 and PvEV2, or PvEV1, PvEV2 plus PvEV3, the levels of PvEV1 and PvEV3 RNA were very similar between lines, although there were variations in PvEV2 RNA accumulation. In plants inoculated with infectious viruses, CMV, BCMV and BCMNV levels varied between lines, but this was most likely due to host genotype differences rather than to the presence or absence of endornaviruses. We tested the effects of endornaviruses on seed production and seedborne transmission of infectious pathogenic viruses but found no consistent relationship between the presence of endornaviruses and seed yield or protection from seedborne transmission of infectious pathogenic viruses.Conclusions It was concluded that endornaviruses do not interfere with each other's accumulation. There appears to be no direct synergy or competition between infectious pathogenic viruses and endornaviruses, however, the effects of host genotype may obscure interactions between endornaviruses and infectious viruses. There is no consistent effect of endornaviruses on seed yield or susceptibility to seedborne transmission of other viruses.</t>
  </si>
  <si>
    <t>[Brine, Thomas J.; Viswanathan, Satish B.; Murphy, Alex M.; Pate, Adrienne E.; Wamonje, Francis O.; Carr, John P.] Univ Cambridge, Dept Plant Sci, Cambridge CB2 3EA, England; [Wamonje, Francis O.] Natl Inst Agr Bot, Pest &amp; Pathogen Ecol, E Malling ME19 6BJ, England</t>
  </si>
  <si>
    <t>University of Cambridge</t>
  </si>
  <si>
    <t>Carr, JP (corresponding author), Univ Cambridge, Dept Plant Sci, Cambridge CB2 3EA, England.</t>
  </si>
  <si>
    <t>jpc1005@cam.ac.uk</t>
  </si>
  <si>
    <t>Carr, John/H-5646-2016; Wamonje, Francis/G-9830-2017</t>
  </si>
  <si>
    <t>Carr, John/0000-0002-5028-2160; Wamonje, Francis/0000-0002-4111-7884</t>
  </si>
  <si>
    <t>We thank Dr Warren Arinaitwe (CIAT) and Dr David Karanja (KALRO, Kenya) for providing bean varieties and useful discussions. We also thank Dr J. Musembi Mutuku for insightful discussions.</t>
  </si>
  <si>
    <t>1743-422X</t>
  </si>
  <si>
    <t>VIROL J</t>
  </si>
  <si>
    <t>Virol. J.</t>
  </si>
  <si>
    <t>SEP 22</t>
  </si>
  <si>
    <t>10.1186/s12985-023-02184-y</t>
  </si>
  <si>
    <t>Virology</t>
  </si>
  <si>
    <t>S4MA4</t>
  </si>
  <si>
    <t>WOS:001070913100001</t>
  </si>
  <si>
    <t>Cristo-Andrade, S; Ferreira, JJ; Teixeira, A; Mcdowell, WC</t>
  </si>
  <si>
    <t>Cristo-Andrade, Silveli; Ferreira, Joao J.; Teixeira, Arilda; Mcdowell, William C.</t>
  </si>
  <si>
    <t>Knowledge spillovers in business intelligence organisations: a strategic entrepreneurship perspective</t>
  </si>
  <si>
    <t>INTERNATIONAL ENTREPRENEURSHIP AND MANAGEMENT JOURNAL</t>
  </si>
  <si>
    <t>Knowledge spillovers; Strategic Entrepreneurship; Knowledge; Knowledge flows; Organisational Dynamics; O33; M10</t>
  </si>
  <si>
    <t>INNOVATION; TECHNOLOGY; GROWTH</t>
  </si>
  <si>
    <t>This study focuses on understanding the features that identify and characterise knowledge spillovers in Business Intelligence (BI) organisations from a strategic entrepreneurial perspective. Thus, we carried out exploratory qualitative research through recourse to case studies involving twenty professionals holding leadership roles in BI organisations. The results enable the identification of six dimensions that characterise knowledge spillovers in an organisational environment: Organisational dynamics, Internal flows, Maintenance and responsibility, Learning and training, Teams, and Critical points. This study sought to counter the gaps in understanding how knowledge flows within organisations and thereby provide a more detailed vision of interactions within BI organisational environments. We conclude that professionals are concerned over internal processes capable of maintaining, fostering and sharing the knowledge captured by the organisation and the importance of specific channels for such processes. In addition, preparing and training teams represent engaging professionals and promoting and disseminating the knowledge captured.</t>
  </si>
  <si>
    <t>[Cristo-Andrade, Silveli] Univ Beira Interior, Covilha, Portugal; [Cristo-Andrade, Silveli; Teixeira, Arilda] Fucape Business Sch, Vitoria, Brazil; [Ferreira, Joao J.] Univ Beira Interior, Covilha, Portugal; [Ferreira, Joao J.] NECE, Res Ctr Business Sci, Covilha, Portugal; [Mcdowell, William C.] Texas State Univ, San Marcos, TX 78666 USA</t>
  </si>
  <si>
    <t>Universidade da Beira Interior; FUCAPE Business School; Universidade da Beira Interior; Texas State University System; Texas State University San Marcos</t>
  </si>
  <si>
    <t>Mcdowell, WC (corresponding author), Texas State Univ, San Marcos, TX 78666 USA.</t>
  </si>
  <si>
    <t>silveli@fucape.br; jjmf@ubi.pt; arilda@fucape.br; billmcdowell@txstate.edu</t>
  </si>
  <si>
    <t>FCT - Fundacao para a Ciencia e a Tecnologia, I. P. [UIDB/04630/2020]</t>
  </si>
  <si>
    <t>FCT - Fundacao para a Ciencia e a Tecnologia, I. P.(Fundacao para a Ciencia e a Tecnologia (FCT))</t>
  </si>
  <si>
    <t>This work is financed by national funds through FCT - Fundacao para a Ciencia e a Tecnologia, I. P., under the project UIDB/04630/2020.</t>
  </si>
  <si>
    <t>1554-7191</t>
  </si>
  <si>
    <t>1555-1938</t>
  </si>
  <si>
    <t>INT ENTREP MANAG J</t>
  </si>
  <si>
    <t>Int. Entrep. Manag. J.</t>
  </si>
  <si>
    <t>10.1007/s11365-023-00896-9</t>
  </si>
  <si>
    <t>S2VU4</t>
  </si>
  <si>
    <t>WOS:001069807400001</t>
  </si>
  <si>
    <t>Grassi, L; Recchiuto, CT; Sgorbissa, A</t>
  </si>
  <si>
    <t>Grassi, Lucrezia; Recchiuto, Carmine Tommaso; Sgorbissa, Antonio</t>
  </si>
  <si>
    <t>Sustainable cloud services for verbal interaction with embodied agents</t>
  </si>
  <si>
    <t>INTELLIGENT SERVICE ROBOTICS</t>
  </si>
  <si>
    <t>Social human-robot interaction; Robot companions; Human-centred robotics; Cloud robotics</t>
  </si>
  <si>
    <t>HUMAN-ROBOT INTERACTION</t>
  </si>
  <si>
    <t>This article presents the design and the implementation of a cloud system for knowledge-based autonomous interaction devised for Social Robots and other conversational agents. The system is particularly convenient for low-cost robots and devices: it can be used as a stand-alone dialogue system or as an integration to provide background dialogue capabilities to any preexisting natural language understanding ability that the robot may already have as part of its basic skills. By connecting to the cloud, developers are provided with a sustainable solution to manage verbal interaction through a network connection, with about 3000 topics of conversation ready for chit-chatting and a library of pre-cooked plans that only needs to be grounded into the robot's physical capabilities. The system is structured as a set of REST API endpoints so that it can be easily expanded by adding new APIs to improve the capabilities of the clients connected to the cloud. Another key feature of the system is that it has been designed to make the development of its clients straightforward: in this way, multiple robots and devices can be easily endowed with the capability of autonomously interacting with the user, understanding when to perform specific actions, and exploiting all the information provided by cloud services. The article outlines and discusses the results of the experiments performed to assess the system's performance in terms of response time, paving the way for its use both for research and market solutions. Links to repositories with clients for ROS and popular robots such as Pepper and NAO are provided.</t>
  </si>
  <si>
    <t>[Grassi, Lucrezia; Recchiuto, Carmine Tommaso; Sgorbissa, Antonio] Univ Genoa, Dept Comp Sci Bioengn Robot &amp; Syst Engn, Via AllOpera Pia 13, I-16145 Genoa, Italy</t>
  </si>
  <si>
    <t>University of Genoa</t>
  </si>
  <si>
    <t>Grassi, L (corresponding author), Univ Genoa, Dept Comp Sci Bioengn Robot &amp; Syst Engn, Via AllOpera Pia 13, I-16145 Genoa, Italy.</t>
  </si>
  <si>
    <t>lucrezia.grassi@edu.unige.it; carmine.recchiuto@dibris.unige.it; antonio.sgorbissa@unige.it</t>
  </si>
  <si>
    <t>1861-2776</t>
  </si>
  <si>
    <t>1861-2784</t>
  </si>
  <si>
    <t>INTEL SERV ROBOT</t>
  </si>
  <si>
    <t>Intell. Serv. Robot.</t>
  </si>
  <si>
    <t>10.1007/s11370-023-00485-3</t>
  </si>
  <si>
    <t>Robotics</t>
  </si>
  <si>
    <t>S3BB9</t>
  </si>
  <si>
    <t>WOS:001069946200001</t>
  </si>
  <si>
    <t>Klein, V; Kosman, E; Kahalon, R</t>
  </si>
  <si>
    <t>Klein, Verena; Kosman, Eden; Kahalon, Rotem</t>
  </si>
  <si>
    <t>Devaluation of Women's Sexual Pleasure: Role of Relationship Context and Endorsement of the Madonna-Whore Dichotomy</t>
  </si>
  <si>
    <t>SEX ROLES</t>
  </si>
  <si>
    <t>Madonna-whore-dichotomy; Sexual pleasure; Gender inequality; Orgasm gap; Orgasm; Sexism; Relationship context</t>
  </si>
  <si>
    <t>UNITED-STATES; ORGASM; EXPERIENCES; REGRESSION; POWER</t>
  </si>
  <si>
    <t>In two pre-registered experiments with German samples, we tested the role of endorsement of the Madonna-whore-dichotomy and the relationship context (sex in a committed relationship vs. casual sex) in the devaluation of women's sexual pleasure. Using the context of dating apps in Study 1, men who reported higher endorsement of the Madonna-whore-dichotomy believed that other men would be less interested in fulfilling a woman's sexual desires, show her less respect, and be less likely to wear a condom independent of relationship context (i.e., casual hookup dating app vs. a dating app for a serious relationship). In Study 2, men who reported higher endorsement of the Madonna-whore-dichotomy rated their partner as less entitled to sexual pleasure than men lower on Madonna-whore dichotomy endorsement. In addition, women who reported higher endorsement of the Madonna-whore dichotomy devalued their own pleasure by rating their partner as more entitled to sexual pleasure than themselves, compared to those lower on the Madonna-whore dichotomy. Although relationship context and Madonna-whore dichotomy endorsement did not interact, they were both found to negatively predict women's sexual pleasure. These results provide further support for the potential costs of enacting traditional, patriarchal gender roles for women's experiences of sexual pleasure and safety.</t>
  </si>
  <si>
    <t>[Klein, Verena] Univ Southampton, Sch Hlth Sci, Southampton, England; [Kosman, Eden] Univ Cologne, Dept Psychol, Cologne, Germany; [Kahalon, Rotem] Bar Ilan Univ, Azrieli Fac Med, 8 Henrietta Szold St, IL-1311502 Safed, Israel</t>
  </si>
  <si>
    <t>University of Southampton; University of Cologne; Bar Ilan University</t>
  </si>
  <si>
    <t>Kahalon, R (corresponding author), Bar Ilan Univ, Azrieli Fac Med, 8 Henrietta Szold St, IL-1311502 Safed, Israel.</t>
  </si>
  <si>
    <t>v.klein@soton.ac.uk; edenkosman@gmail.com; rotem.kahalon@biu.ac.il</t>
  </si>
  <si>
    <t>European Union's Horizon 2020 research and innovation program under the Marie Sklodowska-Curie grant; [845508]</t>
  </si>
  <si>
    <t>European Union's Horizon 2020 research and innovation program under the Marie Sklodowska-Curie grant(Marie Curie ActionsHorizon 2020);</t>
  </si>
  <si>
    <t>This project has received funding from the European Union's Horizon 2020 research and innovation program under the Marie Sklodowska-Curie grant agreement No. 845508 awarded to Verena Klein</t>
  </si>
  <si>
    <t>0360-0025</t>
  </si>
  <si>
    <t>1573-2762</t>
  </si>
  <si>
    <t>Sex Roles</t>
  </si>
  <si>
    <t>10.1007/s11199-023-01424-3</t>
  </si>
  <si>
    <t>Psychology, Developmental; Psychology, Social; Women's Studies</t>
  </si>
  <si>
    <t>Psychology; Women's Studies</t>
  </si>
  <si>
    <t>S3CG2</t>
  </si>
  <si>
    <t>WOS:001069976500001</t>
  </si>
  <si>
    <t>Schmitt, M; Heck, L; Maes, J</t>
  </si>
  <si>
    <t>Schmitt, Manfred; Heck, Lena; Maes, Juergen</t>
  </si>
  <si>
    <t>Experimental and Longitudinal Investigations of the Causal Relationship Between Belief in a Just World and Subjective Well-Being</t>
  </si>
  <si>
    <t>SOCIAL JUSTICE RESEARCH</t>
  </si>
  <si>
    <t>Personal belief in a just world; General belief in a just world; Subjective well-being; Life satisfaction; Reciprocal causality</t>
  </si>
  <si>
    <t>RELATIVE DEPRIVATION; SELF; PERSONALITY; JUSTICE; SATISFACTION; INFORMATION; CONTACT; LOOKING; MOOD</t>
  </si>
  <si>
    <t>Belief in a just world (BJW) has been assumed to promote subjective well-being. The results of cross-sectional studies have been consistent with this assumption but inconclusive about the causal origins of the correlations. Correia et al. (2009a) experimentally tested the original hypothesis (BJW causes subjective well-being) against the alternative hypothesis (subjective well-being causes BJW) and found support for both. Our Study 1 comprised four experiments that repeated and extended Correia et al. (2009a) experiments and fully replicated their findings. Study 2 reanalyzed a longitudinal data set regarding the interrelationships of several variants of BJW and subjective well-being. Cross-lagged panel analyses revealed very weak support for the original hypothesis and a little but not much more support for the alternative hypothesis. Taken together, the findings from both studies are consistent with Correia et al. (2009a) findings and suggest that the causal relationship between BJW and SWB is bidirectional in nature.</t>
  </si>
  <si>
    <t>[Schmitt, Manfred] Univ Kaiserslautern Landau, Kaiserslautern, Germany; [Heck, Lena] Univ Zurich, Zurich, Switzerland; [Maes, Juergen] Bundeswehr Univ Munich, Munich, Germany</t>
  </si>
  <si>
    <t>University of Zurich; Bundeswehr University Munich</t>
  </si>
  <si>
    <t>Schmitt, M (corresponding author), Univ Kaiserslautern Landau, Kaiserslautern, Germany.</t>
  </si>
  <si>
    <t>schmittm@uni-landau.de</t>
  </si>
  <si>
    <t>German Research Foundation [SCHM1092/1-1, SCHM1092/1-2]; [SCHM1092/1-3]</t>
  </si>
  <si>
    <t>German Research Foundation(German Research Foundation (DFG));</t>
  </si>
  <si>
    <t>This research was supported by grants from the German Research Foundation, No. SCHM1092/1-1, SCHM1092/1-2, SCHM1092/1-3. We thank Jane Zagorski for her help in editing the manuscript</t>
  </si>
  <si>
    <t>0885-7466</t>
  </si>
  <si>
    <t>1573-6725</t>
  </si>
  <si>
    <t>SOC JUSTICE RES</t>
  </si>
  <si>
    <t>Soc. Justice Res.</t>
  </si>
  <si>
    <t>10.1007/s11211-023-00427-5</t>
  </si>
  <si>
    <t>Psychology, Social; Sociology</t>
  </si>
  <si>
    <t>Psychology; Sociology</t>
  </si>
  <si>
    <t>S2VV7</t>
  </si>
  <si>
    <t>WOS:001069808700001</t>
  </si>
  <si>
    <t>Su, CJ; Lan, YF; Lorgnier, NGA; Liang, YK; Lebrun, AM; Luo, QJ; Belchior, MHCD; Pimentel, CEP</t>
  </si>
  <si>
    <t>Su, Che-Jen; Lan, Yi-Fang; Lorgnier, Nicolas G. A.; Liang, Yung-Kuei; Lebrun, Anne Marie; Luo, Qiuju; Belchior, Maria Helena Cavalcanti da Silva; Pimentel, Carlos Eduardo Pinto</t>
  </si>
  <si>
    <t>Adolescents' attempts at influence and self-reported errors in family vacation decisions: a cross-regional study</t>
  </si>
  <si>
    <t>SERVICE BUSINESS</t>
  </si>
  <si>
    <t>Adolescents' influence practices (AIPs); Crossvergence perspective; Family vacation decision-making (FVDM); Response bias; Societal-level values</t>
  </si>
  <si>
    <t>INFLUENCE STRATEGIES; NATIONAL CULTURE; IMPRESSION MANAGEMENT; MODERATING ROLE; SOCIAL AXIOMS; IMPACT; VALUES; DIMENSIONS; PERCEPTIONS; BELIEFS</t>
  </si>
  <si>
    <t>Extant studies rarely explore macro factors explaining cross-culture variations in adolescents' social influence in family decisions. This study focuses on adolescents' influence practices (AIPs) in terms of family and cultural values/regions across 25 countries, using data regarding vacation decisions from the Commonwealth Research Program. Our results show that communication culture and cultural region are both related to AIP clusters and AIP measurement error clusters. Furthermore, a country's culture/values and its level of socioeconomic/sociopolitical development have stronger correlations with the use of bargaining by female adolescents than by male adolescents. This study adds to relatively few crossvergence investigations in the tourism industry.</t>
  </si>
  <si>
    <t>[Su, Che-Jen] Fu Jen Catholic Univ, Dept Restaurant Hotel &amp; Inst Management, 510 Zhongzheng Rd, New Taipei City, Taiwan; [Lan, Yi-Fang] China Engn Consultants Inc, Rural Smart Mobil Ctr, Taipei City, Taiwan; [Lorgnier, Nicolas G. A.] Canisius Coll, Richard J Wehle Sch Business, Dept Sport Management, 2001 Main St, Buffalo, NY 14208 USA; [Liang, Yung-Kuei] Tatung Univ, Dept Business Management, Taipei City, Taiwan; [Lebrun, Anne Marie] Univ Bourgogne Franche Comte UBFC, Univ Burgundy, CREGO Lab, BP 27877, F-21078 Dijon 01, France; [Luo, Qiuju] Sun Yat Sen Univ, Sch Tourism Management, Guangzhou 510275, Guangdong, Peoples R China; [Belchior, Maria Helena Cavalcanti da Silva; Pimentel, Carlos Eduardo Pinto] Univ Fed Pernambuco, Dept Hospitality &amp; Tourism, BR-50670901 Recife, PE, Brazil</t>
  </si>
  <si>
    <t>Fu Jen Catholic University; Sun Yat Sen University; Universidade Federal de Pernambuco</t>
  </si>
  <si>
    <t>Su, CJ (corresponding author), Fu Jen Catholic Univ, Dept Restaurant Hotel &amp; Inst Management, 510 Zhongzheng Rd, New Taipei City, Taiwan.</t>
  </si>
  <si>
    <t>040084@mail.fju.edu.tw; cinque320@gmail.com; lorgnien@canisius.edu; wkliang@gm.ttu.edu.tw; anne-marie.lebrun@u-bourgogne.fr; bettyluoqiuju@126.com; maria.hcsilva2@ufpe.br; Carlos.pimentel@ufpe.br</t>
  </si>
  <si>
    <t>National Science and Technology Council, Taiwan; [110-2410-H-030-083]</t>
  </si>
  <si>
    <t>National Science and Technology Council, Taiwan;</t>
  </si>
  <si>
    <t>&amp; nbsp;This article is based on the first and corresponding author's project grant of the National Science and Technology Council, Taiwan for the Commonwealth Research Program (110-2410-H-030-083).</t>
  </si>
  <si>
    <t>1862-8516</t>
  </si>
  <si>
    <t>1862-8508</t>
  </si>
  <si>
    <t>SERV BUS</t>
  </si>
  <si>
    <t>Serv. Bus.</t>
  </si>
  <si>
    <t>10.1007/s11628-023-00543</t>
  </si>
  <si>
    <t>S3BD2</t>
  </si>
  <si>
    <t>WOS:001069947500001</t>
  </si>
  <si>
    <t>Wollum, A; Bornstein, M; Mopiwa, G; Norris, A; Gipson, JD</t>
  </si>
  <si>
    <t>Wollum, Alexandra; Bornstein, Marta; Mopiwa, Gladson; Norris, Alison; Gipson, Jessica D.</t>
  </si>
  <si>
    <t>Assessing the relationship between reproductive autonomy and contraceptive use in rural Malawi</t>
  </si>
  <si>
    <t>REPRODUCTIVE HEALTH</t>
  </si>
  <si>
    <t>INTIMATE PARTNER VIOLENCE; SUB-SAHARAN AFRICA; UNINTENDED PREGNANCY; WOMENS EMPOWERMENT; HEALTH; ABORTION</t>
  </si>
  <si>
    <t>Reproductive autonomy, or the extent to which people control matters related to their own sexual and reproductive decisions, may help explain why some people who do not intend to become pregnant nevertheless do not use contraception. Using cross-sectional survey data from 695 women aged 16 to 47 enrolled in the Umoyo Wa Thanzi (UTHA) study in Malawi in 2019, we conducted confirmatory factor analysis, descriptive analyses, and multivariable logistic regression to assess the freedom from coercion and communication subscales of the Reproductive Autonomy Scale and to examine relationships between these components of reproductive autonomy and current contraceptive use. The freedom from coercion and communication subscales were valid within this population of partnered women; results from a correlated two-factor confirmatory factor analysis model resulted in good model fit. Women with higher scores on the freedom from coercion subscale had greater odds of current contraceptive use (aOR 1.13, 95% CI: 1.03-1.23) after adjustment for pregnancy intentions, relationship type, parity, education, employment for wages, and household wealth. Scores on the communication subscale were predictive of contraceptive use in some, but not all, models. These findings demonstrate the utility of the Reproductive Autonomy Scale in more holistically understanding contractive use and non-use in a lower-income setting, yet also highlight the need to further explore the multidimensionality of women's reproductive autonomy and its effects on achieving desired fertility.</t>
  </si>
  <si>
    <t>[Wollum, Alexandra; Gipson, Jessica D.] Univ Calif Los Angeles UCLA, UCLA Bixby Ctr Populat &amp; Reprod Hlth, Fielding Sch Publ Hlth, Dept Community Hlth Sci, Los Angeles, CA 90095 USA; [Bornstein, Marta; Norris, Alison] Ohio State Univ, Coll Publ Hlth, Div Epidemiol, Columbus, OH USA; [Bornstein, Marta] Univ South Carolina, Arnold Sch Publ Hlth, Dept Hlth Promot Educ &amp; Behav, Columbia, SC USA; [Mopiwa, Gladson] Global Fund Grant ActionAid Malawi, Adolescent Girls &amp; Young Women Program, Lilongwe City, Malawi</t>
  </si>
  <si>
    <t>University of California System; University of California Los Angeles; University System of Ohio; Ohio State University; University of South Carolina System; University of South Carolina Columbia</t>
  </si>
  <si>
    <t>Wollum, A (corresponding author), Univ Calif Los Angeles UCLA, UCLA Bixby Ctr Populat &amp; Reprod Hlth, Fielding Sch Publ Hlth, Dept Community Hlth Sci, Los Angeles, CA 90095 USA.</t>
  </si>
  <si>
    <t>awollum@ucla.edu</t>
  </si>
  <si>
    <t>Ohio State University Institute for Population Research through Eunice Kennedy Shriver National Institute for Child Health and Human Development (NICHD) of the National Institutes of Health; California Center for Population Research at UCLA (CCPR) from NICHD [P2CHD058484, P2C-HD041022]; [T32-HD007545\]</t>
  </si>
  <si>
    <t>Ohio State University Institute for Population Research through Eunice Kennedy Shriver National Institute for Child Health and Human Development (NICHD) of the National Institutes of Health; California Center for Population Research at UCLA (CCPR) from NICHD;</t>
  </si>
  <si>
    <t>Support for this project was provided by The Ohio State University Institute for Population Research through a grant from the Eunice Kennedy Shriver National Institute for Child Health and Human Development (NICHD) of the National Institutes of Health, P2CHD058484. This project was also supported by the California Center for Population Research at UCLA (CCPR), which receives core support (P2C-HD041022) and training support (T32-HD007545) from NICHD.</t>
  </si>
  <si>
    <t>1742-4755</t>
  </si>
  <si>
    <t>REPROD HEALTH</t>
  </si>
  <si>
    <t>Reprod. Health</t>
  </si>
  <si>
    <t>10.1186/s12978-023-01688-8</t>
  </si>
  <si>
    <t>Public, Environmental &amp; Occupational Health</t>
  </si>
  <si>
    <t>S4LN5</t>
  </si>
  <si>
    <t>WOS:001070900200002</t>
  </si>
  <si>
    <t>Xu, RY; Wang, LY; Qu, SQ</t>
  </si>
  <si>
    <t>Xu, Rongyang; Wang, Luyao; Qu, Shanqiang</t>
  </si>
  <si>
    <t>A novel mechanism of ferroptosis surveillance offers promising therapeutic avenues for breast and prostate cancers</t>
  </si>
  <si>
    <t>MOLECULAR BIOMEDICINE</t>
  </si>
  <si>
    <t>[Xu, Rongyang; Wang, Luyao; Qu, Shanqiang] Southern Med Univ, Nanfang Hosp, Dept Neurosurg, Guangzhou Dadao Bei St 1838, Guangzhou 510515, Guangdong, Peoples R China; [Xu, Rongyang; Wang, Luyao; Qu, Shanqiang] Southern Med Univ, Nanfang Hosp, Lab Precis Neurosurg, Guangzhou 510515, Guangdong, Peoples R China; [Xu, Rongyang; Wang, Luyao; Qu, Shanqiang] Southern Med Univ, Clin Med Coll 1, Guangzhou 510515, Guangdong, Peoples R China</t>
  </si>
  <si>
    <t>Southern Medical University - China; Southern Medical University - China; Southern Medical University - China</t>
  </si>
  <si>
    <t>Qu, SQ (corresponding author), Southern Med Univ, Nanfang Hosp, Dept Neurosurg, Guangzhou Dadao Bei St 1838, Guangzhou 510515, Guangdong, Peoples R China.;Qu, SQ (corresponding author), Southern Med Univ, Nanfang Hosp, Lab Precis Neurosurg, Guangzhou 510515, Guangdong, Peoples R China.;Qu, SQ (corresponding author), Southern Med Univ, Clin Med Coll 1, Guangzhou 510515, Guangdong, Peoples R China.</t>
  </si>
  <si>
    <t>qushq3@163.com</t>
  </si>
  <si>
    <t>None.</t>
  </si>
  <si>
    <t>2662-8651</t>
  </si>
  <si>
    <t>MOL BIOMED</t>
  </si>
  <si>
    <t>Mol. Biomed.</t>
  </si>
  <si>
    <t>10.1186/s43556-023-00140-4</t>
  </si>
  <si>
    <t>Biochemistry &amp; Molecular Biology; Cell Biology; Medicine, Research &amp; Experimental</t>
  </si>
  <si>
    <t>Biochemistry &amp; Molecular Biology; Cell Biology; Research &amp; Experimental Medicine</t>
  </si>
  <si>
    <t>S8EN6</t>
  </si>
  <si>
    <t>WOS:001073445300001</t>
  </si>
  <si>
    <t>Chen, YF; Jiang, W</t>
  </si>
  <si>
    <t>Chen, Yunfei; Jiang, Wei</t>
  </si>
  <si>
    <t>Time and frequency volatility spillovers among commodities: Evidence from pre and during the Russia-Ukraine war</t>
  </si>
  <si>
    <t>PORTUGUESE ECONOMIC JOURNAL</t>
  </si>
  <si>
    <t>Russia-Ukraine; War; Commodity; Volatility; Spillovers; Q43; E65</t>
  </si>
  <si>
    <t>CRUDE-OIL; MAJOR ENERGY; CO-MOVEMENT; MARKETS; CONNECTEDNESS; CARBON; FUTURES; SERIES; RISK</t>
  </si>
  <si>
    <t>This paper studies the volatility spillovers among commodities in both magnitude and timescale before and after the Russia-Ukraine war. We adopt the Diebold and Yilmaz (Int J Forecast 28:57-66, 2012) and the Barunik and Krehlik (J Financ Economet 16:271-296, 2018) method based the 15-min trading data. The results show that the war increases total volatility spillover from 35.54% to 49.00%. Although total spillover is the largest within a day, net spillovers of some commodities are stronger in long term. More importantly, the war increases the importance of precious metals, oil &amp; fats, crops, and agricultural products in different time-frequency domains. The volatility spillover of precious metals as safe-haven assets within one week increases the most. The role of the oil &amp; fats sector changes from a net receiver to a risk transmitter. Meanwhile, crops and agricultural products sectors dominate the overall spillover in the long-term during the ongoing war period. Furthermore, the time-varying results suggest that the impact of the war is durable in the long term.</t>
  </si>
  <si>
    <t>[Chen, Yunfei] Fudan Univ, Sch Econ, Shanghai 200433, Peoples R China; [Jiang, Wei] Qingdao Univ, Sch Econ, Qingdao 266100, Shandong, Peoples R China</t>
  </si>
  <si>
    <t>Fudan University; Qingdao University</t>
  </si>
  <si>
    <t>Jiang, W (corresponding author), Qingdao Univ, Sch Econ, Qingdao 266100, Shandong, Peoples R China.</t>
  </si>
  <si>
    <t>xy072281@pku.edu.cn</t>
  </si>
  <si>
    <t>1617-982X</t>
  </si>
  <si>
    <t>1617-9838</t>
  </si>
  <si>
    <t>PORT ECON J</t>
  </si>
  <si>
    <t>Port. Econ. J.</t>
  </si>
  <si>
    <t>2023 SEP 21</t>
  </si>
  <si>
    <t>10.1007/s10258-023-00242-5</t>
  </si>
  <si>
    <t>Economics</t>
  </si>
  <si>
    <t>S2KD1</t>
  </si>
  <si>
    <t>WOS:001069499800001</t>
  </si>
  <si>
    <t>Di Stasi, M; Cocozza, S; Buccino, S; Paolella, C; Di Napoli, L; D'Amico, A; Melis, D; Ugga, L; Villano, G; Ruocco, M; Scala, I; Brunetti, A; Elefante, A</t>
  </si>
  <si>
    <t>Di Stasi, Martina; Cocozza, Sirio; Buccino, Sara; Paolella, Chiara; Di Napoli, Linda; D'Amico, Alessandra; Melis, Daniela; Ugga, Lorenzo; Villano, Gianmichele; Ruocco, Manuel; Scala, Iris; Brunetti, Arturo; Elefante, Andrea</t>
  </si>
  <si>
    <t>The role of unidentified bright objects in the neurocognitive profile of neurofibromatosis type 1 children: a volumetric MRI analysis</t>
  </si>
  <si>
    <t>ACTA NEUROLOGICA BELGICA</t>
  </si>
  <si>
    <t>Neurofibromatosis type1; MRI; UBOs; Cognitive impairment</t>
  </si>
  <si>
    <t>HIGH-SIGNAL-INTENSITY; COGNITIVE IMPAIRMENTS; HYPERINTENSITIES; BRAIN; RELAXATION; PREVALENCE; IMPACT; NF1</t>
  </si>
  <si>
    <t>PurposeCognitive impairment is described in 80% of Neurofibromatosis type 1 (NF1) patients. Brain focal areas of T2w increased signal intensity on MRI, the so-called Unidentified Bright Objects (UBOs) have been hypothesized to be related to cognitive dysfunction, although conflicting results are available in literature. Here, we investigated the possible relation between UBOs' volume, cognitive impairment, and language disability in NF1 patients.Material and methodsIn this retrospective study, clinical and MRI data of 21 NF1 patients (M/F = 12/9; mean age 10.1 &amp; PLUSMN; 4.5) were evaluated. Brain intellectual functioning and language abilities were assessed with specific scales, while the analyzed MRI sequences included axial 2D-T2-weighted and FLAIR sequences. These images were used independently for UBOs segmentation with a semiautomatic approach and obtained volumes were normalized for biparietal diameters to take into account for brain volume. Possible differences in terms of normalized UBOs volumes were probed between cognitively affected and preserved patients, as well as between subjects with or without language impairment.ResultsPatients cognitively affected were not different in terms of UBOs volume compared to those preserved (p = 0.35 and p = 0.30, for T2-weighted and FLAIR images, respectively). Similarly, no differences were found between patients with and without language impairment (p = 0.47 and p = 0.40, for the two sequences).ConclusionsThe relation between UBOs and cognition in children with NF1 has been already investigated in literature, although leading to conflicting results. Our study expands the current knowledge, showing a lack of correlation between UBOs volume and both cognitive impairment and language disability in NF1 patients.</t>
  </si>
  <si>
    <t>[Di Stasi, Martina; Cocozza, Sirio; Paolella, Chiara; Ugga, Lorenzo; Villano, Gianmichele; Brunetti, Arturo; Elefante, Andrea] Univ Naples Federico II, Dept Adv Biomed Sci, Via Pansini 5, I-80131 Naples, Italy; [Di Stasi, Martina] Univ Hosp San Giovanni Dio &amp; Ruggi Aragona, Dept Diagnost &amp; Intervent Neuroradiol, Salerno, Italy; [D'Amico, Alessandra] Tortorella Private Clin, Radiol Unit, Salerno, Italy; [Melis, Daniela; Ruocco, Manuel] Univ Salerno, Dept Med Surg &amp; Dent, Salerno, Italy; [Buccino, Sara; Di Napoli, Linda; Scala, Iris] Federico II Univ Hosp, Dept Maternal &amp; Child Hlth, Naples, Italy</t>
  </si>
  <si>
    <t>University of Naples Federico II; University of Salerno; University of Naples Federico II</t>
  </si>
  <si>
    <t>Cocozza, S (corresponding author), Univ Naples Federico II, Dept Adv Biomed Sci, Via Pansini 5, I-80131 Naples, Italy.</t>
  </si>
  <si>
    <t>sirio.cocozza@unina.it</t>
  </si>
  <si>
    <t>Di Stasi, Martina/0000-0002-5406-6780; Cocozza, Sirio/0000-0002-0300-5160</t>
  </si>
  <si>
    <t>Universita degli Studi di Napoli Federico II within the CRUI-CARE Agreement</t>
  </si>
  <si>
    <t>Open access funding provided by Universita degli Studi di Napoli Federico II within the CRUI-CARE Agreement. The Authors received no financial support for the research and authorship of this article</t>
  </si>
  <si>
    <t>0300-9009</t>
  </si>
  <si>
    <t>2240-2993</t>
  </si>
  <si>
    <t>ACTA NEUROL BELG</t>
  </si>
  <si>
    <t>Acta Neurol. Belg.</t>
  </si>
  <si>
    <t>10.1007/s13760-023-02381-0</t>
  </si>
  <si>
    <t>Clinical Neurology; Neurosciences</t>
  </si>
  <si>
    <t>S4TK7</t>
  </si>
  <si>
    <t>WOS:001071106300001</t>
  </si>
  <si>
    <t>Ghazviniyan, M; Masnabadi, N; Ghasemi, MH</t>
  </si>
  <si>
    <t>Ghazviniyan, Maryam; Masnabadi, Nasrin; Ghasemi, Mohammad Hadi</t>
  </si>
  <si>
    <t>A nanohybrid of Fe3O4/SnO magnetic recyclable catalyst for chemoselective N1-acylation of sulfanilamide under mild reaction conditions</t>
  </si>
  <si>
    <t>RESEARCH ON CHEMICAL INTERMEDIATES</t>
  </si>
  <si>
    <t>Stannous oxide; Magnetic nanoparticles; Sulfonamide; Heterogeneous catalysis</t>
  </si>
  <si>
    <t>N-ACYLATION; NANOPARTICLES; EFFICIENT; COMPOSITE</t>
  </si>
  <si>
    <t>In this article, an effective heterogeneous catalytic system was developed for selective N-acylation of pharmaceutical intermediate. The catalyst is a binary compound composed of Fe3O4-wrapped stannous oxide nanoparticles with magnetic separation capability. The prepared catalyst was used for selective N-acylation of sulfanilamide using acetic anhydride under mild reaction conditions without protecting the NH2 group. The best results of 85% yield and 95% selectivity were obtained using the nanoparticles as catalysts. Moreover, the performances of the catalyst were compared with some catalysts with Lewis acid characteristics. The acylated product was characterized by H-1 NMR, C-13 NMR, and Mass spectra. Finally, the catalyst showed good recyclability after 3 cycles to maintain efficiency.</t>
  </si>
  <si>
    <t>[Ghazviniyan, Maryam; Masnabadi, Nasrin] Islamic Azad Univ, Dept Chem, Roudehen Branch, Roudehen, Iran; [Ghasemi, Mohammad Hadi] ACECR Tehran Org, Appl Chem Res Grp, POB 13145-186, Tehran, Iran</t>
  </si>
  <si>
    <t>Islamic Azad University</t>
  </si>
  <si>
    <t>Masnabadi, N (corresponding author), Islamic Azad Univ, Dept Chem, Roudehen Branch, Roudehen, Iran.</t>
  </si>
  <si>
    <t>masnabadi2009@gmail.com</t>
  </si>
  <si>
    <t>The authors appreciate the financial support of this investigation by ACECR-Tehran organization as well as Islamic Azad University, Roudehen Branch.; Islamic Azad University, Roudehen Branch</t>
  </si>
  <si>
    <t>The authors appreciate the financial support of this investigation by ACECR-Tehran organization as well as Islamic Azad University, Roudehen Branch.; Islamic Azad University, Roudehen Branch(Islamic Azad University)</t>
  </si>
  <si>
    <t>The authors appreciate the financial support of this investigation by ACECR-Tehran organization as well as Islamic Azad University, Roudehen Branch.</t>
  </si>
  <si>
    <t>0922-6168</t>
  </si>
  <si>
    <t>1568-5675</t>
  </si>
  <si>
    <t>RES CHEM INTERMEDIAT</t>
  </si>
  <si>
    <t>Res. Chem. Intermed.</t>
  </si>
  <si>
    <t>10.1007/s11164-023-05143</t>
  </si>
  <si>
    <t>Chemistry, Multidisciplinary</t>
  </si>
  <si>
    <t>Chemistry</t>
  </si>
  <si>
    <t>S4UB5</t>
  </si>
  <si>
    <t>WOS:001071123100002</t>
  </si>
  <si>
    <t>Gut, P; Gazinski, R</t>
  </si>
  <si>
    <t>Gut, Pawel; Gazinski, Radoslaw</t>
  </si>
  <si>
    <t>The lost historical archives of the City of Szczecin</t>
  </si>
  <si>
    <t>ARCHIVAL SCIENCE</t>
  </si>
  <si>
    <t>Pomerania; Municipal archives; War losses; State Archive in Szczecin</t>
  </si>
  <si>
    <t>The article is devoted to the historical archives of the city of Szczecin (Stettin), lost at the end of World War II. The authors try to recreate the circumstances of the disappearance of the Szczecin records, their internal structure, as well as indicate the limitations that the loss of these materials poses for contemporary historians. The paper also shows the process of shaping the municipal archives in Szczecin, as well as the reasons and conditions in which the municipal authorities transferred their historical records to the State Archives in Szczecin. The issue is considered against the background of changes taking place in Prussian archival science in the nineteenth and early twentieth centuries and taking into account the history of other selected municipal archives in Germany. The most important achievement of the presented material is the description of the lost historical archive of Szczecin.</t>
  </si>
  <si>
    <t>[Gut, Pawel; Gazinski, Radoslaw] Univ Szczecin, Inst Hist, Szczecin, Poland</t>
  </si>
  <si>
    <t>University of Szczecin</t>
  </si>
  <si>
    <t>Gut, P (corresponding author), Univ Szczecin, Inst Hist, Szczecin, Poland.</t>
  </si>
  <si>
    <t>pawel.gut@usz.edu.pl; radoslaw.gazinski@usz.edu.pl</t>
  </si>
  <si>
    <t>1389-0166</t>
  </si>
  <si>
    <t>1573-7500</t>
  </si>
  <si>
    <t>ARCH SCI-NETHERLANDS</t>
  </si>
  <si>
    <t>Arch. Sci.</t>
  </si>
  <si>
    <t>10.1007/s10502-023-09423-9</t>
  </si>
  <si>
    <t>Information Science &amp; Library Science</t>
  </si>
  <si>
    <t>S2JZ1</t>
  </si>
  <si>
    <t>WOS:001069495800001</t>
  </si>
  <si>
    <t>Katzenstein, E</t>
  </si>
  <si>
    <t>Katzenstein, Emily</t>
  </si>
  <si>
    <t>The credit they deserve: contesting predictive practices and the afterlives of red-lining</t>
  </si>
  <si>
    <t>CONTEMPORARY POLITICAL THEORY</t>
  </si>
  <si>
    <t>Prediction; Risk; Debt; Algorithmic justice; Racial capitalism</t>
  </si>
  <si>
    <t>FAIRNESS</t>
  </si>
  <si>
    <t>Racial capitalism depends on the reproduction of an existing racialized economic order. In this article, I argue that the disavowal of past injustice is a central way in which this reproduction is ensured and that market-based forms of knowledge production, such as for-profit predictive practices, play a crucial role in facilitating this disavowal. Recent debates about the fairness of algorithms, data justice, and predictive policing have intensified long-standing controversies, both popular and academic, about the way in which statistical and financial modes of accounting and predicting articulate, represent and produce ascriptive categories of hierarchically ordered social difference, and reproduce unjust social hierarchies and inequalities. These debates have productively problematized the racial lives of seemingly apolitical predictive technologies and demanded the re-politicization of predictive practices. What has been missing from these debates so far, however, is a more explicit engagement with ways in which anti-racist movements and activists themselves have contested the entanglements of prediction and race making. I turn to a recent prominent example, namely the contestation over racial discrepancies in subprime lending to examine how fair lending activists have conceptualized and troubled the reproduction of a racialized economic order through for-profit predictive practices in the decade before the Great Financial Crisis. I situate this particular example in the broader historical and political context of politicizing prediction that first emerged with the ascendancy of a liberal, individualist-proprietary conception of risk, and the political problem space to which this has given rise. My analysis shows that actuarial conceptions of fairness continue to reverberate in anti-racist contestations of for-profit predictive practices, and that they tend to marginalize and undercut more radical strands of critique of the racialization of financial markets. Insofar as these modalities of contestation implicitly reproduce a liberal, proprietary-individualist conception of risk, I argue, they fail to effectively challenge the quasi-alchemical transformation of injustice into personal responsibility, and thus contribute to the disavowal of past injustice.</t>
  </si>
  <si>
    <t>[Katzenstein, Emily] St Johns Coll, Oxford OX1 3JP, England</t>
  </si>
  <si>
    <t>University of Oxford</t>
  </si>
  <si>
    <t>Katzenstein, E (corresponding author), St Johns Coll, Oxford OX1 3JP, England.</t>
  </si>
  <si>
    <t>emily.katzenstein@sjc.ox.ac.uk</t>
  </si>
  <si>
    <t>I would like to thank Michael Dawson, Adom Getachew, Patchen Markell, the participants of the Murlo Race and Capitalism Retreat, and the participants of the History and Theory of Capitalism at the University of Chicago, as well as the two anonymous reviewe</t>
  </si>
  <si>
    <t>I would like to thank Michael Dawson, Adom Getachew, Patchen Markell, the participants of the Murlo Race and Capitalism Retreat, and the participants of the History and Theory of Capitalism at the University of Chicago, as well as the two anonymous reviewers for their generative and insightful comments on this paper.</t>
  </si>
  <si>
    <t>1470-8914</t>
  </si>
  <si>
    <t>1476-9336</t>
  </si>
  <si>
    <t>CONTEMP POLIT THEORY</t>
  </si>
  <si>
    <t>Contemp. Polit. Theory</t>
  </si>
  <si>
    <t>10.1057/s41296-023-00655</t>
  </si>
  <si>
    <t>Political Science</t>
  </si>
  <si>
    <t>Government &amp; Law</t>
  </si>
  <si>
    <t>S0KC0</t>
  </si>
  <si>
    <t>WOS:001068134600001</t>
  </si>
  <si>
    <t>Lin, JH; Zeng, S; Chen, Q; Liu, GH; Pan, SY; Liu, XW</t>
  </si>
  <si>
    <t>Lin, Junhao; Zeng, Shan; Chen, Qiong; Liu, Guanghui; Pan, Suyue; Liu, Xuewu</t>
  </si>
  <si>
    <t>Identification of disease-related genes in Plasmodium berghei by network module analysis</t>
  </si>
  <si>
    <t>BMC MICROBIOLOGY</t>
  </si>
  <si>
    <t>Plasmodium berghei; Network module; Experimental cerebral malaria (ECM); Pathogenesis</t>
  </si>
  <si>
    <t>CD8(+) T-CELLS; MALARIA; DEPLETION; PROTEINS</t>
  </si>
  <si>
    <t>Background Plasmodium berghei has been used as a preferred model for studying human malaria, but only a limited number of disease-associated genes of P. berghei have been reported to date. Identification of new disease-related genes as many as possible will provide a landscape for better understanding the pathogenesis of P. berghei.Methods Network module analysis method was developed and applied to identify disease-related genes in P. berghei genome. Sequence feature identification, gene ontology annotation, and T-cell epitope analysis were performed on these genes to illustrate their functions in the pathogenesis of P. berghei.Results 33,314 genes were classified into 4,693 clusters. 4,127 genes shared by six malaria parasites were identified and are involved in many aspects of biological processes. Most of the known essential genes belong to shared genes. A total of 63 clusters consisting of 405 P. berghei genes were enriched in rodent malaria parasites. These genes participate in various stages of parasites such as liver stage development and immune evasion. Combination of these genes might be responsible for P. berghei infecting mice. Comparing with P. chabaudi, none of the clusters were specific to P. berghei. P. berghei lacks some proteins belonging to P. chabaudi and possesses some specific T-cell epitopes binding by class-I MHC, which might together contribute to the occurrence of experimental cerebral malaria (ECM).Conclusions We successfully identified disease-associated P. berghei genes by network module analysis. These results will deepen understanding of the pathogenesis of P. berghei and provide candidate parasite genes for further ECM investigation.</t>
  </si>
  <si>
    <t>[Lin, Junhao; Zeng, Shan; Chen, Qiong; Liu, Guanghui; Pan, Suyue; Liu, Xuewu] Southern Med Univ, Nanfang Hosp, Dept Neurol, Guangzhou 510515, Peoples R China</t>
  </si>
  <si>
    <t>Southern Medical University - China</t>
  </si>
  <si>
    <t>Pan, SY; Liu, XW (corresponding author), Southern Med Univ, Nanfang Hosp, Dept Neurol, Guangzhou 510515, Peoples R China.</t>
  </si>
  <si>
    <t>pansuyue@smu.edu.cn; liu_xuewu@hotmail.com</t>
  </si>
  <si>
    <t>1471-2180</t>
  </si>
  <si>
    <t>BMC MICROBIOL</t>
  </si>
  <si>
    <t>BMC Microbiol.</t>
  </si>
  <si>
    <t>SEP 21</t>
  </si>
  <si>
    <t>10.1186/s12866-023-03019-0</t>
  </si>
  <si>
    <t>S4MG5</t>
  </si>
  <si>
    <t>WOS:001070919200001</t>
  </si>
  <si>
    <t>Meng, YY; Li, M; He, JB</t>
  </si>
  <si>
    <t>Meng, Yayun; Li, Meng; He, Jinbo</t>
  </si>
  <si>
    <t>Sensation seeking and social network addiction among college students: a moderated mediation model</t>
  </si>
  <si>
    <t>CURRENT PSYCHOLOGY</t>
  </si>
  <si>
    <t>College student; Sensation seeking; Fear of missing out; Social network addiction; Parental behavioral control</t>
  </si>
  <si>
    <t>PERSONALITY-TRAIT; ADOLESCENTS; MOTIVATION; FEAR; RESILIENCE</t>
  </si>
  <si>
    <t>Previous research has shown that sensation seeking can positively predict social network addiction. However, the underlying mechanism is unclear. Therefore, the current study constructed a moderated mediation model to examine whether fear of missing out mediated the relationships between sensation seeking and social network addiction and whether parental behavioral control moderated the mediation model among college students. A total of 514 college students in Wuhan (24.50% males, 75.50% females), with a mean age of 21.44 years (SD = 0.94, range = 19-23), were surveyed using the Sensation Seeking Scale, Fear of Missing Out Scale, Social Network Addiction Tendency Scale, and Parental Behavioral Control Scale. The results showed that fear of missing out significantly mediated the relationship between sensation seeking and social network addiction. Moreover, parental behavioral control moderated the relationship between sensation seeking and fear of missing out, and this relationship was weaker for college students with low parental behavioral control than parental behavioral control. Overall, these findings contribute to our understanding of the underlying mechanisms of social network addiction. In addition, family and individual factors should be simultaneously considered in the prevention and intervention of social network addiction among college students.</t>
  </si>
  <si>
    <t>[Meng, Yayun; Li, Meng; He, Jinbo] Cent China Normal Univ, Sch Psychol, 152 Luoyu Ave, Wuhan 430070, Hubei, Peoples R China</t>
  </si>
  <si>
    <t>Central China Normal University</t>
  </si>
  <si>
    <t>He, JB (corresponding author), Cent China Normal Univ, Sch Psychol, 152 Luoyu Ave, Wuhan 430070, Hubei, Peoples R China.</t>
  </si>
  <si>
    <t>hjb@ccnu.edu.cn</t>
  </si>
  <si>
    <t>Humanities and Social Science Fund of Ministry of Education of China; National Social Science Fund of China [21YJA190002]; [22BSH099]</t>
  </si>
  <si>
    <t>Humanities and Social Science Fund of Ministry of Education of China(Ministry of Education, China); National Social Science Fund of China;</t>
  </si>
  <si>
    <t>This work was supported by the Humanities and Social Science Fund of Ministry of Education of China [grant numbers 21YJA190002] and the National Social Science Fund of China [grant numbers 22BSH099].The funding source had no role in the study design, collection, analysis or interpretation of the data, writing the manuscript, or the decision to submit the paper for publication.</t>
  </si>
  <si>
    <t>1046-1310</t>
  </si>
  <si>
    <t>1936-4733</t>
  </si>
  <si>
    <t>CURR PSYCHOL</t>
  </si>
  <si>
    <t>Curr. Psychol.</t>
  </si>
  <si>
    <t>10.1007/s12144-023-05189-6</t>
  </si>
  <si>
    <t>Psychology, Multidisciplinary</t>
  </si>
  <si>
    <t>Psychology</t>
  </si>
  <si>
    <t>S2KF6</t>
  </si>
  <si>
    <t>WOS:001069502300002</t>
  </si>
  <si>
    <t>Paidipati, KK; Kurangi, C; Uthayakumar, J; Padmanayaki, S; Pradeepa, D; Nithinsha, S</t>
  </si>
  <si>
    <t>Paidipati, Kiran Kumar; Kurangi, Chinnarao; Uthayakumar, J.; Padmanayaki, S.; Pradeepa, D.; Nithinsha, S.</t>
  </si>
  <si>
    <t>Ensemble of deep reinforcement learning with optimization model for DDoS attack detection and classification in cloud based software defined networks</t>
  </si>
  <si>
    <t>MULTIMEDIA TOOLS AND APPLICATIONS</t>
  </si>
  <si>
    <t>Software-defined networks; DDoS attack; Deep reinforcement learning; Metaheuristics; Ensemble model</t>
  </si>
  <si>
    <t>SDN-BASED ARCHITECTURE; MACHINE</t>
  </si>
  <si>
    <t>Distributed Denial of Service (DDoS) attacks pose a challenging threat to the availability and performance of cloud-based Software-Defined Networks (SDNs). Detection and classification of DDoS attacks in such dynamic and highly virtualized environments is critical to maintaining network stability and ensuring uninterrupted services. Therefore, this study develops a metaheuristic with Multi-Layer Ensemble Deep Reinforcement Learning for DDoS Attack Detection and Mitigation (MMEDRL-ADM) technique in the Cloud SDN Environment. The presented MMEDRL-ADM technique leverages metaheuristics with deep learning model for the recognition of DDoS attacks in the SDN data plane. To accomplish this, the presented MMEDRL-ADM technique initially preprocesses the network data. Next, the MMEDRL-ADM technique designs African buffalo optimization algorithm-based feature selection (ABO-FS) to reduce the computation complexity and increase the detection rate. For DDoS attack detection, the multilayer ensemble deep reinforcement learning (MEDRL) technique is used. To adjust the hyperparameter values of the MEDRL technique, an improved grasshopper optimization algorithm (IGOA) is exploited. The design of MEDRL approach with IGOA based hyperparameter tuning demonstrates the novelty of the work. The experimental validation of the MMEDRL-ADM system is tested under a benchmark dataset. The comparison study highlighted the improved performance of the MMEDRL-ADM technique over other models.</t>
  </si>
  <si>
    <t>[Paidipati, Kiran Kumar] Indian Inst Management Sirmaur, Area Decis Sci, Paonta Sahib 173025, HP, India; [Kurangi, Chinnarao] Gandhi Inst Technol &amp; Management GITAM, Dept Comp Sci &amp; Engn, Visakhapatnam, India; [Uthayakumar, J.] Jazan Univ, Coll Comp Sci &amp; Informat Technol, Dept Informat Technol &amp; Secur, Jazan, Saudi Arabia; [Padmanayaki, S.; Nithinsha, S.] Jazan Univ, Coll Comp Sci &amp; Informat Technol, Dept Informat Technol &amp; Secur, Jazan, Saudi Arabia; [Pradeepa, D.] REVA Univ, Sch Comp Sci &amp; Applicat, Bangalore, India</t>
  </si>
  <si>
    <t>Indian Institute of Management (IIM System); Indian Institute of Management Sirmaur; Gandhi Institute of Technology &amp; Management (GITAM); Jazan University; Jazan University; REVA University</t>
  </si>
  <si>
    <t>Uthayakumar, J (corresponding author), Jazan Univ, Coll Comp Sci &amp; Informat Technol, Dept Informat Technol &amp; Secur, Jazan, Saudi Arabia.</t>
  </si>
  <si>
    <t>kkpaidipati@iimsirmaur.ac.in; kchinnarao142@gmail.com; uthayresearchscholar@gmail.com; nanvarsha@jazanu.edu.sa; pradeepamca09@gmail.com; ayshaas2017@gmail.com</t>
  </si>
  <si>
    <t>1380-7501</t>
  </si>
  <si>
    <t>1573-7721</t>
  </si>
  <si>
    <t>MULTIMED TOOLS APPL</t>
  </si>
  <si>
    <t>Multimed. Tools Appl.</t>
  </si>
  <si>
    <t>10.1007/s11042-023-16894-6</t>
  </si>
  <si>
    <t>Computer Science, Information Systems; Computer Science, Software Engineering; Computer Science, Theory &amp; Methods; Engineering, Electrical &amp; Electronic</t>
  </si>
  <si>
    <t>S2KQ9</t>
  </si>
  <si>
    <t>WOS:001069514100003</t>
  </si>
  <si>
    <t>Saha, J; Saha, J; Roy, A; Chouhan, P</t>
  </si>
  <si>
    <t>Saha, Jay; Saha, Jayeeta; Roy, Avijit; Chouhan, Pradip</t>
  </si>
  <si>
    <t>Gender differentials in poor self-rated health (SRH) among older adults in India: the influence of household air pollution (HAP)</t>
  </si>
  <si>
    <t>JOURNAL OF PUBLIC HEALTH-HEIDELBERG</t>
  </si>
  <si>
    <t>Gender; Older adults; HAP; SRH; LASI; India</t>
  </si>
  <si>
    <t>SOLID FUELS; ASSOCIATION; CONSUMPTION; DEPRESSION; COMBUSTION</t>
  </si>
  <si>
    <t>BackgroundAlthough the harmful health effects of ambient air pollution are well known, there is little evidence of the self-reported health effects of household air pollution (HAP). Millions of Indians, especially older women and men, were exposed to high levels of health-damaging air pollutants indoors, adversely affecting their health. Thus, the current study intends to evaluate how diverse HAP factors influence poor self-rated health (SRH) among older adults by gender in India.Data and methodsFor this study, 27,090 samples were obtained from wave-1 of the Longitudinal Aging Study in India (LASI). A multivariable binary logistic regression model was used to identify the various contributing factors of poor self-rated health by male and female older adults in India.ResultsThe adjusted model shows that females who use solid sources of cooking fuel (AOR: 1.37; 95% CI: 1.17 - 1.60) have a higher risk of poor SRH than those who use liquid sources of cooking fuel and those who cook near windows/door (AOR: 1.66; 95% CI: 0.95 - 2.92). Those males who cook near windows/doors and didn't prefer any cooking methods have a higher likelihood of poor SRH. Male respondents who belong to Scheduled Caste (SC), Other Backward Classes (OBC), are Christians, do not go to school, suffer from lung disease, cough, diabetes, and depression have a higher likelihood of poor SRH. Similarly, poor SRH was significantly higher among female older adults who belong to SC, are Christians, have lung disease (AOR: 1.64; 95% CI: 1.19-2.25), cough (AOR: 1.72; 95% CI: 1.41-2.10), diabetes (AOR: 1.90; 95% CI: 1.54-2.34), depression (AOR: 2.07; 95% CI: 1.78-2.42).ConclusionExposure to HAP can be reduced by providing cleaner cooking fuels instead of solid cooking fuel and installing upgraded stoves with chimneys and an exhaust fan for residential use. The present study's findings recommend strengthening awareness programs on their consequences for the better health of older adults.</t>
  </si>
  <si>
    <t>[Saha, Jay; Chouhan, Pradip] Univ Gour Banga, Dept Geog, Malda 732103, W Bengal, India; [Saha, Jayeeta] Gangarampur Coll, Dept Philosophy, Gangarampur 733124, W Bengal, India; [Roy, Avijit] Malda Coll, State Aided Coll Teacher, Dept Geog, Malda 732101, W Bengal, India</t>
  </si>
  <si>
    <t>University of Gour Banga</t>
  </si>
  <si>
    <t>Saha, J (corresponding author), Univ Gour Banga, Dept Geog, Malda 732103, W Bengal, India.</t>
  </si>
  <si>
    <t>jsaha519@gmail.com; jayeeta.saha9@gmail.com; avijitr407@gmail.com; pradipchouhanmalda@gmail.com</t>
  </si>
  <si>
    <t>CHOUHAN, PRADIP/0000-0002-5500-2842</t>
  </si>
  <si>
    <t>The authors are thankful to International Institute for Population Sciences (IIPS), Mumbai, for sending the request mail to access the data in this study.; International Institute for Population Sciences</t>
  </si>
  <si>
    <t>The authors are thankful to International Institute for Population Sciences (IIPS), Mumbai, for sending the request mail to access the data in this study.</t>
  </si>
  <si>
    <t>2198-1833</t>
  </si>
  <si>
    <t>1613-2238</t>
  </si>
  <si>
    <t>J PUBLIC HEALTH-HEID</t>
  </si>
  <si>
    <t>J. Public Health-Heidelberg</t>
  </si>
  <si>
    <t>10.1007/s10389-023-02091-0</t>
  </si>
  <si>
    <t>S0JW5</t>
  </si>
  <si>
    <t>WOS:001068129100001</t>
  </si>
  <si>
    <t>Selin, C; Lambert, L; Morain, S; Nelson, JP; Barlevy, D; Farooque, M; Manley, H; Scott, CT</t>
  </si>
  <si>
    <t>Selin, Cynthia; Lambert, Lauren; Morain, Stephanie; Nelson, John P.; Barlevy, Dorit; Farooque, Mahmud; Manley, Haley; Scott, Christopher T.</t>
  </si>
  <si>
    <t>Researching the future: scenarios to explore the future of human genome editing</t>
  </si>
  <si>
    <t>BMC MEDICAL ETHICS</t>
  </si>
  <si>
    <t>Anticipation; Human genome editing; Scenario planning; Governance; Bioethics</t>
  </si>
  <si>
    <t>SCIENCE; TECHNOLOGY; GOVERNANCE; BIOETHICS; POLICY</t>
  </si>
  <si>
    <t>BackgroundForward-looking, democratically oriented governance is needed to ensure that human genome editing serves rather than undercuts public values. Scientific, policy, and ethics communities have recognized this necessity but have demonstrated limited understanding of how to fulfill it. The field of bioethics has long attempted to grapple with the unintended consequences of emerging technologies, but too often such foresight has lacked adequate scientific grounding, overemphasized regulation to the exclusion of examining underlying values, and failed to adequately engage the public.MethodsThis research investigates the application of scenario planning, a tool developed in the high-stakes, uncertainty-ridden world of corporate strategy, for the equally high-stakes and uncertain world of the governance of emerging technologies. The scenario planning methodology is non-predictive, looking instead at a spread of plausible futures which diverge in their implications for different communities' needs, cares, and desires.ResultsIn this article we share how the scenario development process can further understandings of the complex and dynamic systems which generate and shape new biomedical technologies and provide opportunities to re-examine and re-think questions of governance, ethics and values. We detail the results of a year-long scenario planning study that engaged experts from the biological sciences, bioethics, social sciences, law, policy, private industry, and civic organizations to articulate alternative futures of human genome editing.ConclusionsThrough sharing and critiquing our methodological approach and results of this study, we advance understandings of anticipatory methods deployed in bioethics, demonstrating how this approach provides unique insights and helps to derive better research questions and policy strategies.</t>
  </si>
  <si>
    <t>[Selin, Cynthia] Arizona State Univ, Sch Future Innovat Soc, POB 876002, Tempe, AZ 85287 USA; [Lambert, Lauren] Arizona State Univ, Walton Ctr Planetary Hlth, Sch Sustainabil, 4th floor, Tempe, AZ 85281 USA; [Morain, Stephanie] Johns Hopkins Univ, Berman Inst Bioeth, 1809 Ashland Ave, Baltimore, MD 21205 USA; [Nelson, John P.] Georgia Inst Technol, Sch Publ Policy, 685 Cherry St,Suite 107, Atlanta, GA 30332 USA; [Barlevy, Dorit; Manley, Haley; Scott, Christopher T.] Baylor Coll Med, Ctr Med Eth &amp; Hlth Policy, One Baylor Pl Suite 310D, Houston, TX 77030 USA; [Farooque, Mahmud] Arizona State Univ, Consortium Sci Policy &amp; Outcomes, 1800 1 St, Washington, DC 20006 USA</t>
  </si>
  <si>
    <t>Arizona State University; Arizona State University-Tempe; Arizona State University; Arizona State University-Tempe; Johns Hopkins University; University System of Georgia; Georgia Institute of Technology; Baylor College of Medicine; Arizona State University</t>
  </si>
  <si>
    <t>Selin, C (corresponding author), Arizona State Univ, Sch Future Innovat Soc, POB 876002, Tempe, AZ 85287 USA.</t>
  </si>
  <si>
    <t>cynthia.selin@asu.edu</t>
  </si>
  <si>
    <t>NIH [NHGRI] [1R01HG010332-01A1]</t>
  </si>
  <si>
    <t>NIH [NHGRI](United States Department of Health &amp; Human ServicesNational Institutes of Health (NIH) - USANIH National Human Genome Research Institute (NHGRI))</t>
  </si>
  <si>
    <t>This research is supported by NIH [NHGRI grant #1R01HG010332-01A1] that supported faculty and researchers in the design of the study and collection, analysis, and interpretation of data and in writing the manuscript.</t>
  </si>
  <si>
    <t>1472-6939</t>
  </si>
  <si>
    <t>BMC MED ETHICS</t>
  </si>
  <si>
    <t>BMC Med. Ethics</t>
  </si>
  <si>
    <t>10.1186/s12910-023-00951-8</t>
  </si>
  <si>
    <t>Ethics; Medical Ethics; Social Sciences, Biomedical</t>
  </si>
  <si>
    <t>Social Sciences - Other Topics; Medical Ethics; Biomedical Social Sciences</t>
  </si>
  <si>
    <t>S4KZ6</t>
  </si>
  <si>
    <t>WOS:001070886300001</t>
  </si>
  <si>
    <t>Adler, I; Sarsour, L</t>
  </si>
  <si>
    <t>Adler, Idit; Sarsour, Laila</t>
  </si>
  <si>
    <t>A case of two classes: the interplay of teacher's guidance with structuring or problematizing scaffolds within inquiry-based environments</t>
  </si>
  <si>
    <t>INSTRUCTIONAL SCIENCE</t>
  </si>
  <si>
    <t>Guided inquiry; Inquiry-based learning; Problematizing scaffolds; Scaffolding; Structured inquiry; Structuring scaffolds; Teacher guidance</t>
  </si>
  <si>
    <t>GUIDED INQUIRY; METACOGNITIVE ACTIVITIES; LEARNING OUTCOMES; SCIENCE; STUDENTS; INSTRUCTION; FRAMEWORK; ACCOUNTABILITY; ACHIEVEMENT; KIRSCHNER</t>
  </si>
  <si>
    <t>Inquiry includes a broad spectrum of approaches, depending on students' responsibility over the process and the extent of the teacher's guidance. While numerous studies have examined students' achievements and engagement across different types of inquiry-based environments, analyses of teachers' guidance during the process are lacking. Therefore, our overarching goal was to examine the interplay between characteristics of the inquiry-based environment and teacher's just-in-time support. Specifically, we examined the learning processes and achievements of middle-school students as they collaboratively engaged in either a structured or a guided inquiry-based task and were supported by their teacher. Structuring scaffolds were designed to support the structured inquiry task, while problematizing scaffolds were designed to support the guided inquiry task. Post-test scores indicated a similar significant increase in students' scientific understanding for both research conditions, despite significant differences in students' engagement in metacognitive processes during their scientific trials. Students from the guided inquiry group engaged in longer discussions and made more references to metacognitive processes, in comparison to students from the structured inquiry group. A low to moderate correlation between students' engagement in metacognitive processes and test-scores was identified. The teacher's regulation of students' discourse in the structured inquiry group was significantly greater than in the guided inquiry group, though the nature of regulation was similar. We propose that the teacher's regulation of students' metacognitive discourse outweighed the differences between students' learning processes in the two learning environments, resulting in similar achievements in the two conditions albeit differences in metacognitive engagement. Implications are discussed.</t>
  </si>
  <si>
    <t>[Adler, Idit; Sarsour, Laila] Tel Aviv Univ, Constantiner Sch Educ, Tel Aviv, Israel</t>
  </si>
  <si>
    <t>Tel Aviv University</t>
  </si>
  <si>
    <t>Adler, I (corresponding author), Tel Aviv Univ, Constantiner Sch Educ, Tel Aviv, Israel.</t>
  </si>
  <si>
    <t>iditadler@tauex.tau.ac.il; lailasarsour@mail.tau.ac.il</t>
  </si>
  <si>
    <t>The authors would like to thank Edna Guttmann for statistical assistance, and Ari Masel for editorial assistance.</t>
  </si>
  <si>
    <t>0020-4277</t>
  </si>
  <si>
    <t>1573-1952</t>
  </si>
  <si>
    <t>INSTR SCI</t>
  </si>
  <si>
    <t>Instr. Sci.</t>
  </si>
  <si>
    <t>2023 SEP 20</t>
  </si>
  <si>
    <t>10.1007/s11251-023-09649-1</t>
  </si>
  <si>
    <t>R9IX6</t>
  </si>
  <si>
    <t>WOS:001067427300001</t>
  </si>
  <si>
    <t>Bishnu, A; Ghosh, A; Kolay, S; Mishra, G; Saurabh, S</t>
  </si>
  <si>
    <t>Bishnu, Arijit; Ghosh, Arijit; Kolay, Sudeshna; Mishra, Gopinath; Saurabh, Saket</t>
  </si>
  <si>
    <t>Small Vertex Cover Helps in Fixed-Parameter Tractability of Graph Deletion Problems over Data Streams</t>
  </si>
  <si>
    <t>THEORY OF COMPUTING SYSTEMS</t>
  </si>
  <si>
    <t>FPT; Streaming algorithms; Vertex cover; Subgraph deletion problems; Minor deletion problems</t>
  </si>
  <si>
    <t>In the study of parameterized streaming complexity on graph problems, the main goal is to design streaming algorithms for parameterized problems such that O(f (k) log(O(1)) n) space is enough, where f is an arbitrary computable function depending only on the parameter k. However, in the past few years very few positive results have been established. Most of the graph problems that do have streaming algorithms of the above nature are ones where localized checking is required, like Vertex Cover or Maximum Matching parameterized by the size k of the solution we are seeking. Chitnis et al. (SODA'16) have shown that many important parameterized problems that form the backbone of traditional parameterized complexity are known to require Omega (n) bits of storage for any streaming algorithm; e.g. Feedback Vertex Set, Even Cycle Transversal, Odd Cycle Transversal, Triangle Deletion or the more general F-Subgraph Deletion when parameterized by solution size k. Our contribution lies in overcoming the obstacles to efficient parameterized streaming algorithms in graph deletion problems by utilizing the power of parameterization. We focus on the vertex cover size K as the parameter for the parameterized graph deletion problems we consider. In this work, we consider the four most well-studied streaming models: the Ea, Dea, Va (vertex arrival) and Al (adjacency list) models. Surprisingly, the consideration of vertex cover size K in the different models leads to a classification of positive and negative results for problems like F-Subgraph Deletion and F-Minor Deletion.</t>
  </si>
  <si>
    <t>[Bishnu, Arijit; Ghosh, Arijit] Indian Stat Inst, Kolkata, India; [Kolay, Sudeshna] Indian Inst Technol Kharagpur, Kharagpur, India; [Mishra, Gopinath] Univ Warwick, Coventry, England; [Saurabh, Saket] HBNI, Inst Math Sci, Chennai, India</t>
  </si>
  <si>
    <t>Indian Statistical Institute; Indian Statistical Institute Kolkata; Indian Institute of Technology System (IIT System); Indian Institute of Technology (IIT) - Kharagpur; University of Warwick; Homi Bhabha National Institute; Institute of Mathematical Sciences (IMSc) India</t>
  </si>
  <si>
    <t>Mishra, G (corresponding author), Univ Warwick, Coventry, England.</t>
  </si>
  <si>
    <t>gopianjan117@gmail.com</t>
  </si>
  <si>
    <t>1432-4350</t>
  </si>
  <si>
    <t>1433-0490</t>
  </si>
  <si>
    <t>THEOR COMPUT SYST</t>
  </si>
  <si>
    <t>Theor. Comput. Syst.</t>
  </si>
  <si>
    <t>s00224-023-10136-w</t>
  </si>
  <si>
    <t>10.1007/s00224-023-10136-w</t>
  </si>
  <si>
    <t>Computer Science, Theory &amp; Methods; Mathematics</t>
  </si>
  <si>
    <t>S0TQ5</t>
  </si>
  <si>
    <t>WOS:001068383700001</t>
  </si>
  <si>
    <t>Chernyshov, PV; Marron, SE; Koumaki, D; Pustisek, N; Manolache, L; Salavastru, C; Suru, A; Sendrea, A; Svyatenko, T; Statkevych, O; Boffa, MJ; Grech, SB; Zemskov, S; Kuts, VV; Lishchynskyi, P; Chernyshov, AV; Tomas-Aragones, L</t>
  </si>
  <si>
    <t>Chernyshov, Pavel V.; Marron, Servando E.; Koumaki, Dimitra; Pustisek, Nives; Manolache, Liana; Salavastru, Carmen; Suru, Alina; Sendrea, Adelina; Svyatenko, Tetiana; Statkevych, Olha; Boffa, Michael J.; Grech, Sara Borg; Zemskov, Sergii; Kuts, Volodymyr V.; Lishchynskyi, Pavlo; Chernyshov, Andrii V.; Tomas-Aragones, Lucia</t>
  </si>
  <si>
    <t>Responsiveness and Minimal Clinically Important Difference of the Infants and Toddlers Dermatology Quality of Life Questionnaire</t>
  </si>
  <si>
    <t>DERMATOLOGY AND THERAPY</t>
  </si>
  <si>
    <t>Children; Dermatology; Infants and Toddlers Dermatology Quality of Life; Minimal clinically important difference; Quality of life; Responsiveness</t>
  </si>
  <si>
    <t>FAMILY; CHILDREN; GENDER; IMPACT; QUIMP</t>
  </si>
  <si>
    <t>BackgroundThe Infants and Toddlers Dermatology Quality of Life (InToDermQoL) is the dermatology-specific proxy health-related quality of life (HRQoL) instrument for children from birth to 4 years. The aim of the present study was to confirm the responsiveness and establish minimal clinically important difference (MCID) for the InToDermQoL.MethodsParents of children with skin diseases were asked to fill in the InToDermQoL at the initial visit (T1) and subsequent consultation (T2). We hypothesized that correlations between change scores of the InToDermQoL and change scores of global assessment of clinical severity by dermatologists and by patients' parents should be above 0.3. The receiver operating characteristic (ROC) curves method was also used for confirmation of responsiveness and determination of MCIDs of the InToDermQoL. The area under the ROC curve (AUC) was used as an indicator of responsiveness.ResultsResults of 442 patients were included. Correlations between change scores of age-specific versions of the InToDermQoL and change scores of global assessment of clinical severity by dermatologists and by patients' parents were above 0.3 (0.46-0.74). AUCs for age-specific versions of the InToDermQoL were acceptable (above 0.7) or excellent (above 0.8). Estimated MCIDs for the InToDermQoL were as follows: 3 points of total score change for 0-11 months, 5 for 1-2 years and 3 or 4 for 3-4 years version. Estimated MCIDs for the InToDermQoL version for 1-2-year-old children was higher than MCIDs for the 3-4-year-old version despite the higher number of items in the latter. Therefore a MCID of 5 was recommended for both these versions.ConclusionsResponsiveness for all age-specific versions of the InToDermQoL questionnaire was confirmed. MCIDs for the InToDermQoL are proposed as follows: 3-point change of the total score for age version 0-11 months and 5-point for the age versions 1-2 years and 3-4 years.</t>
  </si>
  <si>
    <t>[Chernyshov, Pavel V.] Natl Med Univ, Dept Dermatol &amp; Venereol, Bulvar Shevchenko 13, UA-01601 Kiev, Ukraine; [Marron, Servando E.] Univ Hosp Miguel Servet, Dept Dermatol, Aragon Psychodermatol Res Grp GAI PD, Zaragoza, Spain; [Koumaki, Dimitra] Univ Hosp Heraklion, Dept Dermatol &amp; Venereol, Iraklion, Crete, Greece; [Pustisek, Nives] Childrens Hosp Zagreb, Zagreb, Croatia; [Manolache, Liana] Dali Med, Dermatol, Bucharest, Romania; [Salavastru, Carmen; Suru, Alina; Sendrea, Adelina] Carol Davila Univ Med &amp; Pharm, Colentina Clin Hosp, Dept Paediat Dermatol, Bucharest, Romania; [Svyatenko, Tetiana; Statkevych, Olha] Dnipro State Med Univ, Dept Skin &amp; Venereal Dis, Dnipro, Ukraine; [Boffa, Michael J.; Grech, Sara Borg] Mater Dei Hosp, Dept Dermatol, Msida, Malta; [Zemskov, Sergii] Bogomolets Natl Med Univ, Dept Gen Surg, Kiev, Ukraine; [Kuts, Volodymyr V.] Natl Acad Med Sci Ukraine, State Org Natl Inst Phthisiol &amp; Pulmonol, Dept Informat &amp; Comp Technol, Kiev, Ukraine; [Lishchynskyi, Pavlo] Minist Hlth Ukraine, Ukrainian Sci &amp; Pract Ctr Endocrine Surg, Transplantat Endocrine Organs &amp; Tissues, Kiev, Ukraine; [Chernyshov, Andrii V.] Natl Acad Med Sci Ukraine, State Inst Natl Res Ctr Radiat Med, Dept Cellular Radiobiol, Kiev, Ukraine; [Tomas-Aragones, Lucia] Univ Zaragoza, Dept Psychol, Zaragoza, Spain</t>
  </si>
  <si>
    <t>Bogomolets National Medical University; Miguel Servet University Hospital; University Hospital of Heraklion; University of Zagreb; Carol Davila University of Medicine &amp; Pharmacy; Dnipro State Medical University; Bogomolets National Medical University; National Academy of Medical Sciences of Ukraine; Ministry of Health of Ukraine; Ukrainian Scientific &amp; Practical Center of Endocrine Surgery, Transplantation of Endocrine Organs &amp; Tissues of the Ministry of Health of Ukraine; National Academy of Medical Sciences of Ukraine; National Research Center for Radiation Medicine of National Academy of Medical Sciences of Ukraine; University of Zaragoza</t>
  </si>
  <si>
    <t>Chernyshov, PV (corresponding author), Natl Med Univ, Dept Dermatol &amp; Venereol, Bulvar Shevchenko 13, UA-01601 Kiev, Ukraine.</t>
  </si>
  <si>
    <t>chernyshovpavel@ukr.net</t>
  </si>
  <si>
    <t>We thank the participants of the study.</t>
  </si>
  <si>
    <t>ADIS INT LTD</t>
  </si>
  <si>
    <t>NORTHCOTE</t>
  </si>
  <si>
    <t>5 THE WAREHOUSE WAY, NORTHCOTE 0627, AUCKLAND, NEW ZEALAND</t>
  </si>
  <si>
    <t>2193-8210</t>
  </si>
  <si>
    <t>2190-9172</t>
  </si>
  <si>
    <t>DERMATOLOGY THER</t>
  </si>
  <si>
    <t>Dermatol. Ther.</t>
  </si>
  <si>
    <t>10.1007/s13555-023-01022</t>
  </si>
  <si>
    <t>Dermatology</t>
  </si>
  <si>
    <t>S1LX2</t>
  </si>
  <si>
    <t>WOS:001068865700001</t>
  </si>
  <si>
    <t>El-Hoseny, HM; Farahat, MA; El-Hag, NA</t>
  </si>
  <si>
    <t>El-Hoseny, Heba M.; Farahat, Mohammed A.; El-Hag, Noha A.</t>
  </si>
  <si>
    <t>An efficient Stego-OptDehaz algorithm for image dehazing and metadata concealment</t>
  </si>
  <si>
    <t>JOURNAL OF OPTICS-INDIA</t>
  </si>
  <si>
    <t>Image dehazing; Particle swarm optimization; Least significant bit steganography</t>
  </si>
  <si>
    <t>To better protect our planet and meet the challenges of climate change, greater emphasis in all sciences must be placed on applying data science and image processing technologies to improve methods that predict disasters and enhance the means of dealing with them. As a result, clearing up images allows us to keep an eye on the weather in areas like farms, coastlines, and highways in order to better adapt to climate change and other environmental challenges. When bad weather strikes, like fog, haze, or a combination of the two, it degrades the quality of any images captured. The imaging technology we have now is not good enough to stop the rapid loss of visibility caused by bad weather. For this reason, a dehazing and security model is proposed that is both effective and efficient. Using multiple gamma-corrected images, this model achieves optimal multi-exposure image fusion. To get the best gamma values for improving image quality, the dehazing model is combined with particle swarm optimization. The proposed model's strength lies in its ability to analyze both local and global image features to generate optimally enhanced images. Then, the least significant bit (LSB) steganography techniqueis implemented to secretly insert data into a cover file. LSB values must be altered to conceal the message inside the cover art or text (which is the carrier). The secret message is disassembled and concealed in the final part of the cover image and text so that the attackers cannot find it. The initial three bits of the message are embedded within the concluding three bits of the red component, followed by the subsequent three bits of the message within the final three bits of the green component. The last two bits of the blue component are then employed to carry the remaining two bits of the message. Just two bits in the blue component were employed due to the increased visibility of blue fluctuations to the human eye.</t>
  </si>
  <si>
    <t>[El-Hoseny, Heba M.; Farahat, Mohammed A.] Higher Future Inst Specialized Technol Studies, Dept Comp Sci, El Shorouk, Egypt; [El-Hag, Noha A.] Higher Inst Commercial Sci Al Mahalla Al Kubra, Algarbia 31951, Egypt</t>
  </si>
  <si>
    <t>El-Hag, NA (corresponding author), Higher Inst Commercial Sci Al Mahalla Al Kubra, Algarbia 31951, Egypt.</t>
  </si>
  <si>
    <t>hebam.elhoseny@gmail.com; nohaeng940@yahoo.com</t>
  </si>
  <si>
    <t>0972-8821</t>
  </si>
  <si>
    <t>0974-6900</t>
  </si>
  <si>
    <t>J OPT-INDIA</t>
  </si>
  <si>
    <t>J. Opt.-India</t>
  </si>
  <si>
    <t>10.1007/s12596-023-01364</t>
  </si>
  <si>
    <t>Optics</t>
  </si>
  <si>
    <t>S0UN2</t>
  </si>
  <si>
    <t>WOS:001068406500001</t>
  </si>
  <si>
    <t>Gunasekaran, PK; Jindal, P; Laxmi, V; Manjunathan, S; Kumar, A; Tandon, M; Yadav, T; Saini, L</t>
  </si>
  <si>
    <t>Gunasekaran, Pradeep Kumar; Jindal, Pooja; Laxmi, Veena; Manjunathan, Sujatha; Kumar, Ashna; Tandon, Manjari; Yadav, Taruna; Saini, Lokesh</t>
  </si>
  <si>
    <t>Knobloch Syndrome - Triad of Occipital Encephalocele, Retino-Choroidal Detachment and Epilepsy</t>
  </si>
  <si>
    <t>INDIAN JOURNAL OF PEDIATRICS</t>
  </si>
  <si>
    <t>Letter; Early Access</t>
  </si>
  <si>
    <t>[Gunasekaran, Pradeep Kumar; Jindal, Pooja; Laxmi, Veena; Manjunathan, Sujatha; Kumar, Ashna; Saini, Lokesh] All India Inst Med Sci, Dept Pediat, Jodhpur 342005, Rajasthan, India; [Tandon, Manjari] All India Inst Med Sci, Dept Ophthalmol, Jodhpur, Rajasthan, India; [Yadav, Taruna] All India Inst Med Sci, Dept Diagnost &amp; Intervent Radiol, Jodhpur, Rajasthan, India</t>
  </si>
  <si>
    <t>All India Institute of Medical Sciences (AIIMS) Jodhpur; All India Institute of Medical Sciences (AIIMS) Jodhpur; All India Institute of Medical Sciences (AIIMS) Jodhpur</t>
  </si>
  <si>
    <t>Saini, L (corresponding author), All India Inst Med Sci, Dept Pediat, Jodhpur 342005, Rajasthan, India.</t>
  </si>
  <si>
    <t>drlokeshsaini@gmail.com</t>
  </si>
  <si>
    <t>0019-5456</t>
  </si>
  <si>
    <t>0973-7693</t>
  </si>
  <si>
    <t>INDIAN J PEDIATR</t>
  </si>
  <si>
    <t>Indian J. Pediatr.</t>
  </si>
  <si>
    <t>s12098-023-04861-w</t>
  </si>
  <si>
    <t>10.1007/s12098-023-04861-w</t>
  </si>
  <si>
    <t>Pediatrics</t>
  </si>
  <si>
    <t>S2UD3</t>
  </si>
  <si>
    <t>WOS:001069764100001</t>
  </si>
  <si>
    <t>Hong, JS; Fraebel, J; Yang, Y; Tkacyk, E; Kitko, C; Kim, TK</t>
  </si>
  <si>
    <t>Hong, Junshik; Fraebel, Johnathan; Yang, Yenny; Tkacyk, Eric; Kitko, Carrie; Kim, Tae Kon</t>
  </si>
  <si>
    <t>Understanding and treatment of cutaneous graft-versus-host-disease</t>
  </si>
  <si>
    <t>BONE MARROW TRANSPLANTATION</t>
  </si>
  <si>
    <t>MESENCHYMAL STROMAL CELLS; REFRACTORY ACUTE GVHD; REGULATORY T-CELLS; CONSENSUS DEVELOPMENT PROJECT; ULTRAVIOLET-B PHOTOTHERAPY; RESISTANT ACUTE GVHD; RISK-FACTORS; STEM-CELLS; EXTRACORPOREAL PHOTOPHERESIS; STEROID-RESISTANT</t>
  </si>
  <si>
    <t>The skin is the outermost mechanical barrier where dynamic immune reactions take place and is the most commonly affected site in both acute and chronic graft-versus-host disease (GVHD). If not properly treated, pain and pruritis resulting from cutaneous GVHD can increase the risk of secondary infection due to erosions, ulcerations, and damage of underlying tissues. Furthermore, resulting disfiguration can cause distress and significantly impact patients' quality of life. Thus, a deeper understanding of skin-specific findings of GVHD is needed. This review will highlight some promising results of recent pre-clinical studies on the pathophysiology of skin GVHD and summarize the diagnostic and staging/grading procedures according to the clinical manifestations of skin GVHD. In addition, we will summarize outcomes of various GVHD treatments, including skin-specific response rates.</t>
  </si>
  <si>
    <t>[Hong, Junshik] Seoul Natl Univ, Seoul Natl Univ Hosp, Coll Med, Dept Internal Med, Seoul, South Korea; [Hong, Junshik] Seoul Natl Univ, Canc Res Inst, Coll Med, Seoul, South Korea; [Hong, Junshik; Fraebel, Johnathan; Yang, Yenny; Kim, Tae Kon] Vanderbilt Univ, Med Ctr, Dept Med, Div Hematol Oncol, Nashville, TN 37235 USA; [Tkacyk, Eric; Kim, Tae Kon] Vet Affairs Tennessee Valley Hlth Care, Nashville, TN 37212 USA; [Tkacyk, Eric] Vanderbilt Univ, Med Ctr, Dept Dermatol, Nashville, TN USA; [Kitko, Carrie] Monroe Carell Jr Childrens Hosp, Vanderbilt Div Pediat Hematol Oncol, Nashville, TN USA; [Kitko, Carrie; Kim, Tae Kon] Vanderbilt Ingram Canc Ctr, Nashville, TN 37232 USA; [Kim, Tae Kon] Vanderbilt Univ, Vanderbilt Ctr Immunobiol, Med Ctr, Nashville, TN 37235 USA</t>
  </si>
  <si>
    <t>Seoul National University (SNU); Seoul National University Hospital; Seoul National University (SNU); Vanderbilt University; Vanderbilt University; Vanderbilt University; Vanderbilt University</t>
  </si>
  <si>
    <t>Kim, TK (corresponding author), Vanderbilt Univ, Med Ctr, Dept Med, Div Hematol Oncol, Nashville, TN 37235 USA.;Kim, TK (corresponding author), Vet Affairs Tennessee Valley Hlth Care, Nashville, TN 37212 USA.;Kim, TK (corresponding author), Vanderbilt Ingram Canc Ctr, Nashville, TN 37232 USA.;Kim, TK (corresponding author), Vanderbilt Univ, Vanderbilt Ctr Immunobiol, Med Ctr, Nashville, TN 37235 USA.</t>
  </si>
  <si>
    <t>tae.k.kim@vumc.org</t>
  </si>
  <si>
    <t>We thank Dr. Bipin Savani for useful discussion. This study was partially supported by a Patterson Foundation Seary Clinical Investigator Award, an American Society of Hematology Scholar Award, an Edward P. Evans Foundation Young Investigator Award, a Conq; Patterson Foundation Seary Clinical Investigator Award; American Society of Hematology Scholar Award; Edward P. Evans Foundation Young Investigator Award; Conquer Cancer Foundation American Society of Clinical Oncology Career Development Grant; American Cancer Society Clinician Scientist Development Grant; Vanderbilt Ingram Cancer Center CCSG [IK2 CX001785]; Career Development Award from the United States Department of Veterans Affairs Clinical Sciences Ramp;amp;D Service</t>
  </si>
  <si>
    <t>We thank Dr. Bipin Savani for useful discussion. This study was partially supported by a Patterson Foundation Seary Clinical Investigator Award, an American Society of Hematology Scholar Award, an Edward P. Evans Foundation Young Investigator Award, a Conq; Patterson Foundation Seary Clinical Investigator Award; American Society of Hematology Scholar Award; Edward P. Evans Foundation Young Investigator Award; Conquer Cancer Foundation American Society of Clinical Oncology Career Development Grant; American Cancer Society Clinician Scientist Development Grant(American Cancer Society); Vanderbilt Ingram Cancer Center CCSG; Career Development Award from the United States Department of Veterans Affairs Clinical Sciences Ramp;amp;D Service</t>
  </si>
  <si>
    <t>We thank Dr. Bipin Savani for useful discussion. This study was partially supported by a Patterson Foundation Seary Clinical Investigator Award, an American Society of Hematology Scholar Award, an Edward P. Evans Foundation Young Investigator Award, a Conquer Cancer Foundation American Society of Clinical Oncology Career Development Grant, and an American Cancer Society Clinician Scientist Development Grant, Vanderbilt Ingram Cancer Center CCSG (to TKK). ERT was supported by a Career Development Award from the United States Department of Veterans Affairs Clinical Sciences R &amp; amp;D Service (IK2 CX001785).</t>
  </si>
  <si>
    <t>0268-3369</t>
  </si>
  <si>
    <t>1476-5365</t>
  </si>
  <si>
    <t>BONE MARROW TRANSPL</t>
  </si>
  <si>
    <t>Bone Marrow Transplant.</t>
  </si>
  <si>
    <t>10.1038/s41409-023-02109</t>
  </si>
  <si>
    <t>Biophysics; Oncology; Hematology; Immunology; Transplantation</t>
  </si>
  <si>
    <t>S1TE2</t>
  </si>
  <si>
    <t>WOS:001069057500001</t>
  </si>
  <si>
    <t>Huang, YH; Chen, M; Hu, GQ; Wu, B; He, MX</t>
  </si>
  <si>
    <t>Huang, Yuhuan; Chen, Mao; Hu, Guoquan; Wu, Bo; He, Mingxiong</t>
  </si>
  <si>
    <t>Elimination of editing plasmid mediated by theophylline riboswitch in Zymomonas mobilis</t>
  </si>
  <si>
    <t>APPLIED MICROBIOLOGY AND BIOTECHNOLOGY</t>
  </si>
  <si>
    <t>Elimination of editing plasmid; Theophylline-dependent riboswitch; CRISPR-Cas system; Zymomonas mobilis</t>
  </si>
  <si>
    <t>SYNTHETIC RIBOSWITCHES; GENE-EXPRESSION; RNA; CONSTRUCTION; TRANSLATION</t>
  </si>
  <si>
    <t>Zymomonas mobilis is regarded as a potential chassis for the production of platform chemicals. Genome editing using the CRISPR-Cas system could meet the need for gene modification in metabolic engineering. However, the low curing efficiency of CRISPR editing plasmid is a common bottleneck in Z. mobilis. In this study, we utilized a theophylline-dependent riboswitch to regulate the expression of the replicase gene of the editing plasmid, thereby promoting the elimination of exogeneous plasmid. The riboswitch D (RSD) with rigorous regulatory ability was identified as the optimal candidate by comparing the transformation efficiency of four theophylline riboswitch-based backbone editing plasmids, and the optimal theophylline concentration for inducing RSD was determined to be 2 mM. A highly effective method for eliminating the editing plasmid, cells with RSD-based editing plasmid which were cultured in liquid and solid RM media in alternating passages at 37 degrees C without shaking, was established by testing the curing efficiency of backbone editing plasmids pMini and pMini-RSD in RM medium with or without theophylline at 30 degrees C or 37 degrees C. Finally, the RSD-based editing plasmid was applied to genome editing, resulting in an increase of more than 10% in plasmid elimination efficiency compared to that of pMini-based editing plasmid.</t>
  </si>
  <si>
    <t>[Huang, Yuhuan; Chen, Mao; Hu, Guoquan; Wu, Bo; He, Mingxiong] Biomass Energy Technol Res Ctr, Biogas Inst, Minist Agr &amp; Rural Affairs, Key Lab Dev &amp; Applicat Rural Renewable Energy, Sect 4-13,Renmin South Rd, Chengdu 610041, Peoples R China; [Huang, Yuhuan; Chen, Mao] Chinese Acad Agr Sci, Grad Sch, Beijing 100081, Peoples R China</t>
  </si>
  <si>
    <t>Chinese Academy of Agricultural Sciences; Biogas Institute of Ministry of Agriculture, CAAS; Ministry of Agriculture &amp; Rural Affairs; Chinese Academy of Agricultural Sciences; Graduate School, CAAS</t>
  </si>
  <si>
    <t>Wu, B; He, MX (corresponding author), Biomass Energy Technol Res Ctr, Biogas Inst, Minist Agr &amp; Rural Affairs, Key Lab Dev &amp; Applicat Rural Renewable Energy, Sect 4-13,Renmin South Rd, Chengdu 610041, Peoples R China.</t>
  </si>
  <si>
    <t>82101221036@caas.cn; chenmao92@hotmail.com; huguoquan@caas.cn; wubo@caas.cn; hemingxiong@caas.cn</t>
  </si>
  <si>
    <t>Wu, Bo/0000-0001-6434-8282</t>
  </si>
  <si>
    <t>National Natural Science Foundation of China [32070036]; Sichuan Science and Technology Program [2023YFN0025]; Central Public-interest Scientific Institution Basal Research Fund [1610012021001_03202, CAAS-ASTIP-2016-BIOMA]; Agricultural Science and Technology Innovation Project of Chinese Academy of Agricultural Sciences [610012022009-03102]</t>
  </si>
  <si>
    <t>National Natural Science Foundation of China(National Natural Science Foundation of China (NSFC)); Sichuan Science and Technology Program; Central Public-interest Scientific Institution Basal Research Fund; Agricultural Science and Technology Innovation Project of Chinese Academy of Agricultural Sciences</t>
  </si>
  <si>
    <t>This research was financially supported by the National Natural Science Foundation of China (Grant No. 32070036), Sichuan Science and Technology Program (Grant No. 2023YFN0025), and Central Public-interest Scientific Institution Basal Research Fund (1610012021001_03202) to Mingxiong He; by Agricultural Science and Technology Innovation Project of Chinese Academy of Agricultural Sciences (CAAS-ASTIP-2016-BIOMA) to Guoquan Hu; and by Central Public-Interest Scientific Institution Basal Research Fund (610012022009-03102) to Bo Wu</t>
  </si>
  <si>
    <t>0175-7598</t>
  </si>
  <si>
    <t>1432-0614</t>
  </si>
  <si>
    <t>APPL MICROBIOL BIOT</t>
  </si>
  <si>
    <t>Appl. Microbiol. Biotechnol.</t>
  </si>
  <si>
    <t>10.1007/s00253-023-12783-y</t>
  </si>
  <si>
    <t>S3VV4</t>
  </si>
  <si>
    <t>WOS:001070489300002</t>
  </si>
  <si>
    <t>Jin, EZ; Wang, YG; Xu, ZX; Yan, XF; Wang, XK</t>
  </si>
  <si>
    <t>Jin, En-Ze; Wang, Yu-Ge; Xu, Ze-Xing; Yan, Xu-Feng; Wang, Xie-Kang</t>
  </si>
  <si>
    <t>Hydrometeorological-modeling-based analysis and risk assessment of a torrential rainfall flash flood in a data deficient area in Wenchuan County, Sichuan Province, China</t>
  </si>
  <si>
    <t>STOCHASTIC ENVIRONMENTAL RESEARCH AND RISK ASSESSMENT</t>
  </si>
  <si>
    <t>Hydrometeorological analysis; Ungauged basins; Heavy rainfall; Flash floods; Wenchuan</t>
  </si>
  <si>
    <t>MOVING RAINSTORMS; RIVER-BASIN; REAL-TIME; WRF MODEL; PRECIPITATION; EARTHQUAKE; RUNOFF; SIMULATION; CONVECTION; DAMAGES</t>
  </si>
  <si>
    <t>The objective of this study is to simulate the rainfall-runoff process of mountain torrents in the Shou River Basin located in the southern part of Wenchuan County, Sichuan Province. The basin encountered a significant flood disaster on August 20, 2019, resulting in substantial human and economic losses, as well as limited hydrological data availability. This research employs a unidirectional coupling approach by integrating the Weather Research and Forecasting Model (WRF) with the Storm Water Management Model (SWMM) to accurately simulate rainfall-runoff processes. To account for the non-uniform distribution of precipitation within mountainous watersheds, high-precision rainfall data generated by WRF are extracted and utilized as input for the SWMM model. The quantitative comparison between the evolution of spatial distribution of rainstorms and hourly precipitation processes demonstrates that the WRF model effectively captures dynamic changes in rainstorms. Analysis results indicate a trend of rainfall center movement from midstream to downstream, with sub-watersheds' superimposed effect on rainfall response leading to increased flood peak response, duration, and destructive power. This study provides an effective method and reference for predicting and assessing mountain flood disasters in data-scarce areas such as the Shou River Basin.</t>
  </si>
  <si>
    <t>[Jin, En-Ze; Wang, Yu-Ge; Xu, Ze-Xing; Yan, Xu-Feng; Wang, Xie-Kang] Sichuan Univ, State Key Lab Hydraul &amp; Mt River Engn, Chengdu, Peoples R China</t>
  </si>
  <si>
    <t>Sichuan University</t>
  </si>
  <si>
    <t>Wang, XK (corresponding author), Sichuan Univ, State Key Lab Hydraul &amp; Mt River Engn, Chengdu, Peoples R China.</t>
  </si>
  <si>
    <t>wangxiekang@scu.edu.cn</t>
  </si>
  <si>
    <t>This research was supported by National Natural Science Foundation of China (52239006, 51639007). [52239006, 51639007]; National Natural Science Foundation of China</t>
  </si>
  <si>
    <t>This research was supported by National Natural Science Foundation of China (52239006, 51639007).(National Natural Science Foundation of China (NSFC)); National Natural Science Foundation of China(National Natural Science Foundation of China (NSFC))</t>
  </si>
  <si>
    <t>This research was supported by National Natural Science Foundation of China (52239006, 51639007).</t>
  </si>
  <si>
    <t>1436-3240</t>
  </si>
  <si>
    <t>1436-3259</t>
  </si>
  <si>
    <t>STOCH ENV RES RISK A</t>
  </si>
  <si>
    <t>Stoch. Environ. Res. Risk Assess.</t>
  </si>
  <si>
    <t>10.1007/s00477-023-02553-7</t>
  </si>
  <si>
    <t>Engineering, Environmental; Engineering, Civil; Environmental Sciences; Statistics &amp; Probability; Water Resources</t>
  </si>
  <si>
    <t>Engineering; Environmental Sciences &amp; Ecology; Mathematics; Water Resources</t>
  </si>
  <si>
    <t>S2RA9</t>
  </si>
  <si>
    <t>WOS:001069682400001</t>
  </si>
  <si>
    <t>Lima, BB; Benz, DC</t>
  </si>
  <si>
    <t>Lima, Bruno B.; Benz, Dominik C.</t>
  </si>
  <si>
    <t>Casting aside the creep: harnessing cardiorespiratory dynamics to optimize myocardial flow assessment in cardiac PET</t>
  </si>
  <si>
    <t>JOURNAL OF NUCLEAR CARDIOLOGY</t>
  </si>
  <si>
    <t>Editorial Material; Early Access</t>
  </si>
  <si>
    <t>BLOOD-FLOW; RB-82 PET; DIAGNOSIS; DISEASE; SPECT; HEART</t>
  </si>
  <si>
    <t>[Lima, Bruno B.] Vanderbilt Univ, Med Ctr, Dept Internal Med, Div Cardiovasc Med, Nashville, TN USA; [Benz, Dominik C.] Univ Hosp Zurich, Dept Nucl Med, Cardiac Imaging, Zurich, Switzerland; [Benz, Dominik C.] Univ Hosp Zurich, Dept Nucl Med, Cardiac Imaging, Raemistr 100, CH-8091 Zurich, Switzerland</t>
  </si>
  <si>
    <t>Vanderbilt University; University of Zurich; University Zurich Hospital; University of Zurich; University Zurich Hospital</t>
  </si>
  <si>
    <t>Benz, DC (corresponding author), Univ Hosp Zurich, Dept Nucl Med, Cardiac Imaging, Raemistr 100, CH-8091 Zurich, Switzerland.</t>
  </si>
  <si>
    <t>dominik.benz@usz.ch</t>
  </si>
  <si>
    <t>1071-3581</t>
  </si>
  <si>
    <t>1532-6551</t>
  </si>
  <si>
    <t>J NUCL CARDIOL</t>
  </si>
  <si>
    <t>J. Nucl. Cardiol.</t>
  </si>
  <si>
    <t>10.1007/s12350-023-03376-3</t>
  </si>
  <si>
    <t>Cardiac &amp; Cardiovascular Systems; Radiology, Nuclear Medicine &amp; Medical Imaging</t>
  </si>
  <si>
    <t>Cardiovascular System &amp; Cardiology; Radiology, Nuclear Medicine &amp; Medical Imaging</t>
  </si>
  <si>
    <t>S3VV3</t>
  </si>
  <si>
    <t>WOS:001070489200002</t>
  </si>
  <si>
    <t>Okawa, Y</t>
  </si>
  <si>
    <t>Okawa, Yuya</t>
  </si>
  <si>
    <t>Unary InterpretabilityLogics for Sublogics of theInterpretability Logic IL</t>
  </si>
  <si>
    <t>STUDIA LOGICA</t>
  </si>
  <si>
    <t>Interpretability logic; Unary interpretability logic</t>
  </si>
  <si>
    <t>De Rijke introduced a unary interpretability logic il, and proved that il is the unary counterpart of the binary interpretability logic IL. In this paper, we find the unary counterparts of the sublogics of IL</t>
  </si>
  <si>
    <t>[Okawa, Yuya] Chiba Univ, Grad Sch Sci, 1-33 Yayoi Cho,Inage Ku, Chiba, Chiba 2638522, Japan</t>
  </si>
  <si>
    <t>Chiba University</t>
  </si>
  <si>
    <t>Okawa, Y (corresponding author), Chiba Univ, Grad Sch Sci, 1-33 Yayoi Cho,Inage Ku, Chiba, Chiba 2638522, Japan.</t>
  </si>
  <si>
    <t>ahga4770@chiba-u.jp</t>
  </si>
  <si>
    <t>The author would like to thank to Taishi Kurahashi for his helpful and valuable comments. The research was supported by Foundation of Research Fellows, The Mathematical Society of Japan.; Foundation of Research Fellows, The Mathematical Society of Japan</t>
  </si>
  <si>
    <t>The author would like to thank to Taishi Kurahashi for his helpful and valuable comments. The research was supported by Foundation of Research Fellows, The Mathematical Society of Japan.</t>
  </si>
  <si>
    <t>0039-3215</t>
  </si>
  <si>
    <t>1572-8730</t>
  </si>
  <si>
    <t>STUD LOGICA</t>
  </si>
  <si>
    <t>Stud. Log.</t>
  </si>
  <si>
    <t>10.1007/s11225-023-10068</t>
  </si>
  <si>
    <t>Mathematics; Logic; Philosophy</t>
  </si>
  <si>
    <t>Science Citation Index Expanded (SCI-EXPANDED); Arts &amp; Humanities Citation Index (A&amp;HCI)</t>
  </si>
  <si>
    <t>Mathematics; Science &amp; Technology - Other Topics; Philosophy</t>
  </si>
  <si>
    <t>S1TJ1</t>
  </si>
  <si>
    <t>WOS:001069062400002</t>
  </si>
  <si>
    <t>Singh, M</t>
  </si>
  <si>
    <t>Singh, Meenu</t>
  </si>
  <si>
    <t>Essential Pediatric Pulmonology: Sushil K Kabra and Rakesh Lodha</t>
  </si>
  <si>
    <t>Book Review; Early Access</t>
  </si>
  <si>
    <t>[Singh, Meenu] AIIMS, Rishikesh, India; [Singh, Meenu] PGI Chandigarh, Chandigarh, India</t>
  </si>
  <si>
    <t>All India Institute of Medical Sciences (AIIMS) Rishikesh; Post Graduate Institute of Medical Education &amp; Research (PGIMER), Chandigarh</t>
  </si>
  <si>
    <t>Singh, M (corresponding author), AIIMS, Rishikesh, India.;Singh, M (corresponding author), PGI Chandigarh, Chandigarh, India.</t>
  </si>
  <si>
    <t>meenusingh4@gmail.com</t>
  </si>
  <si>
    <t>10.1007/s12098-023-04774-8</t>
  </si>
  <si>
    <t>WOS:001069764100002</t>
  </si>
  <si>
    <t>Sun, L; Patel, S; Fiorina, C; Glass, A; Rochaix, L; CBIG SCREEN Consortium; Foss, AM; Legood, R</t>
  </si>
  <si>
    <t>Sun, Li; Patel, Shruti; Fiorina, Camilla; Glass, Audrey; Rochaix, Lise; CBIG SCREEN Consortium; Foss, Anna M.; Legood, Rosa</t>
  </si>
  <si>
    <t>A systematic review of the cost-effectiveness of interventions to increase cervical cancer screening among underserved women in Europe</t>
  </si>
  <si>
    <t>EUROPEAN JOURNAL OF HEALTH ECONOMICS</t>
  </si>
  <si>
    <t>Cervical cancer screening; Cost-effectiveness; Uptake rates; Coverage; Attendance; Inequalitie</t>
  </si>
  <si>
    <t>SOCIOECONOMIC INEQUALITIES; RANDOMIZED-TRIAL; NON-ATTENDEES; PARTICIPATION; COVERAGE; IMPROVE; HPV; BARRIERS; PROGRAM; HISTORY</t>
  </si>
  <si>
    <t>BackgroundThis study aimed to conduct a systematic review of the cost-effectiveness studies of interventions to increase cervical cancer screening uptake rates in underserved women in Europe.MethodsA search of Embase, Medline, Global Health, PsychINFO, and NHS Economic Evaluation Database was conducted for studies published between January 2000 and September 2022. Studies were eligible if they analysed the cost-effectiveness of any interventions to improve participation in cervical cancer screening among underserved women of any age eligible to participate in cervical cancer screening in European countries, in any language. Study characteristics and cost-effectiveness results were summarised. Study quality was assessed using the Drummond Checklist, and methodological choices were further compared.ResultsThe searches yielded 962 unique studies, with 17 of these (from twelve European countries) meeting the eligibility criteria for data extraction. All studies focused on underscreened women as an overarching group, with no identified studies focusing on specific subgroups of underserved women. Generally, self-HPV testing and reminder interventions were shown to be cost-effective to increase the uptake rates. There was also research showing that addressing access issues and adopting different screening modalities could be economically attractive in some settings, but the current evidence is insufficient due to the limited number of studies.ConclusionThis systematic review has revealed a gap in the literature on the cost-effectiveness of interventions to improve uptake rates of cervical cancer screening through tailored provision for specific groups of underserved women.</t>
  </si>
  <si>
    <t>[Sun, Li; Patel, Shruti; Legood, Rosa] London Sch Hyg &amp; Trop Med, Fac Publ Hlth &amp; Policy, Dept Hlth Serv Res &amp; Policy, London, England; [Fiorina, Camilla; Glass, Audrey; Rochaix, Lise] Paris Sch Econ, Paris, France; [Foss, Anna M.] London Sch Hyg &amp; Trop Med, Fac Publ Hlth &amp; Policy, Dept Global Hlth &amp; Dev, London, England</t>
  </si>
  <si>
    <t>University of London; London School of Hygiene &amp; Tropical Medicine; Paris School of Economics; University of London; London School of Hygiene &amp; Tropical Medicine</t>
  </si>
  <si>
    <t>Sun, L (corresponding author), London Sch Hyg &amp; Trop Med, Fac Publ Hlth &amp; Policy, Dept Hlth Serv Res &amp; Policy, London, England.</t>
  </si>
  <si>
    <t>li.sun1@lshtm.ac.uk</t>
  </si>
  <si>
    <t>European Union [964049]</t>
  </si>
  <si>
    <t>European Union(European Union (EU))</t>
  </si>
  <si>
    <t>CBIG-SCREEN has received funding from the European Union's Horizon 2020 research and innovation programme under grant agreement No 964049.</t>
  </si>
  <si>
    <t>1618-7598</t>
  </si>
  <si>
    <t>1618-7601</t>
  </si>
  <si>
    <t>EUR J HEALTH ECON</t>
  </si>
  <si>
    <t>Eur. J. Health Econ.</t>
  </si>
  <si>
    <t>10.1007/s10198-023-01627-1</t>
  </si>
  <si>
    <t>Economics; Health Policy &amp; Services</t>
  </si>
  <si>
    <t>Business &amp; Economics; Health Care Sciences &amp; Services</t>
  </si>
  <si>
    <t>R9OU4</t>
  </si>
  <si>
    <t>WOS:001067580500001</t>
  </si>
  <si>
    <t>Tecen-Yucel, K; Ozdemir, N; Kara, E; Demirkan, K; Sancar, M; Okuyan, B</t>
  </si>
  <si>
    <t>Tecen-Yucel, Kamer; Ozdemir, Nesligul; Kara, Emre; Demirkan, Kutay; Sancar, Mesut; Okuyan, Betul</t>
  </si>
  <si>
    <t>Factors associated with intention of clinical pharmacists and candidates to provide pharmaceutical care: application of theory planned behaviour</t>
  </si>
  <si>
    <t>BMC MEDICAL EDUCATION</t>
  </si>
  <si>
    <t>The theory of planned behaviour; Pharmaceutical care; Clinical pharmacy</t>
  </si>
  <si>
    <t>SAMPLE-SIZE</t>
  </si>
  <si>
    <t>Background Postgraduate education programs in clinical pharmacy have become widespread in Turkiye. This study aimed to identify factors associated with the intention of Turkish clinical pharmacists and candidates (who were graduates and students of postgraduate clinical pharmacy programs) to provide pharmaceutical care.Methods This prospective observational study was conducted between June 2021 and May 2022. After searching relevant studies, an expert panel discussion, translation, cultural adaptation, and a pilot study developed a 52-item Turkish scale based on the Theory of Planned Behavior (TBP). Cronbach alpha for each construct was calculated after an explanatory factor and test-retest reliability analysis. An online survey link was sent to all graduates or candidates of postgraduate clinical pharmacy programs in Turkiye. After univariate regression analysis, the multiple linear regression model was performed.Results One hundred fifty-six participants completed the survey (response rate: 59.1%). The Cronbach's alpha for attitude (9 items), subjective norm (6 items), perceived behavioural control (5 items), self-efficacy (6 items), intention (11 items) and past behaviour (15 items) were 0.945, 0.720, 0.751, 0.864, 0.934 and 0.955 respectively. The multiple linear regression analysis found a higher score of the subjective norm (p = 0.016), a higher score of self-efficacy (p &lt; 0.001), younger age (p &lt; 0.001) and having PhD (p = 0.038) were associated with increased intention score.Conclusions It was shown that higher self efficacy and positive beliefs of their peers and other healthcare professionals were associated with their higher intention score for providing pharmaceutical care. Younger age and having a PhD were other factors associated with their intention to provide pharmaceutical care.</t>
  </si>
  <si>
    <t>[Tecen-Yucel, Kamer] Anadolu Univ, Fac Pharm, Dept Clin Pharm, TR-26470 Eskisehir, Turkiye; [Ozdemir, Nesligul] Inonu Univ, Fac Pharm, Dept Clin Pharm, Malatya, Turkiye; [Kara, Emre; Demirkan, Kutay] Hacettepe Univ, Fac Pharm, Dept Clin Pharm, Ankara, Turkiye; [Sancar, Mesut; Okuyan, Betul] Marmara Univ, Fac Pharm, Dept Clin Pharm, Istanbul, Turkiye</t>
  </si>
  <si>
    <t>Anadolu University; Inonu University; Hacettepe University; Marmara University</t>
  </si>
  <si>
    <t>Tecen-Yucel, K (corresponding author), Anadolu Univ, Fac Pharm, Dept Clin Pharm, TR-26470 Eskisehir, Turkiye.</t>
  </si>
  <si>
    <t>kamertecen@anadolu.edu.tr</t>
  </si>
  <si>
    <t>1472-6920</t>
  </si>
  <si>
    <t>BMC MED EDUC</t>
  </si>
  <si>
    <t>BMC Med. Educ.</t>
  </si>
  <si>
    <t>SEP 20</t>
  </si>
  <si>
    <t>10.1186/s12909-023-04658-7</t>
  </si>
  <si>
    <t>Education &amp; Educational Research; Education, Scientific Disciplines</t>
  </si>
  <si>
    <t>Education &amp; Educational Research</t>
  </si>
  <si>
    <t>S4HT1</t>
  </si>
  <si>
    <t>WOS:001070801100001</t>
  </si>
  <si>
    <t>Turkgeldi, E; Yildiz, S; Kalafat, E; Keles, I; Ata, B; Bozdag, G</t>
  </si>
  <si>
    <t>Turkgeldi, E.; Yildiz, S.; Kalafat, E.; Keles, I.; Ata, B.; Bozdag, G.</t>
  </si>
  <si>
    <t>Can endometrial compaction predict live birth rates in assisted reproductive technology cycles? A systematic review and meta-analysis</t>
  </si>
  <si>
    <t>JOURNAL OF ASSISTED REPRODUCTION AND GENETICS</t>
  </si>
  <si>
    <t>Endometrial compaction; Endometrial thickness; In vitro fertilization; Live birth; Assisted reproduction; Embryo transfer</t>
  </si>
  <si>
    <t>EMBRYO-TRANSFER; THICKNESS; FRESH; OUTCOMES; PATTERN</t>
  </si>
  <si>
    <t>PurposeEndometrial compaction (EC) is defined as the difference in endometrial thickness from the end of the follicular phase to the day of embryo transfer (ET). We aimed to determine the role of EC in predicting assisted reproductive technology (ART) success by conducting a meta-analysis of studies reporting the association between EC and clinical outcomes of ART.MethodsMEDLINE via PubMed, Web of Science, Scopus, and the Cochrane Central Register of Controlled Trials (CENTRAL) were searched from the date of inception to May 19, 2023. The primary outcome was live birth rate (LBR) per ET. Secondary outcomes were live birth or ongoing pregnancy per ET, ongoing pregnancy per ET, clinical pregnancy per ET, and miscarriage per clinical pregnancy.ResultsFifteen studies were included. When data from all studies reporting live birth were pooled, overall LBR rates were comparable in cycles showing EC or not [RR = 0.97, 95%CI = 0.92 to 1.02; 10 studies, 11,710 transfer cycles]. In a subgroup of studies that included euploid ET cycles, a similar LBR for patients with and without EC was noted [RR = 0.99, 95%CI = 0.86 to 1.13, 4 studies, 1172 cycles]. The miscarriage rate did not seem to be affected by the presence or absence of EC [RR = 1.06, 95%CI = 0.90 to 1.24; 12 studies].ConclusionThe predictive value of EC in determining LBR is limited, and assessment of EC may no longer be necessary, given these findings.Trial registrationPROSPERO CRD42023410389</t>
  </si>
  <si>
    <t>[Turkgeldi, E.; Yildiz, S.; Kalafat, E.; Ata, B.; Bozdag, G.] Koc Univ, Dept Obstet &amp; Gynaecol, Istanbul, Turkiye; [Keles, I.] Koc Univ Hosp, Assisted Reprod Unit, Istanbul, Turkiye; [Ata, B.] ART Fertil Ctr, Dubai, U Arab Emirates</t>
  </si>
  <si>
    <t>Koc University; Koc University</t>
  </si>
  <si>
    <t>Turkgeldi, E (corresponding author), Koc Univ, Dept Obstet &amp; Gynaecol, Istanbul, Turkiye.</t>
  </si>
  <si>
    <t>engtur@gmail.com</t>
  </si>
  <si>
    <t>Turkgeldi, Engin/0000-0002-5008-3292</t>
  </si>
  <si>
    <t>We want to thank Jaimin S. Shah MD, Laura E. Dodge Sc.D./MPH, and their team for kindly sharing their data upon request.</t>
  </si>
  <si>
    <t>1058-0468</t>
  </si>
  <si>
    <t>1573-7330</t>
  </si>
  <si>
    <t>J ASSIST REPROD GEN</t>
  </si>
  <si>
    <t>J. Assist. Reprod. Genet.</t>
  </si>
  <si>
    <t>10.1007/s10815-023-02942-5</t>
  </si>
  <si>
    <t>Genetics &amp; Heredity; Obstetrics &amp; Gynecology; Reproductive Biology</t>
  </si>
  <si>
    <t>R8YR6</t>
  </si>
  <si>
    <t>WOS:001067160800001</t>
  </si>
  <si>
    <t>Yang, CM; Liu, TB; Ma, YQ; Zhu, ZB; Yan, J; Qu, W; Zhang, JW; Ding, YC</t>
  </si>
  <si>
    <t>Yang, Chunmei; Liu, Tongbin; Ma, Yaqiang; Zhu, Zanbin; Yan, Jie; Qu, Wen; Zhang, Jiawei; Ding, Yucheng</t>
  </si>
  <si>
    <t>Equivalent heat transfer modeling for poplar fiber clusters based on thermography</t>
  </si>
  <si>
    <t>CELLULOSE</t>
  </si>
  <si>
    <t>Poplar fiber; Heat transfer properties; Equivalent heat transfer model; Infrared thermography; Ultra-thin fiberboard; Heat transfer simulation</t>
  </si>
  <si>
    <t>DENSITY; WOOD</t>
  </si>
  <si>
    <t>Poplar fiber mass is a non-uniform medium that is composed of discrete microelements making it an imperative raw material in the production of ultra-thin high-density wood fiberboards. Preheating, therefore, becomes a crucial process in producing ultra-thin boards from poplar fiber masses. This study aims to investigate the thermal conductivity properties of wood fiber pellets with the objective of guiding the process parameters in the preheating section. Basic size and composition of poplar fiber masses were observed using an optical microscope. Measured parameters such as bark content and stacking density were combined with observations to establish the heat transfer unit of poplar fiber masses which were then used to develop a one-dimensional equivalent heat transfer model. The steady-state images of the surface layer of poplar fiber masses were captured under different parameters using infrared thermography. The results indicated that the relationships between thickness, density, and moisture content were negatively correlated with surface layer temperature, while the relationships between bottom heating temperature and surface layer temperature were positively correlated. From these findings, the surface layer temperature of poplar fiber mass was derived, and equivalent thermal conductivity as well as convective heat transfer coefficients were solved. Simulation results showed that the average error of the equivalent heat transfer model of poplar fiber mass was 1.584 indicating that the model is usable. This study contributes to efficient simulation of steady-state heat transfer in wood fiber masses, and could be useful in guiding decision-making processes in the preheating section of ultra-thin high-density fiberboard production.</t>
  </si>
  <si>
    <t>[Yang, Chunmei; Liu, Tongbin; Ma, Yaqiang; Zhu, Zanbin; Yan, Jie; Qu, Wen; Zhang, Jiawei; Ding, Yucheng] Northeast Forestry Univ, Coll Mech &amp; Elect Engn, Harbin 150040, Peoples R China</t>
  </si>
  <si>
    <t>Northeast Forestry University - China</t>
  </si>
  <si>
    <t>Ding, YC (corresponding author), Northeast Forestry Univ, Coll Mech &amp; Elect Engn, Harbin 150040, Peoples R China.</t>
  </si>
  <si>
    <t>ltb1161879674@nefu.edu.cn</t>
  </si>
  <si>
    <t>We gratefully acknowledge the Forestry and Woodworking Machinery Engineering Technology Center for providing the testing instruments. We would also like to express our appreciation to Xu Yang for supplying valuable insights during the theoretical analysis.</t>
  </si>
  <si>
    <t>0969-0239</t>
  </si>
  <si>
    <t>1572-882X</t>
  </si>
  <si>
    <t>Cellulose</t>
  </si>
  <si>
    <t>10.1007/s10570-023-05513-0</t>
  </si>
  <si>
    <t>Materials Science, Paper &amp; Wood; Materials Science, Textiles; Polymer Science</t>
  </si>
  <si>
    <t>Materials Science; Polymer Science</t>
  </si>
  <si>
    <t>R8VK0</t>
  </si>
  <si>
    <t>WOS:001067075200001</t>
  </si>
  <si>
    <t>Albertini, MC; Vanzolini, T; Perrone, S; Weiss, MD; Buonocore, G; Dell'Orto, V; Balduini, W; Carloni, S</t>
  </si>
  <si>
    <t>Albertini, Maria Cristina; Vanzolini, Tania; Perrone, Serafina; Weiss, Michael D.; Buonocore, Giuseppe; Dell'Orto, Valentina; Balduini, Walter; Carloni, Silvia</t>
  </si>
  <si>
    <t>MiR-126 and miR-146a as Melatonin-Responsive Biomarkers for Neonatal Brain Ischemia</t>
  </si>
  <si>
    <t>JOURNAL OF MOLECULAR NEUROSCIENCE</t>
  </si>
  <si>
    <t>Hypoxic-ischemic encephalopathy; Biomarker; Melatonin; miRNA; Neonatal brain injury; Bioinformatics</t>
  </si>
  <si>
    <t>ENDOPLASMIC-RETICULUM STRESS; CELLS; AUTOPHAGY; DAMAGE; DEATH</t>
  </si>
  <si>
    <t>Despite advances in obstetric and neonatal care, challenges remain in early identification of neonates with encephalopathy due to hypoxia-ischemia who are undergoing therapeutic hypothermia. Therefore, there is a deep search for biomarkers that can identify brain injury. The aims of this study were to investigate the serum and brain expressions of two potential biomarkers, miR-126/miR-146a, in a preclinical model of hypoxia-ischemia (HI)-induced brain injury, and to explore their modulation during melatonin treatment. Seven-day-old rats were subjected to permanent ligation of the right carotid artery followed by 2.5 h hypoxia (HI). Melatonin (15 mg/kg) was administered 5 min after HI. Serum and brain samples were collected 1, 6 and 24 h after HI. Results show that HI caused a significant increase in the circulating levels of both miR-126 and miR-146a during the early phase of ischemic brain damage development (i.e. 1 h), with a parallel and opposite pattern in the ischemic cerebral cortex. These effects are not observed 24 h later. Treatment with melatonin restored the HI-induced effects on miR-126/miR-146a expressions, both in the cerebral cortex and in serum. We conclude that miR-126/miR-146a are promising biomarkers of HI injury and demonstrate an associated change in concentration following melatonin treatment.</t>
  </si>
  <si>
    <t>[Albertini, Maria Cristina; Vanzolini, Tania; Balduini, Walter; Carloni, Silvia] Univ Urbino Carlo Bo, Dept Biomol Sci, Via Saffi 2, I-61029 Urbino, PU, Italy; [Perrone, Serafina; Dell'Orto, Valentina] Univ Med Ctr Parma AOUP, Neonatol Unit, Parma, Italy; [Perrone, Serafina; Dell'Orto, Valentina] Univ Parma, Parma, Italy; [Weiss, Michael D.] Univ Florida, Dept Pediat, Gainesville, FL USA; [Buonocore, Giuseppe] Univ Siena, Dept Mol &amp; Dev Med, Siena, Italy</t>
  </si>
  <si>
    <t>University of Urbino; University of Parma; State University System of Florida; University of Florida; University of Siena</t>
  </si>
  <si>
    <t>Albertini, MC; Carloni, S (corresponding author), Univ Urbino Carlo Bo, Dept Biomol Sci, Via Saffi 2, I-61029 Urbino, PU, Italy.</t>
  </si>
  <si>
    <t>maria.albertini@uniurb.it; silvia.carloni@uniurb.it</t>
  </si>
  <si>
    <t>Carloni, Silvia/JGL-9422-2023</t>
  </si>
  <si>
    <t>Universita degli Studi di Urbino Carlo Bo within the CRUI-CARE Agreement; University of Urbino Carlo [DR-473_2018]</t>
  </si>
  <si>
    <t>Universita degli Studi di Urbino Carlo Bo within the CRUI-CARE Agreement; University of Urbino Carlo</t>
  </si>
  <si>
    <t>Open access funding provided by Universita degli Studi di Urbino Carlo Bo within the CRUI-CARE Agreement. This research was supported by a grant from the University of Urbino Carlo Bo to W. Balduini (DR-473_2018)</t>
  </si>
  <si>
    <t>0895-8696</t>
  </si>
  <si>
    <t>1559-1166</t>
  </si>
  <si>
    <t>J MOL NEUROSCI</t>
  </si>
  <si>
    <t>J. Mol. Neurosci.</t>
  </si>
  <si>
    <t>2023 SEP 19</t>
  </si>
  <si>
    <t>10.1007/s12031-023-02155-6</t>
  </si>
  <si>
    <t>Biochemistry &amp; Molecular Biology; Neurosciences</t>
  </si>
  <si>
    <t>Biochemistry &amp; Molecular Biology; Neurosciences &amp; Neurology</t>
  </si>
  <si>
    <t>R9GB8</t>
  </si>
  <si>
    <t>WOS:001067353200001</t>
  </si>
  <si>
    <t>Carrol, G; Segaert, K</t>
  </si>
  <si>
    <t>Carrol, Gareth; Segaert, Katrien</t>
  </si>
  <si>
    <t>As easy as cake or a piece of pie? Processing idiom variation and the contribution of individual cognitive differences</t>
  </si>
  <si>
    <t>MEMORY &amp; COGNITION</t>
  </si>
  <si>
    <t>Idioms; Metaphor; Individual differences; Eye-tracking; Cross-modal priming</t>
  </si>
  <si>
    <t>EYE-MOVEMENTS; WORKING-MEMORY; LEXICAL ACCESS; COMPREHENSION; FAMILIARITY; PREDICTABILITY; EXPRESSIONS; PROBABILITIES; FIXATIONS; SENTENCES</t>
  </si>
  <si>
    <t>Language users routinely use canonical, familiar idioms in everyday communication without difficulty. However, creativity in idiom use is more widespread than sometimes assumed, and little is known about how we process creative uses of idioms, and how individual differences in cognitive skills contribute to this. We used eye-tracking while reading and cross-modal priming to investigate the processing of idioms (e.g., play with fire) compared with creative variants (play with acid) and literal controls (play with toys), amongst a group of 47 university-level native speakers of English. We also conducted a series of tests to measure cognitive abilities (working memory capacity, inhibitory control, and processing speed). Eye-tracking results showed that in early reading behaviour, variants were read no differently to literal phrases or idioms but showed significantly longer overall reading times, with more rereading required compared with other conditions. Idiom variables (familiarity, decomposability, literal plausibility) and individual cognitive variables had limited effects throughout, although more decomposable phrases of all kinds required less overall reading time. Cross-modal priming-which has often shown a robust idiom advantage in past studies-demonstrated no difference between conditions, but decomposability again led to faster processing. Overall, results suggest that variants were treated more like literal phrases than novel metaphors, with subsequent effort required to make sense of these in the way that was consistent with the context provided.</t>
  </si>
  <si>
    <t>[Carrol, Gareth] Univ Birmingham, Dept English Language &amp; Linguist, Birmingham B15 2TT, England; [Segaert, Katrien] Univ Birmingham, Sch Psychol, Birmingham, England; [Segaert, Katrien] Univ Birmingham, Ctr Human Brain Hlth, Birmingham, England</t>
  </si>
  <si>
    <t>University of Birmingham; University of Birmingham; University of Birmingham</t>
  </si>
  <si>
    <t>Carrol, G (corresponding author), Univ Birmingham, Dept English Language &amp; Linguist, Birmingham B15 2TT, England.</t>
  </si>
  <si>
    <t>g.carrol@bham.ac.uk</t>
  </si>
  <si>
    <t>0090-502X</t>
  </si>
  <si>
    <t>1532-5946</t>
  </si>
  <si>
    <t>MEM COGNITION</t>
  </si>
  <si>
    <t>Mem. Cogn.</t>
  </si>
  <si>
    <t>10.3758/s13421-023-01463</t>
  </si>
  <si>
    <t>Psychology, Experimental</t>
  </si>
  <si>
    <t>R8EV9</t>
  </si>
  <si>
    <t>WOS:001066642800001</t>
  </si>
  <si>
    <t>Citarella, A; Besharat, ZM; Trocchianesi, S; Autilio, TM; Verrienti, A; Catanzaro, G; Splendiani, E; Spinello, Z; Cantara, S; Zavattari, P; Loi, E; Romei, C; Ciampi, R; Pezzullo, L; Castagna, MG; Angeloni, A; Elisei, R; Durante, C; Po, AGS; Ferretti, E</t>
  </si>
  <si>
    <t>Citarella, Anna; Besharat, Zein Mersini; Trocchianesi, Sofia; Autilio, Tanja Milena; Verrienti, Antonella; Catanzaro, Giuseppina; Splendiani, Elena; Spinello, Zaira; Cantara, Silvia; Zavattari, Patrizia; Loi, Eleonora; Romei, Cristina; Ciampi, Raffaele; Pezzullo, Luciano; Castagna, Maria Grazia; Angeloni, Antonio; Elisei, Rosella; Durante, Cosimo; Po, Agnese; Ferretti, Elisabetta</t>
  </si>
  <si>
    <t>Circulating cell-free DNA (cfDNA) in patients with medullary thyroid carcinoma is characterized by specific fragmentation and methylation changes with diagnostic value</t>
  </si>
  <si>
    <t>BIOMARKER RESEARCH</t>
  </si>
  <si>
    <t>Letter</t>
  </si>
  <si>
    <t>Medullary thyroid carcinoma; Rare tumour; Cell-free DNA; Circulating DNA methylation; Circulating DNA fragmentation; Circulating biomarker</t>
  </si>
  <si>
    <t>Medullary Thyroid Carcinoma (MTC) is a rare neuroendocrine tumour whose diagnosis includes evaluating calcitonin serum levels, which can present fluctuations unrelated to MTC. Here, we investigated circulating DNA fragmentation and methylation changes as potential biomarkers using ddPCR on cell-free DNA (cfDNA) isolated from the plasma of MTC patients. For cfDNA fragmentation analysis, we investigated the fragment size distribution of a gene family and calculated short fragment fraction (SFF). Methylation analyses evaluated the methylation levels of CG_16698623, a CG dinucleotide in the MGMT gene that we found hypermethylated in MTC tissues by analyzing public databases. The SFF ratio and methylation of CG_16698623 were significantly increased in plasma from MTC patients at diagnosis, and patients with clinical remission or stable disease at follow-up showed no significant SFF difference compared with healthy subjects. Our data support the diagnostic value of cfDNA traits that could enable better management of MTC patients.</t>
  </si>
  <si>
    <t>[Citarella, Anna; Besharat, Zein Mersini; Trocchianesi, Sofia; Autilio, Tanja Milena; Catanzaro, Giuseppina; Spinello, Zaira; Angeloni, Antonio; Ferretti, Elisabetta] Sapienza Univ Rome, Dept Expt Med, I-00161 Rome, Italy; [Verrienti, Antonella; Durante, Cosimo] Sapienza Univ Rome, Dept Translat &amp; Precis Med, I-00161 Rome, Italy; [Splendiani, Elena] Univ Foro Ital, Dept Movement Human &amp; Hlth Sci, I-00135 Rome, Italy; [Cantara, Silvia; Castagna, Maria Grazia] Univ Siena, Dept Med Surg &amp; Neurol Sci, I-53100 Siena, Italy; [Zavattari, Patrizia; Loi, Eleonora] Univ Cagliari, Dept Biomed Sci, Unit Biol &amp; Genet, I-09042 Cagliari, Italy; [Romei, Cristina; Ciampi, Raffaele; Elisei, Rosella] Univ Pisa, Dept Clin &amp; Expt Med, Endocrine Unit, I-56126 Pisa, Italy; [Pezzullo, Luciano] IRCCS Fdn GPascale, Thyroid Surg Unit, I-80131 Naples, Italy; [Po, Agnese] Sapienza Univ Rome, Dept Mol Med, I-00161 Rome, Italy</t>
  </si>
  <si>
    <t>Sapienza University Rome; Sapienza University Rome; Foro Italico University of Rome; University of Siena; University of Cagliari; University of Pisa; Sapienza University Rome</t>
  </si>
  <si>
    <t>Po, AGS (corresponding author), Sapienza Univ Rome, Dept Mol Med, I-00161 Rome, Italy.</t>
  </si>
  <si>
    <t>Agnese.Po@uniroma1.it</t>
  </si>
  <si>
    <t>T.M.A. is fellow of Network Oncology and Precision Medicine, Dpt. Experimental Medicine, Sapienza University of Rome.; Experimental Medicine, Sapienza University of Rome</t>
  </si>
  <si>
    <t>T.M.A. is fellow of Network Oncology and Precision Medicine, Dpt. Experimental Medicine, Sapienza University of Rome.</t>
  </si>
  <si>
    <t>2050-7771</t>
  </si>
  <si>
    <t>BIOMARK RES</t>
  </si>
  <si>
    <t>Biomark. Res.</t>
  </si>
  <si>
    <t>SEP 19</t>
  </si>
  <si>
    <t>10.1186/s40364-023-00522-4</t>
  </si>
  <si>
    <t>Oncology; Medicine, Research &amp; Experimental</t>
  </si>
  <si>
    <t>Oncology; Research &amp; Experimental Medicine</t>
  </si>
  <si>
    <t>S5KO9</t>
  </si>
  <si>
    <t>WOS:001071556900001</t>
  </si>
  <si>
    <t>Dodds, PS; Minot, JR; Arnold, MV; Alshaabi, T; Adams, JL; Dewhurst, DR; Gray, TJ; Frank, MR; Reagan, AJ; Danforth, CM</t>
  </si>
  <si>
    <t>Dodds, Peter Sheridan; Minot, Joshua R.; Arnold, Michael V.; Alshaabi, Thayer; Adams, Jane Lydia; Dewhurst, David Rushing; Gray, Tyler J.; Frank, Morgan R.; Reagan, Andrew J.; Danforth, Christopher M.</t>
  </si>
  <si>
    <t>Allotaxonometry and rank-turbulence divergence: a universal instrument for comparing complex systems</t>
  </si>
  <si>
    <t>EPJ DATA SCIENCE</t>
  </si>
  <si>
    <t>AIR-POLLUTION; MORTALITY; DIVERSITY; SELECTION; BATS</t>
  </si>
  <si>
    <t>Complex systems often comprise many kinds of components which vary over many orders of magnitude in size: Populations of cities in countries, individual and corporate wealth in economies, species abundance in ecologies, word frequency in natural language, and node degree in complex networks. Here, we introduce 'allotaxonometry' along with 'rank-turbulence divergence' (RTD), a tunable instrument for comparing any two ranked lists of components. We analytically develop our rank-based divergence in a series of steps, and then establish a rank-based allotaxonograph which pairs a map-like histogram for rank-rank pairs with an ordered list of components according to divergence contribution. We explore the performance of rank-turbulence divergence, which we view as an instrument of 'type calculus', for a series of distinct settings including: Language use on Twitter and in books, species abundance, baby name popularity, market capitalization, performance in sports, mortality causes, and job titles. We provide a series of supplementary flipbooks which demonstrate the tunability and storytelling power of rank-based allotaxonometry.</t>
  </si>
  <si>
    <t>[Dodds, Peter Sheridan; Minot, Joshua R.; Arnold, Michael V.; Alshaabi, Thayer; Adams, Jane Lydia; Dewhurst, David Rushing; Gray, Tyler J.; Danforth, Christopher M.] Univ Vermont, Vermont Complex Syst Ctr, MassMutual Ctr Excellence Complex Syst &amp; Data Sci, Vermont Adv Comp Ctr,Computat Story Lab, Burlington, VT 05405 USA; [Dodds, Peter Sheridan] Univ Vermont, Dept Comp Sci, Burlington, VT 05405 USA; [Dodds, Peter Sheridan] Santa Fe Inst, 1399 Hyde Pk Rd, Santa Fe, NM 87501 USA; [Gray, Tyler J.; Danforth, Christopher M.] Univ Vermont, Dept Math &amp; Stat, Burlington, VT 05405 USA; [Frank, Morgan R.] MIT, Inst Data Syst &amp; Soc, Cambridge, MA 02139 USA; [Reagan, Andrew J.] MassMutual Data Sci, Amherst, MA 01002 USA</t>
  </si>
  <si>
    <t>University of Vermont; University of Vermont; The Santa Fe Institute; University of Vermont; Massachusetts Institute of Technology (MIT)</t>
  </si>
  <si>
    <t>Dodds, PS (corresponding author), Univ Vermont, Vermont Complex Syst Ctr, MassMutual Ctr Excellence Complex Syst &amp; Data Sci, Vermont Adv Comp Ctr,Computat Story Lab, Burlington, VT 05405 USA.;Dodds, PS (corresponding author), Univ Vermont, Dept Comp Sci, Burlington, VT 05405 USA.;Dodds, PS (corresponding author), Santa Fe Inst, 1399 Hyde Pk Rd, Santa Fe, NM 87501 USA.</t>
  </si>
  <si>
    <t>peter.dodds@uvm.edu</t>
  </si>
  <si>
    <t>The authors are grateful for support furnished by MassMutual and Google, and the computational facilities provided by the Vermont Advanced Computing Center. The authors are grateful for conversations with R. Gallagher, L. Mitchell, James O'Dwyer, and J. We; Google</t>
  </si>
  <si>
    <t>The authors are grateful for support furnished by MassMutual and Google, and the computational facilities provided by the Vermont Advanced Computing Center. The authors are grateful for conversations with R. Gallagher, L. Mitchell, James O'Dwyer, and J. We; Google(Google Incorporated)</t>
  </si>
  <si>
    <t>The authors are grateful for support furnished by MassMutual and Google, and the computational facilities provided by the Vermont Advanced Computing Center. The authors are grateful for conversations with R. Gallagher, L. Mitchell, James O'Dwyer, and J. Weitz.</t>
  </si>
  <si>
    <t>2193-1127</t>
  </si>
  <si>
    <t>EPJ DATA SCI</t>
  </si>
  <si>
    <t>EPJ Data Sci.</t>
  </si>
  <si>
    <t>10.1140/epjds/s13688-023-00400-x</t>
  </si>
  <si>
    <t>Mathematics, Interdisciplinary Applications; Social Sciences, Mathematical Methods</t>
  </si>
  <si>
    <t>Mathematics; Mathematical Methods In Social Sciences</t>
  </si>
  <si>
    <t>S3MZ1</t>
  </si>
  <si>
    <t>gold, Green Submitted</t>
  </si>
  <si>
    <t>WOS:001070255800001</t>
  </si>
  <si>
    <t>Fekih-Romdhane, F; Malaeb, D; Dabbous, M; Hallit, R; Obeid, S; Hallit, S</t>
  </si>
  <si>
    <t>Fekih-Romdhane, Feten; Malaeb, Diana; Dabbous, Mariam; Hallit, Rabih; Obeid, Sahar; Hallit, Souheil</t>
  </si>
  <si>
    <t>Psychometric properties of an Arabic translation of the short 9-item drive for muscularity scale (DMS-9)</t>
  </si>
  <si>
    <t>BMC PSYCHIATRY</t>
  </si>
  <si>
    <t>Drive for muscularity; Body image; Arabic; Validation; Psychometric properties</t>
  </si>
  <si>
    <t>OF-FIT INDEXES; BODY-IMAGE; EATING-DISORDER; MUSCLE DYSMORPHIA; ANOREXIA-NERVOSA; ADOLESCENT BOYS; SELF-STIGMA; ATTITUDES; VALIDITY; MEN</t>
  </si>
  <si>
    <t>Background After the original 15-item Drive for Muscularity Scale developed by McCreary et al. in 2004, a more theoretically based scale that replicates the original DMS subscales with a better conceptual clarity and a shorter number of items, i.e., the DMS-9, has recently been developed by Chaba et al. in 2018. We sought to contribute to the literature especially under the Arab context, by investigating the psychometric properties of an Arabic translation of the DMS-9 in a sample of Arabic-speaking Lebanese university students of both genders.Methods University students (N = 402; 55.2% females) from multiple universities in Lebanon were invited to fill the survey in this cross-sectional designed study (December 2022 and January 2023). Our sample was chosen using the snowball technique; a soft copy of the questionnaire was created using google forms software, and an online approach was conceived to proceed with the data collection.Results Using an Exploratory Factor Analysis-to- Confirmatory Factor Analysis strategy, we found that the original two-factor model of the DMS proposed in the parent study was adequately replicated in our sample. The two DMS-9 factor scores showed very good McDonald's omega values (? &gt; 0.8). Findings also showed that gender invariance was achieved at the configural, metric, and scalar levels. Additionally, drive for muscularity scores correlated in the expected way with other study variables, providing support for the convergent and divergent validity of the Arabic DMS-9. Specifically, we found that greater drive for muscularity attitudes and behaviors significantly correlated with more severe muscle dysmorphic symptoms, inappropriate eating attitudes, muscle bias internalization, and lower body appreciation.Conclusion Findings preliminarily suggest that the Arabic DMS-9 is psychometrically sound and suitable tool to assess the drive for muscularity construct among Arabic-speaking community adults. Making the Arabic DMS-9 available will hopefully benefit the scientific community working in Arab settings, promote local and international research in this area, and offer descriptive data on how drive for muscularity may interfere with health indicators in the general Arab population.</t>
  </si>
  <si>
    <t>[Fekih-Romdhane, Feten] Razi Hosp, Tunisian Ctr Early Intervent Psychosis, Dept Psychiat Ibn Omrane, Manouba 2010, Tunisia; [Fekih-Romdhane, Feten] Tunis El Manar Univ, Fac Med Tunis, Tunis, Tunisia; [Malaeb, Diana] Med Gulf Univ, Coll Pharm, Ajman, U Arab Emirates; [Dabbous, Mariam] Lebanese Int Univ, Sch Pharm, Beirut, Lebanon; [Hallit, Rabih; Hallit, Souheil] Holy Spirit Univ Kaslik, Sch Med &amp; Med Sci, POB 446, Jounieh, Lebanon; [Hallit, Rabih] Bellevue Med Ctr, Dept Infect Dis, Mansourieh, Lebanon; [Hallit, Rabih] Notre Dame Secours Univ Hosp, Dept Infect Dis, Byblos 3, Lebanon; [Obeid, Sahar] Lebanese Amer Univ, Sch Arts &amp; Sci, Social &amp; Educ Sci Dept, Jbeil, Lebanon; [Hallit, Souheil] Effat Univ, Coll Humanities, Psychol Dept, Jeddah 21478, Saudi Arabia; [Hallit, Souheil] Appl Sci Private Univ, Appl Sci Res Ctr, Amman, Jordan; [Hallit, Souheil] Psychiat Hosp Cross, Res Dept, Jal Eddib, Lebanon</t>
  </si>
  <si>
    <t>Universite de Tunis-El-Manar; Hopital Razi; Universite de Tunis-El-Manar; Faculte de Medecine de Tunis (FMT); Lebanese American University; Effat University</t>
  </si>
  <si>
    <t>Hallit, S (corresponding author), Holy Spirit Univ Kaslik, Sch Med &amp; Med Sci, POB 446, Jounieh, Lebanon.;Obeid, S (corresponding author), Lebanese Amer Univ, Sch Arts &amp; Sci, Social &amp; Educ Sci Dept, Jbeil, Lebanon.;Hallit, S (corresponding author), Effat Univ, Coll Humanities, Psychol Dept, Jeddah 21478, Saudi Arabia.;Hallit, S (corresponding author), Appl Sci Private Univ, Appl Sci Res Ctr, Amman, Jordan.;Hallit, S (corresponding author), Psychiat Hosp Cross, Res Dept, Jal Eddib, Lebanon.</t>
  </si>
  <si>
    <t>saharobeid23@hotmail.com; souheilhallit@hotmail.com</t>
  </si>
  <si>
    <t>The authors would like to thank all participants.</t>
  </si>
  <si>
    <t>1471-244X</t>
  </si>
  <si>
    <t>BMC Psychiatry</t>
  </si>
  <si>
    <t>10.1186/s12888-023-05179-9</t>
  </si>
  <si>
    <t>Psychiatry</t>
  </si>
  <si>
    <t>S2KY9</t>
  </si>
  <si>
    <t>WOS:001069522200003</t>
  </si>
  <si>
    <t>Li, WJ; Zhai, GF; Hu, MT; Zhou, ST</t>
  </si>
  <si>
    <t>Li, Wenjing; Zhai, Guofang; Hu, Manting; Zhou, Shutian</t>
  </si>
  <si>
    <t>Perceptions of living environment among the elderly based on an assumed earthquake scenario: case of Hefei, China</t>
  </si>
  <si>
    <t>JOURNAL OF HOUSING AND THE BUILT ENVIRONMENT</t>
  </si>
  <si>
    <t>The elderly; Perceptions of the living environment; Earthquake; Residential area; Neighborhood</t>
  </si>
  <si>
    <t>AGING-IN-PLACE; BUILT ENVIRONMENT; RESIDENTIAL SATISFACTION; NEIGHBORHOOD DESIGN; PHYSICAL-ACTIVITY; SAFETY; HEALTH; HOME; QUALITY; ATTRIBUTES</t>
  </si>
  <si>
    <t>Increasingly frequent and severe disasters have seriously impacted on the elderly as they are more vulnerable to disasters. To protect the elderly from the potential damage caused by disasters, creating a safe living environment for the ageing society is essential. The aim of this study is to explore the perceptions of living environment and its influencing factors among the elderly based on an assumed earthquake scenario. 356 questionnaires were distributed in Hefei, China in 2016 as a means of obtaining data on the elderly and their living environment. Perceptions of the living environment are characterized by their evaluation of residential buildings, road traffic, open spaces and barrier-free facilities. Structural Equation Model is used for further analysing the statistics from the questionnaires. The results show that the physical condition of the elderly, the quality of residential area and disaster prevention measures of the neighborhood affect perceptions of living environment among the elderly. In addition, the quality of residential area has the most significant influence on their perceptions of living environment. This study attempts to provide insights into the renovation of residential areas and the construction of disaster reduction communities to protect the elderly from harm caused by earthquakes.</t>
  </si>
  <si>
    <t>[Li, Wenjing] Anhui Univ, Sch Business, Hefei, Peoples R China; [Li, Wenjing; Zhai, Guofang] Nanjing Univ, Sch Architecture &amp; Urban Planning, Nanjing, Peoples R China; [Hu, Manting] Tongling Univ, Sch Architecture &amp; Engn, Tongling, Peoples R China; [Zhou, Shutian] Nantong Univ, Sch Arts, Sch Architecture, Nantong, Peoples R China</t>
  </si>
  <si>
    <t>Anhui University; Nanjing University; Tongling University; Nantong University</t>
  </si>
  <si>
    <t>Li, WJ (corresponding author), Anhui Univ, Sch Business, Hefei, Peoples R China.;Li, WJ (corresponding author), Nanjing Univ, Sch Architecture &amp; Urban Planning, Nanjing, Peoples R China.</t>
  </si>
  <si>
    <t>lwj-hf@ahu.edu.cn; guofang_zhai@nju.edu.cn; humanting@yeah.net; shutian_zhou@ntu.edu.cn</t>
  </si>
  <si>
    <t>Philosophy and Social Sciences Planning Project of Anhui Province [AHSKQ2021D10]</t>
  </si>
  <si>
    <t>Philosophy and Social Sciences Planning Project of Anhui Province</t>
  </si>
  <si>
    <t>The funder was Philosophy and Social Sciences Planning Project of Anhui Province (AHSKQ2021D10).</t>
  </si>
  <si>
    <t>1566-4910</t>
  </si>
  <si>
    <t>1573-7772</t>
  </si>
  <si>
    <t>J HOUS BUILT ENVIRON</t>
  </si>
  <si>
    <t>J. Hous. Built Environ.</t>
  </si>
  <si>
    <t>10.1007/s10901-023-10055-9</t>
  </si>
  <si>
    <t>Environmental Studies; Regional &amp; Urban Planning; Urban Studies</t>
  </si>
  <si>
    <t>Environmental Sciences &amp; Ecology; Public Administration; Urban Studies</t>
  </si>
  <si>
    <t>R7WJ0</t>
  </si>
  <si>
    <t>WOS:001066418900001</t>
  </si>
  <si>
    <t>Li, XZ; Zhan, FF; Peng, T; Xia, Z; Li, JX</t>
  </si>
  <si>
    <t>Li, Xiaozhong; Zhan, Fenfang; Peng, Tian; Xia, Zhen; Li, Juxiang</t>
  </si>
  <si>
    <t>Association between the Triglyceride-Glucose Index and Non-Alcoholic Fatty Liver Disease in patients with Atrial Fibrillation</t>
  </si>
  <si>
    <t>EUROPEAN JOURNAL OF MEDICAL RESEARCH</t>
  </si>
  <si>
    <t>Triglyceride-glucose index; Insulin resistance; Non-alcoholic fatty liver disease; Atrial fibrillation</t>
  </si>
  <si>
    <t>HEPATIC STEATOSIS; POPULATION; PREVALENCE</t>
  </si>
  <si>
    <t>Background The triglyceride and glucose index (TyG), as a surrogate of insulin resistance (IR), is closely associated with non-alcoholic fatty liver disease (NAFLD). However, the association between the TyG index and NAFLD in atrial fibrillation (AF) is unknown. Therefore, the purpose of this study is to explore the association between the TyG index and NAFLD in AF.Methods This retrospective study was performed at Nanchang University's Second Affiliated Hospital. The AF patients who were hospitalized from January 2021 to December 2022 were enrolled. The association between the TyG index and NAFLD in AF patients was assessed by logistic regression and restricted cubic spline analysis. The ability of TyG index for identifying NAFLD was estimated by the area under the receiver operating characteristic (ROC).Results In this study, 632 people participated in the final analysis, with 176 (27.84%) having NAFLD. In the full adjustment model, there is an association between the TyG index and NAFLD [per 1 unit increment; odds ratios (ORs): 3.28; 95% confidence interval (CI) 2.14, 5.03]. Compared to the lowest tertile (TyG index &lt; 8.29), the ORs for the highest tertile (TyG index = 8.82) were 4.15 (95%CI: 2.28, 7.53). Dose-response analysis showed that the TyG index and NAFLD have a nearly linear relationship (P non-linear = 0.71). The area under the curve (AUC) of the TyG index is 0.735.Conclusion Our findings showed a significant association between the TyG index and NAFLD. The TyG index may be a good marker for predicting NAFLD in AF patients.</t>
  </si>
  <si>
    <t>[Li, Xiaozhong; Peng, Tian; Xia, Zhen; Li, Juxiang] Nanchang Univ, Affiliated Hosp 2, Dept Cardiovasc Med, Nanchang 330006, Peoples R China; [Zhan, Fenfang] Nanchang Univ, Dept Anesthesiol, Affiliated Hosp 2, Nanchang 330006, Peoples R China</t>
  </si>
  <si>
    <t>Nanchang University; Nanchang University</t>
  </si>
  <si>
    <t>Xia, Z; Li, JX (corresponding author), Nanchang Univ, Affiliated Hosp 2, Dept Cardiovasc Med, Nanchang 330006, Peoples R China.</t>
  </si>
  <si>
    <t>516942802@qq.com; ljxefxn@163.com</t>
  </si>
  <si>
    <t>0949-2321</t>
  </si>
  <si>
    <t>2047-783X</t>
  </si>
  <si>
    <t>EUR J MED RES</t>
  </si>
  <si>
    <t>Eur. J. Med. Res.</t>
  </si>
  <si>
    <t>10.1186/s40001-023-01188-2</t>
  </si>
  <si>
    <t>Medicine, Research &amp; Experimental</t>
  </si>
  <si>
    <t>Research &amp; Experimental Medicine</t>
  </si>
  <si>
    <t>S0PN3</t>
  </si>
  <si>
    <t>WOS:001068276200001</t>
  </si>
  <si>
    <t>Mazzeo, S; Ingannato, A; Giacomucci, G; Bagnoli, S; Cavaliere, A; Moschini, V; Balestrini, J; Morinelli, C; Galdo, G; Emiliani, F; Piazzesi, D; Crucitti, C; Frigerio, D; Polito, C; Berti, V; Padiglioni, S; Sorbi, S; Nacmias, B; Bessi, V</t>
  </si>
  <si>
    <t>Mazzeo, Salvatore; Ingannato, Assunta; Giacomucci, Giulia; Bagnoli, Silvia; Cavaliere, Arianna; Moschini, Valentina; Balestrini, Juri; Morinelli, Carmen; Galdo, Giulia; Emiliani, Filippo; Piazzesi, Diletta; Crucitti, Chiara; Frigerio, Daniele; Polito, Cristina; Berti, Valentina; Padiglioni, Sonia; Sorbi, Sandro; Nacmias, Benedetta; Bessi, Valentina</t>
  </si>
  <si>
    <t>The role of plasma neurofilament light chain and glial fibrillary acidic protein in subjective cognitive decline and mild cognitive impairment</t>
  </si>
  <si>
    <t>NEUROLOGICAL SCIENCES</t>
  </si>
  <si>
    <t>Glial fibrillary acidic protein; Neurofilament light chain; Alzheimer's disease; Mild cognitive impairment; Subjective cognitive decline; Biomarkers</t>
  </si>
  <si>
    <t>ALZHEIMERS ASSOCIATION WORKGROUPS; AMYLOID-BETA PLAQUES; DIAGNOSTIC GUIDELINES; NATIONAL INSTITUTE; NORMATIVE VALUES; DISEASE; BIOMARKERS; RECOMMENDATIONS; RELIABILITY; FRAMEWORK</t>
  </si>
  <si>
    <t>Introduction and aimNfL and GFAP are promising blood-based biomarkers for Alzheimer's disease. However, few studies have explored plasma GFAP in the prodromal and preclinical stages of AD. In our cross-sectional study, our aim is to investigate the role of these biomarkers in the earliest stages of AD.Materials and methodsWe enrolled 40 patients (11 SCD, 21 MCI, 8 AD dementia). All patients underwent neurological and neuropsychological examinations, analysis of CSF biomarkers (A &amp; beta;42, A &amp; beta;42/A &amp; beta;40, p-tau, t-tau), Apolipoprotein E (APOE) genotype analysis and measurement of plasma GFAP and NfL concentrations. Patients were categorized according to the ATN system as follows: normal AD biomarkers (NB), carriers of non-Alzheimer's pathology (non-AD), prodromal AD, or AD with dementia (AD-D).ResultsGFAP was lower in NB compared to prodromal AD (p = 0.003, d = 1.463) and AD-D (p = 0.002, d = 1.695). NfL was lower in NB patients than in AD-D (p = 0.011, d = 1.474). NfL demonstrated fair accuracy (AUC = 0.718) in differentiating between NB and prodromal AD, with a cut-off value of 11.65 pg/mL. GFAP showed excellent accuracy in differentiating NB from prodromal AD (AUC = 0.901) with a cut-off level of 198.13 pg/mL.ConclusionsGFAP exhibited excellent accuracy in distinguishing patients with normal CSF biomarkers from those with prodromal AD. Our results support the use of this peripheral biomarker for detecting AD in patients with subjective and objective cognitive decline.</t>
  </si>
  <si>
    <t>[Mazzeo, Salvatore; Ingannato, Assunta; Giacomucci, Giulia; Bagnoli, Silvia; Cavaliere, Arianna; Balestrini, Juri; Galdo, Giulia; Emiliani, Filippo; Crucitti, Chiara; Frigerio, Daniele; Sorbi, Sandro; Nacmias, Benedetta; Bessi, Valentina] Univ Florence, Dept Neurosci Psychol Drug Res &amp; Child Hlth, Florence, Italy; [Mazzeo, Salvatore; Moschini, Valentina; Morinelli, Carmen; Piazzesi, Diletta; Padiglioni, Sonia; Sorbi, Sandro; Bessi, Valentina] Azienda Osped Univ Careggi, Res &amp; Innovat Ctr Dementia CRIDEM, Florence, Italy; [Polito, Cristina; Sorbi, Sandro; Nacmias, Benedetta] IRCCS Fdn Don Carlo Gnocchi, Florence, Italy; [Berti, Valentina] Univ Florence, Dept Biomed Expt &amp; Clin Sci Mario Serio, I-50134 Florence, Italy; [Padiglioni, Sonia] Reg Referral Ctr Relat Crit, I-50134 Tuscany Region, Italy</t>
  </si>
  <si>
    <t>University of Florence; University of Florence; Azienda Ospedaliero Universitaria Careggi; IRCCS Fondazione Don Carlo Gnocchi Onlus; University of Florence</t>
  </si>
  <si>
    <t>Nacmias, B (corresponding author), Univ Florence, Dept Neurosci Psychol Drug Res &amp; Child Hlth, Florence, Italy.;Nacmias, B (corresponding author), IRCCS Fdn Don Carlo Gnocchi, Florence, Italy.</t>
  </si>
  <si>
    <t>benedetta.nacmias@unifi.it</t>
  </si>
  <si>
    <t>Universita degli Studi di Firenze; Tuscany Region-PRedicting the EVolution of SubjectIvE Cognitive Decline to Alzheimer's Disease With machine learning-PREVIEW; [CUP. D18D20001300002]</t>
  </si>
  <si>
    <t>Universita degli Studi di Firenze; Tuscany Region-PRedicting the EVolution of SubjectIvE Cognitive Decline to Alzheimer's Disease With machine learning-PREVIEW;</t>
  </si>
  <si>
    <t>Open access funding provided by Universita degli Studi di Firenze within the CRUI-CARE Agreement. This project is funded by Tuscany Region-PRedicting the EVolution of SubjectIvE Cognitive Decline to Alzheimer's Disease With machine learning-PREVIEW-CUP. D18D20001300002.</t>
  </si>
  <si>
    <t>1590-1874</t>
  </si>
  <si>
    <t>1590-3478</t>
  </si>
  <si>
    <t>NEUROL SCI</t>
  </si>
  <si>
    <t>Neurol. Sci.</t>
  </si>
  <si>
    <t>10.1007/s10072-023-07065-4</t>
  </si>
  <si>
    <t>S4LO4</t>
  </si>
  <si>
    <t>WOS:001070901100001</t>
  </si>
  <si>
    <t>Mommers, L; Slagt, C; Coumou, RNF; van der Crabben, R; Moors, X; Miranda, DD</t>
  </si>
  <si>
    <t>Mommers, Lars; Slagt, Cornelis; Coumou, R. N. Freek; van der Crabben, Ruben; Moors, Xavier; Miranda, Dinis Dos Reis</t>
  </si>
  <si>
    <t>Feasibility of HEMS performed prehospital extracorporeal-cardiopulmonary resuscitation in paediatric cardiac arrests; two case reports</t>
  </si>
  <si>
    <t>SCANDINAVIAN JOURNAL OF TRAUMA RESUSCITATION &amp; EMERGENCY MEDICINE</t>
  </si>
  <si>
    <t>Paediatric extracorporeal life support; Cardiopulmonary resuscitation; Out-of-hospital cardiac arrest; Case report</t>
  </si>
  <si>
    <t>MEMBRANE-OXYGENATION; LIFE-SUPPORT; OUTCOMES; COMPLICATIONS; SURVIVAL</t>
  </si>
  <si>
    <t>IntroductionA broad range of pathophysiologic conditions can lead to cardiopulmonary arrest in children. Some of these children suffer from refractory cardiac arrest, not responding to basic and advanced life support. Extracorporeal-Cardiopulmonary Resuscitation (E-CPR) might be a life-saving option for this group. Currently this therapy is only performed in-hospital, often necessitating long transport times, thereby negatively impacting eligibility and chances of survival. We present the first two cases of prehospital E-CPR in children performed by regular Helicopter Emergency Medical Services (HEMS).Case presentationsThe first patient was a previously healthy 7 year old boy who was feeling unwell for a couple of days due to influenza. His course deteriorated into a witnessed collapse. Direct bystander CPR and subsequent ambulance advanced life support was unsuccessful in establishing a perfusing rhythm. While doing chest compressions, the patient was seen moving both his arms and making spontaneous breathing efforts. Echocardiography however revealed a severe left ventricular impairment (near standstill). The second patient was a 15 year old girl, known with bronchial asthma and poor medication compliance. She suffered yet another asthmatic attack, so severe that she progressed into cardiac arrest in front of the attending ambulance and HEMS crews. Despite maximum bronchodilator therapy, intubation and the exclusion of tension pneumothoraxes and dynamic hyperinflation, no cardiac output was achieved.InterventionAfter consultation with the nearest paediatric E-CPR facilities, both patients were on-scene cannulated by regular HEMS. The femoral artery and vein were cannulated (15-17Fr and 21Fr respectively) under direct ultrasound guidance using an out-of-plane Seldinger approach. Extracorporeal Life Support flow of 2.1 and 3.8 l/min was established in 20 and 16 min respectively (including preparation and cannulation). Both patients were transported uneventfully to the nearest paediatric intensive care with spontaneous breathing efforts and reactive pupils during transport.ConclusionThis case-series shows that a properly trained regular HEMS crew of only two health care professionals (doctor and flight nurse) can establish E-CPR on-scene in (older) children. Ambulance transport with ongoing CPR is challenging, even more so in children since transportation times tend to be longer compared to adults and automatic chest compression devices are often unsuitable and/or unapproved for children. Prehospital cannulation of susceptible E-CPR candidates has the potential to reduce low-flow time and offer E-CPR therapy to a wider group of children suffering refractory cardiac arrest.</t>
  </si>
  <si>
    <t>[Mommers, Lars] Maastricht Univ, Med Ctr, Dept Anaesthesiol &amp; Pain Med, P Debeyelaan 25, NL-6229 HX Maastricht, Netherlands; [Mommers, Lars; Slagt, Cornelis; Coumou, R. N. Freek] Helicopter Emergency Med Serv Lifeliner 3 Radboudu, Geert Grootepl 10, NL-6525 GA Nijmegen, Netherlands; [Slagt, Cornelis] Radboud Univ Nijmegen, Dept Anaesthesiol Pain &amp; Palliat Med, Med Ctr, Geert Grootepl 10, NL-6525 GA Nijmegen, Netherlands; [van der Crabben, Ruben; Moors, Xavier] Erasmus Univ, Med Ctr, Dept Anaesthesiol, Dr Molewaterpl 40, NL-3015 GD Rotterdam, Netherlands; [van der Crabben, Ruben; Moors, Xavier; Miranda, Dinis Dos Reis] Helicopter Emergency Med Serv Lifeliner 2, Dr Molewaterpl 40, NL-3015 GD Rotterdam, Netherlands; [Miranda, Dinis Dos Reis] Erasmus Univ, Dept Adult Intens Care, Med Ctr, Dr Molewaterpl 40, NL-3015 GD Rotterdam, Netherlands</t>
  </si>
  <si>
    <t>Maastricht University; Maastricht University Medical Centre (MUMC); Radboud University Nijmegen; Erasmus University Rotterdam; Erasmus MC; Erasmus University Rotterdam; Erasmus MC</t>
  </si>
  <si>
    <t>Mommers, L (corresponding author), Maastricht Univ, Med Ctr, Dept Anaesthesiol &amp; Pain Med, P Debeyelaan 25, NL-6229 HX Maastricht, Netherlands.;Mommers, L (corresponding author), Helicopter Emergency Med Serv Lifeliner 3 Radboudu, Geert Grootepl 10, NL-6525 GA Nijmegen, Netherlands.</t>
  </si>
  <si>
    <t>l.mommers@mumc.nl</t>
  </si>
  <si>
    <t>1757-7241</t>
  </si>
  <si>
    <t>SCAND J TRAUMA RESUS</t>
  </si>
  <si>
    <t>Scand. J. Trauma Resusc. Emerg. Med.</t>
  </si>
  <si>
    <t>10.1186/s13049-023-01119-4</t>
  </si>
  <si>
    <t>Emergency Medicine</t>
  </si>
  <si>
    <t>S3LM7</t>
  </si>
  <si>
    <t>WOS:001070217300001</t>
  </si>
  <si>
    <t>Sciorio, R; Rinaudo, P</t>
  </si>
  <si>
    <t>Sciorio, Romualdo; Rinaudo, Paolo</t>
  </si>
  <si>
    <t>Culture conditions in the IVF laboratory: state of the ART and possible new directions</t>
  </si>
  <si>
    <t>Culture media; Single-step media; Sequential media; pH; Osmolality; Temperature; Oxygen tension; Oil overlay; Culture condition; Assisted reproductive technology (ART)</t>
  </si>
  <si>
    <t>IN-VITRO FERTILIZATION; PREIMPLANTATION EMBRYO DEVELOPMENT; REDUCED OXYGEN CONCENTRATION; HUMAN INVITRO FERTILIZATION; GENE-EXPRESSION; MEIOTIC SPINDLE; REPRODUCTIVE TECHNOLOGIES; MAMMALIAN OOCYTES; PREGNANCY RATES; MOUSE</t>
  </si>
  <si>
    <t>In the last four decades, the assisted reproductive technology (ART) field has witnessed advances, resulting in improving pregnancy rates and diminishing complications, in particular reduced incidence of multiple births. These improvements are secondary to advanced knowledge on embryonic physiology and metabolism, resulting in the ability to design new and improved culture conditions. Indeed, the incubator represents only a surrogate of the oviduct and uterus, and the culture conditions are only imitating the physiological environment of the female reproductive tract. In vivo, the embryo travels through a dynamic and changing environment from the oviduct to the uterus, while in vitro, the embryo is cultured in a static fashion. Importantly, while culture media play a critical role in optimising embryo development, a large host of additional factors are equally important. Additional potential variables, including but not limited to pH, temperature, osmolality, gas concentrations and light exposure need to be carefully controlled to prevent stress and permit optimal implantation potential. This manuscript will provide an overview of how different current culture conditions may affect oocyte and embryo viability with particular focus on human literature.</t>
  </si>
  <si>
    <t>[Sciorio, Romualdo] CHUV Lausanne Univ Hosp, Dept Woman Mother Child, Fertil Med &amp; Gynaecol Endocrinol Unit, CH-1011 Lausanne, Switzerland; [Rinaudo, Paolo] Univ Calif San Francisco, Dept Obstet Gynecol &amp; Reprod Sci, San Francisco, CA USA</t>
  </si>
  <si>
    <t>University of Lausanne; Centre Hospitalier Universitaire Vaudois (CHUV); University of California System; University of California San Francisco</t>
  </si>
  <si>
    <t>Sciorio, R (corresponding author), CHUV Lausanne Univ Hosp, Dept Woman Mother Child, Fertil Med &amp; Gynaecol Endocrinol Unit, CH-1011 Lausanne, Switzerland.</t>
  </si>
  <si>
    <t>sciorioromualdo@hotmail.com</t>
  </si>
  <si>
    <t>10.1007/s10815-023-02934-5</t>
  </si>
  <si>
    <t>S1LF1</t>
  </si>
  <si>
    <t>WOS:001068845700001</t>
  </si>
  <si>
    <t>Song, YS; Liu, N; Gao, LJ; Yang, D; Liu, JX; Xie, L; Dan, HX; Chen, QM</t>
  </si>
  <si>
    <t>Song, Yansong; Liu, Na; Gao, Lijie; Yang, Dan; Liu, Jiaxin; Xie, Liang; Dan, Hongxia; Chen, Qianming</t>
  </si>
  <si>
    <t>Association between human herpes simplex virus and periodontitis: results from the continuous National Health and Nutrition Examination Survey 2009-2014</t>
  </si>
  <si>
    <t>BMC ORAL HEALTH</t>
  </si>
  <si>
    <t>Human herpes simplex virus; Periodontitis; National Health and Nutrition Examination Survey; Risk assessment</t>
  </si>
  <si>
    <t>EPSTEIN-BARR-VIRUS; AGGRESSIVE PERIODONTITIS; PREVALENCE; BACTERIA; RISK; HERPESVIRUSES; PATHOGENESIS; PATIENT; UPDATE</t>
  </si>
  <si>
    <t>Background Periodontitis is a common chronic oral disease which seriously affects people's quality of life. Although human herpes simplex virus (HSV) is also found in periodontal lesions, the association between HSV infection and periodontitis is unclear.Methods The National Health and Nutrition Examination Survey (NHANES) data for 2009-2010, 2011-2012 and 2013-2014 was combined, and the association between HSV infection and periodontitis in the general population and particular subgroups was investigated through weighted multi-logistic analyses.Results There were 4,733 participants aged 30-50 years old with clinically assessed periodontitis concurrent with HSV infection. In general analysis, after adjusted for covariates, both HSV-1 (OR = 1.09, P &lt; 0.001) and HSV-2 (OR = 1.06, P = 0.030) infection was significantly associated with periodontitis. In subgroup analyses, compared with patients without HSV infection, patients with HSV-1( +) &amp; HSV-2( +) and HSV-1( +) &amp; HSV-2(-) infection showed higher risk of periodontitis in all subgroups (OR = 1.15, OR = 1.09, P &lt; 0.001), while patients with HSV-1(-) &amp; HSV-2( +) infection showed higher risk of and periodontitis only in the subgroup of people aged 40-50 years (OR = 1.10, P = 0.032) and the Mexican-American subgroup (OR = 1.35, P = 0.042). When only severe periodontitis is considered, HSV infection was associated with periodontitis, no matter the patient was infected with either of the virus or both.Conclusions HSV-1 infection was significantly associated with periodontitis and severe periodontitis, while HSV-2 infection was associated with severe periodontitis, and periodontitis in 40-50-year-olds and Mexican-Americans.</t>
  </si>
  <si>
    <t>[Song, Yansong; Liu, Na; Yang, Dan; Liu, Jiaxin; Xie, Liang; Dan, Hongxia; Chen, Qianming] Sichuan Univ, State Key Lab Oral Dis, Chengdu 610041, Sichuan, Peoples R China; [Song, Yansong; Liu, Na; Yang, Dan; Liu, Jiaxin; Xie, Liang; Dan, Hongxia; Chen, Qianming] Sichuan Univ, Natl Ctr Stomatol, Chengdu 610041, Sichuan, Peoples R China; [Song, Yansong; Liu, Na; Yang, Dan; Liu, Jiaxin; Xie, Liang; Dan, Hongxia; Chen, Qianming] Sichuan Univ, Natl Clin Res Ctr Oral Dis, Chengdu 610041, Sichuan, Peoples R China; [Song, Yansong; Liu, Na; Yang, Dan; Liu, Jiaxin; Xie, Liang; Dan, Hongxia; Chen, Qianming] Sichuan Univ, West China Hosp Stomatol, Chinese Acad Med Sci, Res Unit Oral Carcinogenesis &amp; Management, Chengdu 610041, Sichuan, Peoples R China; [Liu, Na] Guangzhou Med Univ, Guangdong Engn Res Ctr Oral Restorat &amp; Reconstruct, Guangzhou Key Lab Basic &amp; Appl Res Oral Regenerat, Dept Periodont,Affiliated Stomatol Hosp, Guangzhou 510182, Peoples R China; [Gao, Lijie] Sichuan Univ, West China Hosp, Dept Neurol, Chengdu 610041, Sichuan, Peoples R China</t>
  </si>
  <si>
    <t>Sichuan University; Sichuan University; Sichuan University; Chinese Academy of Medical Sciences - Peking Union Medical College; Sichuan University; Guangzhou Medical University; Sichuan University</t>
  </si>
  <si>
    <t>Dan, HX; Chen, QM (corresponding author), Sichuan Univ, State Key Lab Oral Dis, Chengdu 610041, Sichuan, Peoples R China.;Dan, HX; Chen, QM (corresponding author), Sichuan Univ, Natl Ctr Stomatol, Chengdu 610041, Sichuan, Peoples R China.;Dan, HX; Chen, QM (corresponding author), Sichuan Univ, Natl Clin Res Ctr Oral Dis, Chengdu 610041, Sichuan, Peoples R China.;Dan, HX; Chen, QM (corresponding author), Sichuan Univ, West China Hosp Stomatol, Chinese Acad Med Sci, Res Unit Oral Carcinogenesis &amp; Management, Chengdu 610041, Sichuan, Peoples R China.</t>
  </si>
  <si>
    <t>hxdan@foxmail.com; qmchen@scu.edu.cn</t>
  </si>
  <si>
    <t>Dan, Hongxia/0000-0002-9765-0012</t>
  </si>
  <si>
    <t>1472-6831</t>
  </si>
  <si>
    <t>BMC Oral Health</t>
  </si>
  <si>
    <t>10.1186/s12903-023-03416-x</t>
  </si>
  <si>
    <t>Dentistry, Oral Surgery &amp; Medicine</t>
  </si>
  <si>
    <t>S1FY4</t>
  </si>
  <si>
    <t>WOS:001068707500001</t>
  </si>
  <si>
    <t>Sutradhar, H</t>
  </si>
  <si>
    <t>Sutradhar, Hemanta</t>
  </si>
  <si>
    <t>Identification of soil erosion-prone areas and annual average soil loss of Siddheswari River basin, Eastern India</t>
  </si>
  <si>
    <t>JOURNAL OF SEDIMENTARY ENVIRONMENTS</t>
  </si>
  <si>
    <t>Soil; Degradation; Erosion risk; Analytic Hierarchy Process (AHP); Revised Universal Soil Loss Equation (RUSLE); Potential Soil Erosion Vulnerable Map (PSEVM)</t>
  </si>
  <si>
    <t>COASTAL VULNERABILITY ASSESSMENT; ANALYTICAL HIERARCHICAL PROCESS; EVIDENTIAL BELIEF FUNCTION; GULLY EROSION; LAND-USE; ENVIRONMENTAL SUITABILITY; MORPHOMETRIC-ANALYSIS; SYNTHETIC EVALUATION; LOGISTIC-REGRESSION; SEDIMENT YIELD</t>
  </si>
  <si>
    <t>Soil erosion is one of the major environmental issues influencing productivity and soil deterioration. Various erosion agents have contributed to soil erosion in recent years, but flowing water continues to be the primary cause. This study used ten key factors, including the Analytic Hierarchy Process (AHP) and Revised Universal Soil Loss Equation (RUSLE) methodologies, to assess erosion risk in the Siddheswari River basin. The final erosion map is produced by integrating ten factors within the ArcGIS environment. Results indicate that the extreme soil erosion zone covers 168.70 km2 area (19.30%) and scattered over the upper and middle catchment; the high soil erosion region covers 172.58 km2 (19.75%) area of the upper, middle, and lower catchment; low and very low erosion vulnerable zones covering 201.07 km2 (23.01%) and 100.47 km2 (11.50%) areas respectively of the basin's total area and mainly located near the western boundaries of a watershed and some neglected portions of the upper and middle catchment of the basin. Moderate soil erosion region covering 231.06 km2 areas (26.44%) characterized by moderate slope steepness and low-to-moderate vegetation. Spatial predicted soil erosion rate using the RUSLE method also shows a higher erosion rate. The high annual soil loss is observed in the high altitude and sloping regions, precisely in the side slope plateau fringe and denudational slope. The predicted results using AHP and RUSLE methods show that higher altitude areas near upper and upper-middle catchments are more vulnerable to erosion. The conclusion demonstrates that the Siddheswari basin's upper and upper-middle catchment areas have the highest soil erosion concerns.</t>
  </si>
  <si>
    <t>[Sutradhar, Hemanta] Suri Vidyasagar Coll, Dept Geog, Suri, W Bengal, India</t>
  </si>
  <si>
    <t>Sutradhar, H (corresponding author), Suri Vidyasagar Coll, Dept Geog, Suri, W Bengal, India.</t>
  </si>
  <si>
    <t>hemantasutradhar5@gmail.com</t>
  </si>
  <si>
    <t>2662-5571</t>
  </si>
  <si>
    <t>2447-9462</t>
  </si>
  <si>
    <t>J SEDIMENT ENVIRON</t>
  </si>
  <si>
    <t>J. Sediment. Environ.</t>
  </si>
  <si>
    <t>10.1007/s43217-023-00149-3</t>
  </si>
  <si>
    <t>R9RF9</t>
  </si>
  <si>
    <t>WOS:001067644100001</t>
  </si>
  <si>
    <t>Thompson, BB; Holzer, PH; Kliman, H</t>
  </si>
  <si>
    <t>Thompson, Beatrix; Holzer, Parker; Kliman, Harvey</t>
  </si>
  <si>
    <t>Placental Pathology Findings in Unexplained Pregnancy Losses</t>
  </si>
  <si>
    <t>REPRODUCTIVE SCIENCES</t>
  </si>
  <si>
    <t>Pregnancy loss; Miscarriage; Stillbirth; Placenta; Trophoblast inclusion; Small placenta</t>
  </si>
  <si>
    <t>PARTIAL HYDATIDIFORM MOLES; INTRAUTERINE FETAL-DEATH; TROPHOBLAST INCLUSIONS; SQUAMOUS METAPLASIA; UNKNOWN ETIOLOGY; GESTATIONAL-AGE; STILLBIRTH; FEATURES; ASSOCIATION; CLASSIFICATION</t>
  </si>
  <si>
    <t>There are approximately 5 million pregnancies per year in the USA, with 1 million ending in miscarriage (a loss occurring prior to 20 weeks of gestation) and over 20,000 ending in stillbirth at or beyond 20 weeks of gestation. As many as 50% of these losses are unexplained. Our objective was to evaluate the effect of expanding the placental pathology diagnostic categories to include the explicit categories of (1) dysmorphic chorionic villi and (2) small placenta in examining previously unexplained losses. Using a clinical database of 1256 previously unexplained losses at 6-43 weeks of gestation, the most prevalent abnormality associated with each loss was determined through examination of its placental pathology slides. Of 1256 cases analyzed from 922 patients, there were 878 (69.9%) miscarriages and 378 (30.1%) antepartum stillbirths. We determined the pathologic diagnoses for 1150/1256 (91.6%) of the entire series, 777/878 (88.5%) of the miscarriages (&lt; 20 weeks' gestation), and 373/378 (98.7%) of the stillbirths (= 20 weeks' gestation). The most common pathologic feature observed in unexplained miscarriages was dysmorphic chorionic villi (757 cases; 86.2%), a marker associated with genetic abnormalities. The most common pathologic feature observed in unexplained stillbirths was a small placenta (128 cases; 33.9%). Our classification system reinforced the utility of placental examination for elucidating potential mechanisms behind pregnancy loss. The improved rate of diagnosis appeared to be the result of filling a gap in previous pregnancy loss classification systems via inclusion of the categories of dysmorphic chorionic villi and small placenta.</t>
  </si>
  <si>
    <t>[Thompson, Beatrix; Kliman, Harvey] Yale Univ, Sch Med, Dept Obstet Gynecol &amp; Reprod Sci, New Haven, CT 06520 USA; [Thompson, Beatrix] Harvard Med Sch, Boston, MA USA; [Holzer, Parker] Yale Univ, Dept Stat &amp; Data Sci, New Haven, CT USA; [Holzer, Parker] Spiff Inc, Sandy, UT USA</t>
  </si>
  <si>
    <t>Yale University; Harvard University; Harvard Medical School; Yale University</t>
  </si>
  <si>
    <t>Kliman, H (corresponding author), Yale Univ, Sch Med, Dept Obstet Gynecol &amp; Reprod Sci, New Haven, CT 06520 USA.</t>
  </si>
  <si>
    <t>harvey.kliman@yale.edu</t>
  </si>
  <si>
    <t>This study was supported by the Department of Obstetrics, Gynecology and Reproductive Sciences, Reproductive and Placental Research Unit, Yale University School of Medicine. We wish to thank Colleen Furlow MSN, CNM for her excellent organizational skills i; Department of Obstetrics, Gynecology and Reproductive Sciences, Reproductive and Placental Research Unit, Yale University School of Medicine</t>
  </si>
  <si>
    <t>This study was supported by the Department of Obstetrics, Gynecology and Reproductive Sciences, Reproductive and Placental Research Unit, Yale University School of Medicine. We wish to thank Colleen Furlow MSN, CNM for her excellent organizational skills in cataloguing and entering the data for many of the cases in our series and Kristin M. Milano for her help in organizing the glass slides from specific cases for further analysis. Finally, we wish to thank the many patients who sought our help at one of the most difficult times of their lives and whose losses may help other patients and couples understand their own losses.</t>
  </si>
  <si>
    <t>1933-7191</t>
  </si>
  <si>
    <t>1933-7205</t>
  </si>
  <si>
    <t>REPROD SCI</t>
  </si>
  <si>
    <t>Reprod. Sci.</t>
  </si>
  <si>
    <t>10.1007/s43032-023-01344-3</t>
  </si>
  <si>
    <t>Obstetrics &amp; Gynecology; Reproductive Biology</t>
  </si>
  <si>
    <t>S1LO9</t>
  </si>
  <si>
    <t>WOS:001068856700001</t>
  </si>
  <si>
    <t>van de Ven, M; Machado, PL; Athanasopoulou, A; Aysolmaz, B; Turetken, O</t>
  </si>
  <si>
    <t>van de Ven, Montijn; Machado, Paola Lara; Athanasopoulou, Alexia; Aysolmaz, Banu; Turetken, Oktay</t>
  </si>
  <si>
    <t>Key performance indicators for business models: a systematic review and catalog</t>
  </si>
  <si>
    <t>INFORMATION SYSTEMS AND E-BUSINESS MANAGEMENT</t>
  </si>
  <si>
    <t>Business model; Business model management; Business model evaluation; Performance measurement; Key performance indicators; Systematic literature review</t>
  </si>
  <si>
    <t>DECISION-SUPPORT-SYSTEM; DESIGN SCIENCE RESEARCH; BALANCED SCORECARD; INNOVATION; SUSTAINABILITY; FRAMEWORK; FUTURE; METHODOLOGY; ADAPTATION</t>
  </si>
  <si>
    <t>Organizations continuously adapt and innovate their business models to remain competitive. To support the management of business models throughout their lifecycle, Key Performance Indicators (KPIs) related to business models play an important role. However, the current research on business model KPIs is dispersed and lacks clarity on how they are defined, concretized, and managed throughout their lifecycle. Therefore, we conducted a systematic literature review to analyze and consolidate the current state of the research on KPIs for business models. We identified 35 relevant publications and classified them in a concept matrix consisting of five categories related to business models and KPI management. In addition, we synthesized the business model KPIs referred to in the literature into a catalog structured by business model dimensions. Based on our review and analysis, we formulate avenues for further research on KPIs for business models. Practitioners can use the overview of available approaches for business model KPI management and the catalog of business model KPIs to effectively manage and define KPIs for their organization's business models.</t>
  </si>
  <si>
    <t>[van de Ven, Montijn; Machado, Paola Lara; Athanasopoulou, Alexia; Aysolmaz, Banu; Turetken, Oktay] Eindhoven Univ Technol, Dept Ind Engn &amp; Innovat Sci, Dolech 2, NL-5612 AZ Eindhoven, Netherlands</t>
  </si>
  <si>
    <t>Eindhoven University of Technology</t>
  </si>
  <si>
    <t>van de Ven, M (corresponding author), Eindhoven Univ Technol, Dept Ind Engn &amp; Innovat Sci, Dolech 2, NL-5612 AZ Eindhoven, Netherlands.</t>
  </si>
  <si>
    <t>m.r.v.d.ven@tue.nl</t>
  </si>
  <si>
    <t>1617-9846</t>
  </si>
  <si>
    <t>1617-9854</t>
  </si>
  <si>
    <t>INF SYST E-BUS MANAG</t>
  </si>
  <si>
    <t>Inf. Syst. E-Bus. Manag.</t>
  </si>
  <si>
    <t>10.1007/s10257-023-00650-2</t>
  </si>
  <si>
    <t>R9RP4</t>
  </si>
  <si>
    <t>WOS:001067653600001</t>
  </si>
  <si>
    <t>Wang, YL; Tan, XR; Chen, ZFY; Zhang, BD; Gao, YZ; Wang, YL</t>
  </si>
  <si>
    <t>Wang, Yulong; Tan, Xingru; Chen, Zhoufangyuan; Zhang, Bide; Gao, Yunzhi; Wang, Yanlong</t>
  </si>
  <si>
    <t>Association between the rs6313 polymorphism in the 5-HTR2A gene and the efficacy of antipsychotic drugs</t>
  </si>
  <si>
    <t>Genetic polymorphism; Schizophrenia; 5-HTR2A; rs6313; Antipsychotic drugs</t>
  </si>
  <si>
    <t>5-HT2A RECEPTOR GENE; CLINICAL-RESPONSE; CLOZAPINE RESPONSE; 2A GENE; SCHIZOPHRENIA; OLANZAPINE; RISPERIDONE; T102C</t>
  </si>
  <si>
    <t>BackgroundPrescribing the optimal antipsychotic treatment to schizophrenia is very important as it is well established that patients have different sensitivity to the available antipsychotic drugs. The genotype of the HTR2A T102C (rs6313) polymorphism has been suggested to affect the efficacy of antipsychotic drugs, but the results of different studies have been inconsistentMethodsIn this study, a meta-analysis was used to ascertain the association between allele and genotype polymorphism of rs6313 and the efficacy of antipsychotic drugs. Related studies publicated from January 1995 to December 2021 were retrieved from PubMed, Embase, ScienceDirect, and Web of Science databases. The correlations between allele and genotype polymorphism of rs6313 and the responder rate and scale score reduction rate of antipsychotics were analyzed. In addition, subgroup analyses were performed on time, drug, and ethnicity.ResultsA total of 18 studies were included. The meta-analysis showed that allele and genotype polymorphisms at the rs6313 locus overall were not associated with antipsychotic drug responder rate or scale score reduction rate. Ethnicity subgroup analysis showed that antipsychotic drugs were more effective in patients with allele T in the Caucasian population. Indian patients with the TT genotype had the lowest scale score reduction rate and poor drug treatment effect. East Asian patients with the TC genotype had better treatment effect, whereas in patients with the CC genotype, the treatment was less effective. Drug subgroup analysis showed that patients with the TC genotype treated with clozapine had the highest responder rate and score reduction rate.ConclusionsThe association between rs6313 polymorphism and the efficacy of antipsychotic drugs is mainly influenced by drug and ethnicity. Caucasian patients with the T allele respond better to drug therapy, and Asian patients with TC genotype. The TC genotype was also a good predictor of the efficacy of clozapine treatment.</t>
  </si>
  <si>
    <t>[Wang, Yulong; Tan, Xingru; Chen, Zhoufangyuan; Zhang, Bide; Gao, Yunzhi; Wang, Yanlong] Jining Med Univ, Lin Hes Acad Workstn New Med &amp; Clin Transla, Jining, Peoples R China; [Wang, Yulong] Qilu Normal Univ, Coll Teacher Educ, Jinan, Peoples R China; [Tan, Xingru; Chen, Zhoufangyuan; Zhang, Bide; Gao, Yunzhi] Jining Med Univ, Coll Basic Med, Jining, Peoples R China</t>
  </si>
  <si>
    <t>Jining Medical University; Qilu Normal University; Jining Medical University</t>
  </si>
  <si>
    <t>Wang, YL (corresponding author), Jining Med Univ, Lin Hes Acad Workstn New Med &amp; Clin Transla, Jining, Peoples R China.</t>
  </si>
  <si>
    <t>wangyanlong0000@126.com</t>
  </si>
  <si>
    <t>We are grateful to Jining Medical University for the financial support to carry out this study.; Jining Medical University</t>
  </si>
  <si>
    <t>We are grateful to Jining Medical University for the financial support to carry out this study.</t>
  </si>
  <si>
    <t>10.1186/s12888-023-05165-1</t>
  </si>
  <si>
    <t>WOS:001069522200002</t>
  </si>
  <si>
    <t>Zhang, H; Zhang, TY; Hou, LH; Zhao, J; Fan, QQ; Wang, LN; Lu, ZH; Dong, HL; Lei, C</t>
  </si>
  <si>
    <t>Zhang, Hui; Zhang, Taoyuan; Hou, Lihong; Zhao, Jing; Fan, Qianqian; Wang, Lini; Lu, Zhihong; Dong, Hailong; Lei, Chong</t>
  </si>
  <si>
    <t>Association of intraoperative cerebral and somatic tissue oxygen saturation with postoperative acute kidney injury in adult patients undergoing multiple valve surgery</t>
  </si>
  <si>
    <t>BMC ANESTHESIOLOGY</t>
  </si>
  <si>
    <t>NIRS; Tissue oxygen saturation; Acute kidney injury; Multiple valve surgery</t>
  </si>
  <si>
    <t>NEAR-INFRARED SPECTROSCOPY; CARDIAC-SURGERY; RISK; REPERFUSION; OUTCOMES; INFANTS; FLOW</t>
  </si>
  <si>
    <t>BackgroundThe association between tissue oxygenation with postoperative acute kidney injury (AKI) in adult patients undergoing multiple valve surgery has not been specifically studied.MethodsIn this prospective exploratory cohort study, 99 patients were enrolled. The left forehead, the left forearm, the left upper thigh, and the left renal region tissue oxygen saturation using near-infrared spectroscopy were monitored. The association between each threshold and AKI was assessed. The relative and absolute thresholds were &lt; 70%, &lt; 75%, &lt; 80%, &lt; 85%, &lt; 90%, &lt; 95%, and &lt; 100% baseline, and baseline-standard deviation (SD), -1.5 SD, -2 SD, -2.5 SD, and -3 SD. Multivariate logistic regression analysis was adopted to explore the association.ResultsAKI occurred in 53 (54%) patients. The absolute value-based SrrO2 thresholds associated with AKI were baseline-3 SD (odds ratio [OR], 4.629; 95% confidence interval [CI], 1.238-17.314; P = 0.023) and baseline-2.5 SD (OR, 2.842; 95% CI, 1.025-7.881; P = 0.045) after adjusting for the potential confounders, those are renal region tissue oxygen saturation of 55% and 60%, but not statistically significant after correcting for multiple testing (corrected P = 0.114 and 0.179, respectively).ConclusionThe SrrO2 desaturation, defined as &lt; baseline - 2.5 SD or &lt; baseline - 3 SD, may be associated with AKI. The thresholds need to be verified in future large-scale studies.</t>
  </si>
  <si>
    <t>[Zhang, Hui; Zhang, Taoyuan; Hou, Lihong; Zhao, Jing; Fan, Qianqian; Wang, Lini; Lu, Zhihong; Dong, Hailong; Lei, Chong] Xijing Hosp, Dept Anesthesiol &amp; Perioperat Med, Xian 710032, Peoples R China</t>
  </si>
  <si>
    <t>Air Force Military Medical University</t>
  </si>
  <si>
    <t>Lei, C (corresponding author), Xijing Hosp, Dept Anesthesiol &amp; Perioperat Med, Xian 710032, Peoples R China.</t>
  </si>
  <si>
    <t>Crystalleichong@126.com</t>
  </si>
  <si>
    <t>1471-2253</t>
  </si>
  <si>
    <t>BMC ANESTHESIOL</t>
  </si>
  <si>
    <t>BMC Anesthesiol.</t>
  </si>
  <si>
    <t>10.1186/s12871-023-02279-7</t>
  </si>
  <si>
    <t>Anesthesiology</t>
  </si>
  <si>
    <t>S6FS0</t>
  </si>
  <si>
    <t>WOS:001072106200002</t>
  </si>
  <si>
    <t>Alcantarilla, L; Lopez-Castro, M; Betriu, M; Torres, A; Garcia, C; Sole, E; Gelabert, E; Roca-Lecumberri, A</t>
  </si>
  <si>
    <t>Alcantarilla, Laura; Lopez-Castro, Maria; Betriu, Maria; Torres, Anna; Garcia, Cristina; Sole, Eva; Gelabert, Estel; Roca-Lecumberri, Alba</t>
  </si>
  <si>
    <t>Risk factors for relapse or recurrence in women with bipolar disorder and recurrent major depressive disorder in the perinatal period: a systematic review</t>
  </si>
  <si>
    <t>ARCHIVES OF WOMENS MENTAL HEALTH</t>
  </si>
  <si>
    <t>Perinatal period; Risk factors; Bipolar disorder; Depressive disorder</t>
  </si>
  <si>
    <t>ABRUPT DISCONTINUATION; POSTPARTUM PSYCHOSIS; REPRODUCTIVE EVENTS; PSYCHOTROPIC-DRUGS; PREGNANCY; EPISODES; EPIDEMIOLOGY; COMORBIDITY; PREVENTION; EFFICACY</t>
  </si>
  <si>
    <t>It is well known that the perinatal period supposes a considerable risk of relapse for women with bipolar disorder (BD) and recurrent major depressive disorder (rMDD), with the consequences that this entails. Therefore, the authors sought to provide a critical appraisal of the evidence related to specific risk factors for this population with the aim of improving the prevention of relapses during pregnancy and postpartum. The authors conducted a systematic review assessing 18 original studies that provided data on risk factors for relapse or recurrence of BD and/or rMDD in the perinatal period (pregnancy and postpartum). Recurrences of BD and rMDD are more frequent in the postpartum period than in pregnancy, with the first 4-6 weeks postpartum being especially complicated. In addition, women with BD type I are at higher risk than those with BD type II and rMDD, and the most frequent presentation of perinatal episodes of both disorders is a major depressive episode. Other risk factors consistently repeated were early age of onset of illnesses, severity criteria, primiparity, abrupt discontinuation of treatment, and personal or family history of perinatal affective episodes. This review shows that there are common and different risk factors according to the type of disorder and to perinatal timing (pregnancy or postpartum) that should be known for an adequate prevention of relapses.</t>
  </si>
  <si>
    <t>[Alcantarilla, Laura; Lopez-Castro, Maria; Betriu, Maria; Torres, Anna; Garcia, Cristina; Sole, Eva; Roca-Lecumberri, Alba] Hosp Clin Barcelona, Perinatal Mental Hlth Unit CLIN BCN, Barcelona, Spain; [Alcantarilla, Laura] Hosp Sagunto, Psychiat Serv, Valencia, Spain; [Lopez-Castro, Maria] Hosp Santa Creu i Sant Pau, Sant Paus Biomed Res Inst IIB St PAU, Psychiat Serv, Barcelona, Spain; [Gelabert, Estel] Autonomous Univ Barcelona, Dept Clin Psychol &amp; Hlth, Barcelona, Spain</t>
  </si>
  <si>
    <t>University of Barcelona; Hospital Clinic de Barcelona; Autonomous University of Barcelona</t>
  </si>
  <si>
    <t>Roca-Lecumberri, A (corresponding author), Hosp Clin Barcelona, Perinatal Mental Hlth Unit CLIN BCN, Barcelona, Spain.</t>
  </si>
  <si>
    <t>AROCA1@clinic.cat</t>
  </si>
  <si>
    <t>Alcantarilla, Laura/0000-0003-2298-7005</t>
  </si>
  <si>
    <t>1434-1816</t>
  </si>
  <si>
    <t>1435-1102</t>
  </si>
  <si>
    <t>ARCH WOMEN MENT HLTH</t>
  </si>
  <si>
    <t>Arch. Womens Ment. Health</t>
  </si>
  <si>
    <t>2023 SEP 18</t>
  </si>
  <si>
    <t>10.1007/s00737-023-01370-9</t>
  </si>
  <si>
    <t>R9KB9</t>
  </si>
  <si>
    <t>WOS:001067457900001</t>
  </si>
  <si>
    <t>Diaz-Nigenda, JJ; Morales-Casique, E; Carrillo-Garcia, M; Vazquez-Pena, MA; Escolero-Fuentes, O</t>
  </si>
  <si>
    <t>Diaz-Nigenda, Juan Jose; Morales-Casique, Eric; Carrillo-Garcia, Mauricio; Vazquez-Pena, Mario Alberto; Escolero-Fuentes, Oscar</t>
  </si>
  <si>
    <t>Importance of Aquitard Response Time for Groundwater Management in Multi-Aquifer Systems Subject to Land Subsidence</t>
  </si>
  <si>
    <t>WATER RESOURCES MANAGEMENT</t>
  </si>
  <si>
    <t>Groundwater management model; Response coefficient matrix method; Response time, Optimization; Scenarios; Land subsidence</t>
  </si>
  <si>
    <t>FLOW</t>
  </si>
  <si>
    <t>Groundwater management models have been widely applied to obtain optimal pumping strategies for land subsidence control, but most of them do not explicitly incorporate land subsidence variables (such as cumulative settlement and land subsidence rates) within the model constraints and neglect the transient effect due to aquitard storage. Here, three operating scenarios of a hypothetical multi-aquifer system, which include a highly compressible aquitard, were implemented with the aim of evaluating land subsidence and identifying management schemes with the support of an optimization model for groundwater management. In a 50-year management period, maximizing pumping while restricting drawdown to 10 m after year 25 stabilizes groundwater levels within the aquifer, but land subsidence continues to reach 4.8 m at year 50. The effect of reducing pumping rates and how early in the management period this is implemented is also analyzed. Restricting the pumping rate as early as year 6 leads to reduced land subsidence at year 50 by 17%. If pumping reduction is delayed, larger land subsidence rates occurred in the system (7.9, 8.3 and 9.6 cm/year in the tested cases); however, if the total settlement is evaluated as a proportion of the thickness of the aquitard, values of the order of 10% are presented. Our results highlight the importance of timely decisions for groundwater management based on the response time of the aquitards in multi-aquifer systems.</t>
  </si>
  <si>
    <t>[Diaz-Nigenda, Juan Jose; Carrillo-Garcia, Mauricio; Vazquez-Pena, Mario Alberto] Univ Autonoma Chapingo, Dept Irrigac, Grad Program Agr Engn &amp; Integral Water Use, Chapingo 56230, State Of Mexico, Mexico; [Morales-Casique, Eric; Escolero-Fuentes, Oscar] Univ Nacl Autonoma Mexico, Inst Geol, Mexico City 04510, Mexico</t>
  </si>
  <si>
    <t>Universidad Nacional Autonoma de Mexico</t>
  </si>
  <si>
    <t>Morales-Casique, E (corresponding author), Univ Nacl Autonoma Mexico, Inst Geol, Mexico City 04510, Mexico.</t>
  </si>
  <si>
    <t>ericmc@geologia.unam.mx</t>
  </si>
  <si>
    <t>Morales-Casique, Eric/D-5552-2014</t>
  </si>
  <si>
    <t>Morales-Casique, Eric/0000-0001-8481-0251</t>
  </si>
  <si>
    <t>doctoral scholarship from CONACYT of Mexico</t>
  </si>
  <si>
    <t>This research was supported by a doctoral scholarship from CONACYT of Mexico to the leading author</t>
  </si>
  <si>
    <t>0920-4741</t>
  </si>
  <si>
    <t>1573-1650</t>
  </si>
  <si>
    <t>WATER RESOUR MANAG</t>
  </si>
  <si>
    <t>Water Resour. Manag.</t>
  </si>
  <si>
    <t>10.1007/s11269-023-03611</t>
  </si>
  <si>
    <t>Engineering, Civil; Water Resources</t>
  </si>
  <si>
    <t>Engineering; Water Resources</t>
  </si>
  <si>
    <t>S1SK8</t>
  </si>
  <si>
    <t>WOS:001069038000001</t>
  </si>
  <si>
    <t>Espejo-Díaz, JA; Alfonso-Lizarazo, E; Montoya-Torres, JR</t>
  </si>
  <si>
    <t>Espejo-Diaz, Julian Alberto; Alfonso-Lizarazo, Edgar; Montoya-Torres, Jairo R.</t>
  </si>
  <si>
    <t>Improving access to emergency medical services using advanced air mobility vehicles</t>
  </si>
  <si>
    <t>FLEXIBLE SERVICES AND MANUFACTURING JOURNAL</t>
  </si>
  <si>
    <t>Emergency medical services; Advanced air mobility; Healthcare; Clustering; Facility location</t>
  </si>
  <si>
    <t>LOCATION</t>
  </si>
  <si>
    <t>The latest advancements in electric vertical take-off and landing (eVTOL) vehicles indicate that soon this technology will be available in multiple fields. One potential application of this new technology is in emergency medical services. These vehicles will be able to reach emergency sites faster than ground ambulances at lower costs than traditional helicopters. So in the following years, eVTOL vehicles could be used for aeromedical transportation. One crucial decision in implementing such a technology in emergency medical services is the location of their take-off and landing areas (vertiports). In this work, we propose a methodology for locating the vertiports in a healthcare network to improve emergency medical services coverage in hard-to-reach zones. We studied the system performance locating the vertiports for emergency services in existing healthcare facilities or outside them as auxiliary bases. In addition, we evaluated the performance of different operational scenarios regarding the use of emergency eVTOL. To do so, we used data analytics techniques (i.e., clustering algorithms) in conjunction with facility location models. The approach is tested using data from the Auvergne-Rhone-Alpes region in France. Results showed that locating the vertiports in existing healthcare facilities is the best choice in terms of coverage of hard-to-reach zones. However, on average, the response times increased compared to locating the vertiports as auxiliary bases outside the healthcare facilities. Besides, the results indicated that implementing eVTOL vehicles for aeromedical transportation can provide better access to emergency medical services in hard-to-reach zones. Still, the autonomy of such vehicles plays an essential role in their applicability.</t>
  </si>
  <si>
    <t>[Espejo-Diaz, Julian Alberto; Alfonso-Lizarazo, Edgar] Univ Jean Monnet St Etienne, LASPI, F-42023 St Etienne, France; [Espejo-Diaz, Julian Alberto; Montoya-Torres, Jairo R.] Univ Le Sabana, Sch Engn, Campus Puente Comun,Km 7 Autopista Norte Bogota, C, Chia 250001, Cundinamarca, Colombia</t>
  </si>
  <si>
    <t>Montoya-Torres, JR (corresponding author), Univ Le Sabana, Sch Engn, Campus Puente Comun,Km 7 Autopista Norte Bogota, C, Chia 250001, Cundinamarca, Colombia.</t>
  </si>
  <si>
    <t>edgar.alfonso.lizarazo@univ-st-etienne.fr; julianesdi@unisabana.edu.co; jairo.montoya@unisabana.edu.co</t>
  </si>
  <si>
    <t>School of Engineering at Universidad de La Sabana [INGPhD-44-2021]; Eiffel Excellence Scholarship from the French Ministry for Europe and Foreign Affairs</t>
  </si>
  <si>
    <t>School of Engineering at Universidad de La Sabana; Eiffel Excellence Scholarship from the French Ministry for Europe and Foreign Affairs</t>
  </si>
  <si>
    <t>This work was made under the project grant INGPhD-44-2021 awarded by the School of Engineering at Universidad de La Sabana, and by an Eiffel Excellence Scholarship from the French Ministry for Europe and Foreign Affairs awarded to the first author.</t>
  </si>
  <si>
    <t>1936-6582</t>
  </si>
  <si>
    <t>1936-6590</t>
  </si>
  <si>
    <t>FLEX SERV MANUF J</t>
  </si>
  <si>
    <t>Flex. Serv. Manuf. J.</t>
  </si>
  <si>
    <t>10.1007/s10696-023-09507-9</t>
  </si>
  <si>
    <t>Engineering, Industrial; Engineering, Manufacturing; Operations Research &amp; Management Science</t>
  </si>
  <si>
    <t>Engineering; Operations Research &amp; Management Science</t>
  </si>
  <si>
    <t>R8SD2</t>
  </si>
  <si>
    <t>WOS:001066990200001</t>
  </si>
  <si>
    <t>Hawrot, A; Zhou, J</t>
  </si>
  <si>
    <t>Hawrot, Anna; Zhou, Ji</t>
  </si>
  <si>
    <t>Parent-child school-related interactions and helplessness in maths: the role of maths self-efficacy</t>
  </si>
  <si>
    <t>EUROPEAN JOURNAL OF PSYCHOLOGY OF EDUCATION</t>
  </si>
  <si>
    <t>Learned helplessness; parent-child interactions; home learning environment; self-efficacy; parental involvement in education</t>
  </si>
  <si>
    <t>STUDENT ACADEMIC-ACHIEVEMENT; HOME LEARNING-ENVIRONMENT; HELP-SEEKING; INVOLVEMENT; QUALITY; ADOLESCENTS; PERFORMANCE; BELIEFS; STYLES; BEHAVIOR</t>
  </si>
  <si>
    <t>Although learned helplessness has a long research tradition, neither its contextual predictors nor the ways that they take effect are fully understood. This study inquired into the role of selected aspects of the home learning environment for academic helplessness. We tested whether three dimensions of parent-child school-related interactions-school-related assistance, structure, and responsiveness-predicted helplessness in maths. The study also verified whether student self-efficacy in maths partially mediated the relationships. The analyses were run on a sample of 6726 German secondary school students and used structural equation modelling. They confirmed that higher school-related assistance, structure, and responsiveness in Grade 7 were associated with lower helplessness in maths in Grade 7. Moreover, self-efficacy in maths was a partial mediator of these relationships. Additional analyses with helplessness in maths measured in Grade 9 revealed the same pattern of results for school-related assistance and responsiveness, but only an indirect link was present in the case of structure. The results highlight the protective role that parent-child interactions around school may play against academic helplessness.</t>
  </si>
  <si>
    <t>[Hawrot, Anna; Zhou, Ji] Leibniz Inst Educ Trajectories, Dept Competencies Personal Learning Environm, Wilhelmspl 3, D-96047 Bamberg, Germany</t>
  </si>
  <si>
    <t>Leibniz Institut fur Bildungsverlaufe (Lifbi)</t>
  </si>
  <si>
    <t>Hawrot, A (corresponding author), Leibniz Inst Educ Trajectories, Dept Competencies Personal Learning Environm, Wilhelmspl 3, D-96047 Bamberg, Germany.</t>
  </si>
  <si>
    <t>anna.hawrot@lifbi.de; ji.zhou@lifbi.de</t>
  </si>
  <si>
    <t>Hawrot, Anna/C-7204-2016</t>
  </si>
  <si>
    <t>Hawrot, Anna/0000-0002-2784-5455</t>
  </si>
  <si>
    <t>Open Access funding enabled and organized by Projekt DEAL. This paper uses data from the National Educational Panel Study (NEPS; see Blossfeld &amp; amp; Ro beta bach, 2019). The NEPS is carried out by the Leibniz Institute for Educational Trajectories (LIfBi, Germany) in cooperation with a nationwide network.</t>
  </si>
  <si>
    <t>0256-2928</t>
  </si>
  <si>
    <t>1878-5174</t>
  </si>
  <si>
    <t>EUR J PSYCHOL EDUC</t>
  </si>
  <si>
    <t>Eur. J. Psychol. Educ.</t>
  </si>
  <si>
    <t>10.1007/s10212-023-00740-2</t>
  </si>
  <si>
    <t>Psychology, Educational</t>
  </si>
  <si>
    <t>S1MV8</t>
  </si>
  <si>
    <t>WOS:001068891400001</t>
  </si>
  <si>
    <t>Kubota, H; Hashimoto, Y; Toyota, K; Yano, R; Kobayashi, H; Yokoyama, Y; Sakashita, Y; Taniyama, K; Miyamoto, K; Murakami, Y</t>
  </si>
  <si>
    <t>Kubota, Haruna; Hashimoto, Yasushi; Toyota, Kazuhiro; Yano, Raita; Kobayashi, Hironori; Yokoyama, Yujiro; Sakashita, Yoshihiro; Taniyama, Kiyomi; Miyamoto, Katsunari; Murakami, Yoshiaki</t>
  </si>
  <si>
    <t>Intrahepatic cholangiocarcinoma with extensive intraductal extension of high-grade biliary intraepithelial neoplasia: a case report</t>
  </si>
  <si>
    <t>SURGICAL CASE REPORTS</t>
  </si>
  <si>
    <t>Intrahepatic cholangiocarcinoma; biliary intraepithelial neoplasia (BilIN); Intraductal extension; Precursor</t>
  </si>
  <si>
    <t>BILE-DUCT; FEATURES; IMPACT</t>
  </si>
  <si>
    <t>BackgroundIntrahepatic cholangiocarcinoma (ICC) is frequently associated with precursor lesions, and biliary intraepithelial neoplasia (BilIN) may play a significant role in the development of ICC. However, the exact sequence and progression of these lesions remain to be elucidated. We report a rare case of ICC that exhibited extensive longitudinal intraductal extension of high-grade BilIN in the posterior bile ducts and involved the hepatic hilum and the peripheral hepatic parenchyma.Case presentationA 70-year-old female presented with anorexia. Computed tomography (CT) revealed a 15 mm enhancing intrahepatic tumor extending to the right intrahepatic secondary confluence. This was associated with a 7 mm diameter cystic dilatation of the segment 6 bile duct (B6). Endoscopic retrograde cholangiopancreatography (ERCP) revealed stenosis at the bifurcation of the posterior bile duct branch. Bile cytology confirmed the diagnosis of adenocarcinoma cells. Therefore, the patient was diagnosed with an ICC involving the right glissonean pedicle and underwent a right hepatectomy and lymph node dissection. Histologic examination revealed the tumor consisted of moderately differentiated adenocarcinoma. In connection with this lesion, diffuse intraductal atypical epithelial cells, which were diagnosed as high-grade BilIN, was observed not only in the dilated B6 but in the entire posterior bile ducts, which measured approximately 120 mm in diameter. Furthermore, two distinct foci of adenocarcinomas were identified in the peripheral hepatic parenchyma. A lymph node metastasis was also present. The pathological diagnosis was ICC pT4N1M0 stage IVA. The patient underwent adjuvant chemotherapy and has shown no recurrence 5 years after surgery. Imaging modalities were unable to accurately assess the extent of the intraductal neoplastic lesions due to their low papillary or sessile intraductal tubular growth. No risk factors for BilIN development, which has the potential to predispose to cholangiocarcinoma, were identified in the present case.ConclusionsWe present a case of ICC involving the right hepatic hilum, accompanied by extensive longitudinal extensions of high-grade BilIN and multifocal microscopic invasions in peripheral hepatic parenchyma. Notably, the intraductal lesions involved the entire posterior intrahepatic bile ducts. The presence of biliary neoplasia with extensive intraductal extension, in conjunction with ICC, should be considered as a variant of BilIN.</t>
  </si>
  <si>
    <t>[Kubota, Haruna; Hashimoto, Yasushi; Toyota, Kazuhiro; Yano, Raita; Kobayashi, Hironori; Yokoyama, Yujiro; Sakashita, Yoshihiro; Miyamoto, Katsunari; Murakami, Yoshiaki] Hiroshima Mem Hosp, Dept Surg, Honkawa cho 1-4-3, Naka ku, Hiroshima 7300802, Japan; [Taniyama, Kiyomi] Hiroshima Mem Hosp, Dept Pathol, Hiroshima, Japan</t>
  </si>
  <si>
    <t>Kubota, H (corresponding author), Hiroshima Mem Hosp, Dept Surg, Honkawa cho 1-4-3, Naka ku, Hiroshima 7300802, Japan.</t>
  </si>
  <si>
    <t>haco.may0501@gmail.com</t>
  </si>
  <si>
    <t>We would like to express our gratitude to the patient for granting consent for the publication of this article. In addition, we extend our thanks to Professor Akira Inagawa for referring the patient and engaging in valuable discussions regarding the radiol</t>
  </si>
  <si>
    <t>We would like to express our gratitude to the patient for granting consent for the publication of this article. In addition, we extend our thanks to Professor Akira Inagawa for referring the patient and engaging in valuable discussions regarding the radiological findings.</t>
  </si>
  <si>
    <t>2198-7793</t>
  </si>
  <si>
    <t>SURG CASE REP</t>
  </si>
  <si>
    <t>SURG. CASE REP.</t>
  </si>
  <si>
    <t>SEP 18</t>
  </si>
  <si>
    <t>10.1186/s40792-023-01748-y</t>
  </si>
  <si>
    <t>R8RU3</t>
  </si>
  <si>
    <t>WOS:001066981300002</t>
  </si>
  <si>
    <t>Qiao, RM; Li, XJ; Madsen, O; Groenen, MAM; Xu, P; Wang, KJ; Han, XL; Li, GY; Li, XL; Li, K</t>
  </si>
  <si>
    <t>Qiao, Ruimin; Li, Xinjian; Madsen, Ole; Groenen, Martien A. M.; Xu, Pan; Wang, Kejun; Han, Xuelei; Li, Gaiying; Li, Xiuling; Li, Kui</t>
  </si>
  <si>
    <t>Potential selection for lipid kinase activity and spermatogenesis in Henan native pig breeds and growth shaping by introgression of European genes</t>
  </si>
  <si>
    <t>GENETICS SELECTION EVOLUTION</t>
  </si>
  <si>
    <t>WHOLE-GENOME ASSOCIATION; PATTERNS</t>
  </si>
  <si>
    <t>BackgroundChina has one third of the worldwide indigenous pig breeds. The Henan province is one of the earliest pig domestication centers of China (about 8000 years ago). However, the precise genetic characteristics of the Henan local pig breeds are still obscure. To understand the origin and the effects of selection on these breeds, we performed various analyses on lineage composition, genetic structure, and detection of selection sweeps and introgression in three of these breeds (Queshan, Nanyang and Huainan) using genotyping data on 125 Queshan, 75 Nanyang, 16 Huainan pigs and 878 individuals from 43 Eurasian pig breeds.ResultsWe found no clear evidence of ancestral domestic pig DNA lineage in the Henan local breeds, which have an extremely complicated genetic background. Not only do they share genes with some northern Chinese pig breeds, such as Erhualian, Hetaodaer, and Laiwu, but they also have a high admixture of genes from foreign pig breeds (33-40%). Two striking selection sweeps in small regions of chromosomes 2 and 14 common to the Queshan and Nanyang breeds were identified. The most significant enrichment was for lipid kinase activity (GO:0043550) with the genes FII, AMBRA1, and PIK3IP1. Another interesting 636.35-kb region on chromosome 14 contained a cluster of spermatogenesis genes (OSBP2, GAL3ST1, PLA2G3, LIMK2, and PATZ1), a bisexual sterility gene MORC2, and a fat deposition gene SELENOM. Reproduction and growth genes LRP4, FII, and ARHGAP1 were present in a 238.05-kb region on SSC2 under selection. We also identified five loci associated with body length (P = 0.004) on chromosomes 1 and 12 that were introgressed from foreign pig breeds into the Henan breeds. In addition, the Chinese indigenous pig breeds fell into four main types instead of the previously reported six, among which the Eastern type could be divided into two subgroups.ConclusionsAdmixture of North China, East China and foreign pigs contributed to high genetic diversity of Henan local pigs. Ontology terms associated with lipid kinase activity and spermatogenesis and growth shaping by introgression of European genes in Henan pigs were identified through selective sweep analyses.</t>
  </si>
  <si>
    <t>[Qiao, Ruimin; Li, Xinjian; Wang, Kejun; Han, Xuelei; Li, Gaiying; Li, Xiuling] Henan Agr Univ, Coll Anim Sci &amp; Technol, Zhengzhou 450046, Peoples R China; [Xu, Pan] Jiangsu Agrianim Husb &amp; Vet Coll, Taizhou 225300, Peoples R China; [Madsen, Ole; Groenen, Martien A. M.] Wageningen Univ &amp; Res, Anim Breeding &amp; Gen Ctr, Dept Anim Sci, NL-6700 HB Wageningen, Netherlands; [Li, Kui] Chinese Acad Agr Sci, State Key Lab Anim Nutr, Beijing 100081, Peoples R China; [Li, Kui] Chinese Acad Agr Sci, Inst Anim Sci, Key Lab Anim Genet Breeding &amp; Reprod, Minist Agr &amp; Rural Affairs China, Beijing 100081, Peoples R China</t>
  </si>
  <si>
    <t>Henan Agricultural University; Wageningen University &amp; Research; Chinese Academy of Agricultural Sciences; Chinese Academy of Agricultural Sciences; Institute of Animal Science, CAAS; Ministry of Agriculture &amp; Rural Affairs</t>
  </si>
  <si>
    <t>Qiao, RM; Li, XL (corresponding author), Henan Agr Univ, Coll Anim Sci &amp; Technol, Zhengzhou 450046, Peoples R China.</t>
  </si>
  <si>
    <t>qrm480@163.com; xiulingli@henau.edu.cn</t>
  </si>
  <si>
    <t>Special thanks should go to my friend Tao Li who put considerable time and effort into collecting pig breeds introducing records in Henan, China.</t>
  </si>
  <si>
    <t>0999-193X</t>
  </si>
  <si>
    <t>1297-9686</t>
  </si>
  <si>
    <t>GENET SEL EVOL</t>
  </si>
  <si>
    <t>Genet. Sel. Evol.</t>
  </si>
  <si>
    <t>10.1186/s12711-023-00841-y</t>
  </si>
  <si>
    <t>Agriculture, Dairy &amp; Animal Science; Genetics &amp; Heredity</t>
  </si>
  <si>
    <t>Agriculture; Genetics &amp; Heredity</t>
  </si>
  <si>
    <t>S2DV3</t>
  </si>
  <si>
    <t>WOS:001069335100001</t>
  </si>
  <si>
    <t>Xu, X; Ye, T; Gao, JY; Chu, DX</t>
  </si>
  <si>
    <t>Xu, Xin; Ye, Tao; Gao, Jieying; Chu, Dongxiao</t>
  </si>
  <si>
    <t>Generalized hurdle count data models based on interpretable machine learning with an application to health care demand</t>
  </si>
  <si>
    <t>COMPUTING</t>
  </si>
  <si>
    <t>Zero-inflated; Two-stage; Generalized hurdle; Interpretable machine learning</t>
  </si>
  <si>
    <t>INFLATED POISSON REGRESSION; NEGATIVE BINOMIAL REGRESSION; INSURANCE</t>
  </si>
  <si>
    <t>The zero-inflated count data model has long been viewed as an important research topic owing to its enormously different disciplines. As early classical statistical models of linear and logarithmic mean transformation are difficult to be consistent with reality, an enhanced hurdle model based on machine learning methods is proposed. The decision tree, random forest, support vector, and XGBoost methods are introduced in the two stages of the hurdle model. This framework allows to capture the decision-making behavior and predict the count more flexibly and accurately. The generalized hurdle model consists of traditional discrete distributions, which can fit under-dispersed, equi-dispersed, or over-dispersed count data. The extended hurdle models are utilized to fit health care data and compare their performance with traditional count models. The results show that the generalized hurdle model with random forest performs best. Variable importance, break-down plots, and partial plots provide better interpretability for the extended model, which makes the results more reliable and transparent. To the best of our knowledge, this is the first study to generalize the hurdle model with interpretable machine learning methods in count data.</t>
  </si>
  <si>
    <t>[Xu, Xin; Gao, Jieying; Chu, Dongxiao] Capital Univ Econ &amp; Business, Sch Finance, Beijing 100070, Peoples R China; [Ye, Tao] Univ Int Business &amp; Econ, Sch Banking &amp; Finance, Beijing 100029, Peoples R China</t>
  </si>
  <si>
    <t>Capital University of Economics &amp; Business; University of International Business &amp; Economics</t>
  </si>
  <si>
    <t>Chu, DX (corresponding author), Capital Univ Econ &amp; Business, Sch Finance, Beijing 100070, Peoples R China.</t>
  </si>
  <si>
    <t>xuxin@cueb.edu.cn; yetao_uibe@163.com; gaojieying@cueb.edu.cn; chudongxiao@cueb.edu.cn</t>
  </si>
  <si>
    <t>All authors contributed to the study conception and design. Material preparation, data collection and analysis were performed by XX, TY, JG and DC. The first draft of the manuscript was written by XX and DC, and all authors commented on previous versions o</t>
  </si>
  <si>
    <t>All authors contributed to the study conception and design. Material preparation, data collection and analysis were performed by XX, TY, JG and DC. The first draft of the manuscript was written by XX and DC, and all authors commented on previous versions of the manuscript. All authors read and approved the final manuscript.</t>
  </si>
  <si>
    <t>0010-485X</t>
  </si>
  <si>
    <t>1436-5057</t>
  </si>
  <si>
    <t>Computing</t>
  </si>
  <si>
    <t>10.1007/s00607-023-01224-3</t>
  </si>
  <si>
    <t>S7KN7</t>
  </si>
  <si>
    <t>WOS:001072923400001</t>
  </si>
  <si>
    <t>Zhang, SM; Yuan, L; Danilova, L; Mo, GL; Zhu, QF; Deshpande, A; Bell, ATF; Elisseeff, J; Popel, AS; Anders, RA; Jaffee, EM; Yarchoan, M; Fertig, EJ; Kagohara, LT</t>
  </si>
  <si>
    <t>Zhang, Shuming; Yuan, Long; Danilova, Ludmila; Mo, Guanglan; Zhu, Qingfeng; Deshpande, Atul; Bell, Alexander T. F.; Elisseeff, Jennifer; Popel, Aleksander S.; Anders, Robert A.; Jaffee, Elizabeth M.; Yarchoan, Mark; Fertig, Elana J.; Kagohara, Luciane T.</t>
  </si>
  <si>
    <t>Spatial transcriptomics analysis of neoadjuvant cabozantinib and nivolumab in advanced hepatocellular carcinoma identifies independent mechanisms of resistance and recurrence</t>
  </si>
  <si>
    <t>GENOME MEDICINE</t>
  </si>
  <si>
    <t>Hepatocellular carcinoma; Spatial transcriptomics; Therapeutic resistance; Neoadjuvant therapy; Immunotherapy; Tumor recurrence</t>
  </si>
  <si>
    <t>RNA-SEQ DATA; CELL</t>
  </si>
  <si>
    <t>BackgroundNovel immunotherapy combination therapies have improved outcomes for patients with hepatocellular carcinoma (HCC), but responses are limited to a subset of patients. Little is known about the inter- and intra-tumor heterogeneity in cellular signaling networks within the HCC tumor microenvironment (TME) that underlie responses to modern systemic therapy.MethodsWe applied spatial transcriptomics (ST) profiling to characterize the tumor microenvironment in HCC resection specimens from a prospective clinical trial of neoadjuvant cabozantinib, a multi-tyrosine kinase inhibitor that primarily blocks VEGF, and nivolumab, a PD-1 inhibitor in which 5 out of 15 patients were found to have a pathologic response at the time of resection.ResultsST profiling demonstrated that the TME of responding tumors was enriched for immune cells and cancer-associated fibroblasts (CAF) with pro-inflammatory signaling relative to the non-responders. The enriched cancer-immune interactions in responding tumors are characterized by activation of the PAX5 module, a known regulator of B cell maturation, which colocalized with spots with increased B cell marker expression suggesting strong activity of these cells. HCC-CAF interactions were also enriched in the responding tumors and were associated with extracellular matrix (ECM) remodeling as there was high activation of FOS and JUN in CAFs adjacent to the tumor. The ECM remodeling is consistent with proliferative fibrosis in association with immune-mediated tumor regression. Among the patients with major pathologic responses, a single patient experienced early HCC recurrence. ST analysis of this clinical outlier demonstrated marked tumor heterogeneity, with a distinctive immune-poor tumor region that resembles the non-responding TME across patients and was characterized by HCC-CAF interactions and expression of cancer stem cell markers, potentially mediating early tumor immune escape and recurrence in this patient.ConclusionsThese data show that responses to modern systemic therapy in HCC are associated with distinctive molecular and cellular landscapes and provide new targets to enhance and prolong responses to systemic therapy in HCC.</t>
  </si>
  <si>
    <t>[Zhang, Shuming; Elisseeff, Jennifer; Popel, Aleksander S.; Fertig, Elana J.] Johns Hopkins Univ, Sch Med, Dept Biomed Engn, Baltimore, MD 21218 USA; [Yuan, Long; Elisseeff, Jennifer] Johns Hopkins Univ, Dept Immunol, Sch Med, Baltimore, MD USA; [Yuan, Long; Danilova, Ludmila; Mo, Guanglan; Deshpande, Atul; Jaffee, Elizabeth M.; Yarchoan, Mark; Fertig, Elana J.; Kagohara, Luciane T.] Johns Hopkins Univ, Bloomberg Kimmel Immunotherapy Inst, Sch Med, Baltimore, MD 21218 USA; [Danilova, Ludmila; Mo, Guanglan; Zhu, Qingfeng; Deshpande, Atul; Bell, Alexander T. F.; Popel, Aleksander S.; Anders, Robert A.; Jaffee, Elizabeth M.; Yarchoan, Mark; Fertig, Elana J.; Kagohara, Luciane T.] Johns Hopkins Univ, Sch Med, Sidney Kimmel Comprehens Canc Ctr, Dept Oncol, Baltimore, MD 21218 USA; [Danilova, Ludmila; Mo, Guanglan; Zhu, Qingfeng; Deshpande, Atul; Anders, Robert A.; Jaffee, Elizabeth M.; Yarchoan, Mark; Fertig, Elana J.; Kagohara, Luciane T.] Johns Hopkins Univ, Convergence Inst, Baltimore, MD 21218 USA; [Zhu, Qingfeng; Anders, Robert A.] Johns Hopkins Univ, Sch Med, Dept Pathol, Baltimore, MD USA; [Elisseeff, Jennifer] Johns Hopkins Univ, Sch Med, Dept Ophthalmol, Baltimore, MD USA; [Elisseeff, Jennifer] Johns Hopkins Univ, Sch Med, Dept Orthoped Surg, Baltimore, MD USA; [Fertig, Elana J.] Johns Hopkins Univ, Sch Med, Dept Appl Math &amp; Stat, Baltimore, MD 21218 USA</t>
  </si>
  <si>
    <t>Johns Hopkins University; Johns Hopkins University; Johns Hopkins University; Johns Hopkins University; Johns Hopkins Medicine; Johns Hopkins University; Johns Hopkins University; Johns Hopkins University; Johns Hopkins University; Johns Hopkins University</t>
  </si>
  <si>
    <t>Fertig, EJ (corresponding author), Johns Hopkins Univ, Sch Med, Dept Biomed Engn, Baltimore, MD 21218 USA.;Fertig, EJ; Kagohara, LT (corresponding author), Johns Hopkins Univ, Bloomberg Kimmel Immunotherapy Inst, Sch Med, Baltimore, MD 21218 USA.;Fertig, EJ; Kagohara, LT (corresponding author), Johns Hopkins Univ, Sch Med, Sidney Kimmel Comprehens Canc Ctr, Dept Oncol, Baltimore, MD 21218 USA.;Fertig, EJ; Kagohara, LT (corresponding author), Johns Hopkins Univ, Convergence Inst, Baltimore, MD 21218 USA.;Fertig, EJ (corresponding author), Johns Hopkins Univ, Sch Med, Dept Appl Math &amp; Stat, Baltimore, MD 21218 USA.</t>
  </si>
  <si>
    <t>ejfertig1@jhmi.edu; ltsukam1@jhmi.edu</t>
  </si>
  <si>
    <t>Deshpande, Atul/0000-0001-5144-6924</t>
  </si>
  <si>
    <t>We thank the Johns Hopkins University School of Medicine Experimental and Computational Genomics Core for performing the sequencing of the spatial transcriptomics libraries and for the pre-processing of the raw sequencing data.</t>
  </si>
  <si>
    <t>1756-994X</t>
  </si>
  <si>
    <t>GENOME MED</t>
  </si>
  <si>
    <t>Genome Med.</t>
  </si>
  <si>
    <t>10.1186/s13073-023-01218-y</t>
  </si>
  <si>
    <t>Genetics &amp; Heredity</t>
  </si>
  <si>
    <t>S0GK1</t>
  </si>
  <si>
    <t>WOS:001068038700002</t>
  </si>
  <si>
    <t>Abdi, K; Ezoddin, M; Adlnasab, L; Kabiri, BA; Karimi, MA; Behnamipour, S; Alimoradi, H</t>
  </si>
  <si>
    <t>Abdi, Khosrou; Ezoddin, Maryam; Adlnasab, Laleh; Kabiri, Bahar Aziz; Karimi, Mohammad Ali; Behnamipour, Somaye; Alimoradi, Houman</t>
  </si>
  <si>
    <t>Effervescent tablet-assisted deep eutectic solvent based on magnetic nanofluid for liquid phase microextraction of tyrosine kinase inhibitors in plasma samples by high-performance liquid chromatography</t>
  </si>
  <si>
    <t>PHARMACOLOGICAL REPORTS</t>
  </si>
  <si>
    <t>Effervescent tablet; Deep eutectic solvent; Nanofluid; Anti-cancer drugs</t>
  </si>
  <si>
    <t>DROP MICROEXTRACTION; PRECONCENTRATION; EXTRACTION; FERROFLUID; REDUCTION; WATER; LEAD</t>
  </si>
  <si>
    <t>BackgroundTyrosine kinase inhibitors (TKIs) are efficient anti-cancer drugs. The analysis of TKIs in the treatment of cancer is important to achieve the highest anti-cancer effects with minimal toxicities. Herein, we report an efficient effervescent tablet-assisted deep eutectic solvent based on nanofluid (ETA-DES-NF) combined with HPLC-UV for the determination of three anti-cancer drugs (erlotinib, imatinib, and nilotinib) in human plasma samples.MethodsIn this method, a magnetic nanofluid composed of deep eutectic solvent (DES) and Fe3O4@SiO2 nanoparticles was used as an extraction solvent. The deep eutectic solvent acted as a carrier and stabilizer for Fe3O4@SiO2 nanoparticles. A tablet was used in the nanofluid for dispersion. The effervescent tablet was implemented to generate in situ CO2 and provide the effective dispersion of the sorbent into the sample solution for diminishing the extraction time and improving the extraction efficiency. Moreover, the magnetic nanofluid enhanced phase separation efficiency without centrifugation to collect the organic solvent.ResultsThe synthesized nanofluid was characterized by Fourier transform infrared (FT-IR) spectroscopy, X-ray diffraction (XRD), energy-dispersive X-ray spectroscopy (EDX), scanning electron microscopy (SEM), and vibrating sample magnetometry (VSM). The impact of main parameters, including the type and volume of DES, the composition of the tablet, the composition of the nanofluid and the composition of eluent, were optimized. According to the optimized conditions, the limits of detection (LODs) and the limits of quantitation (LOQs) were from 0.5-0.8 to 1.5-2.4 &amp; mu;g L-1 for imatinib, erlotinib, and nilotinib, respectively. The intra-day and inter-day relative standard deviations (RSD% n = 5) were determined to be 3.1-5% and 6.4-7.5%, respectively.ConclusionsThe developed method displayed high sensitivity, low consumption of solvent, low cost, simplicity, high recoveries, short extraction time, and good repeatability for determination of three anti-cancer drugs in human plasma samples.</t>
  </si>
  <si>
    <t>[Abdi, Khosrou] Univ Tehran Med Sci, Fac Pharm, Dept Radiopharm, Tehran, Iran; [Abdi, Khosrou] Univ Tehran Med Sci, Iranian Natl Ctr Addict Studies INCAS, Tehran, Iran; [Ezoddin, Maryam; Kabiri, Bahar Aziz; Karimi, Mohammad Ali] Payame Noor Univ PNU, Dept Chem, Tehran 193954697, Iran; [Adlnasab, Laleh] Stand Res Inst, Chem &amp; Petrochem Res Ctr, Chem Res Grp, Karaj 31745139, Iran; [Behnamipour, Somaye] Qom Univ Med Sci, Res Ctr Environm Pollutants, Qom, Iran; [Alimoradi, Houman] Univ Otago, Sch Biomed Sci, Dunedin 9054, New Zealand</t>
  </si>
  <si>
    <t>Tehran University of Medical Sciences; Tehran University of Medical Sciences; Payame Noor University; University of Otago</t>
  </si>
  <si>
    <t>Ezoddin, M (corresponding author), Payame Noor Univ PNU, Dept Chem, Tehran 193954697, Iran.</t>
  </si>
  <si>
    <t>maryamezoddin@pnu.ac.ir</t>
  </si>
  <si>
    <t>Research Council of Payame Noor University</t>
  </si>
  <si>
    <t>This study has been supported by the Research Council of Payame Noor University.</t>
  </si>
  <si>
    <t>1734-1140</t>
  </si>
  <si>
    <t>2299-5684</t>
  </si>
  <si>
    <t>PHARMACOL REP</t>
  </si>
  <si>
    <t>Pharmacol. Rep.</t>
  </si>
  <si>
    <t>2023 SEP 17</t>
  </si>
  <si>
    <t>10.1007/s43440-023-00524</t>
  </si>
  <si>
    <t>R9JY8</t>
  </si>
  <si>
    <t>WOS:001067454800001</t>
  </si>
  <si>
    <t>Brooks, P</t>
  </si>
  <si>
    <t>Brooks, Patrick</t>
  </si>
  <si>
    <t>On the origin of conspiracy theories</t>
  </si>
  <si>
    <t>PHILOSOPHICAL STUDIES</t>
  </si>
  <si>
    <t>Conspiracy theory; Epistemic authority; Expertise</t>
  </si>
  <si>
    <t>Conspiracy theories are rather a popular topic these days, and a lot has been written on things like the meaning of conspiracy theory, whether it's ever rational to believe conspiracy theories, and on the psychology and demographics of people who believe conspiracy theories. But very little has been said about why people might be led to posit conspiracy theories in the first place. This paper aims to fill this lacuna. In particular, I shall argue that, in open democratic societies, citizens justifiably presuppose that the epistemic authorities-journalists, academics, scientists, and so on-are engaged in a good faith pursuit of the truth. This presupposition generates certain normative expectations on the behaviors of the epistemic authorities-they ought to be open to new evidence, possess a healthy degree of skepticism, be willing to engage with opponents, and so on. So, when an epistemic authority is presented with some putatively anomalous data or an alternative hypothesis for some event or phenomena, people expect the epistemic authority to respond in a way that is consonant with these norms. In some instances, however, the epistemic authorities do not respond in this way and instead are dogmatic, dismissive, and engage in ad hominem. From the point of view of the citizen, there's a tension here between how the epistemic authorities ought to behave and how they have, in fact, behaved which is best resolved either by taking the epistemic authorities less seriously or by positing a conspiracy theory. Put another way, the failure of the epistemic authorities to adhere to the norms by which we take them to be governed when presented with apparent anomalies or alternative hypotheses is one reason for which one might initially posit a conspiracy theory.</t>
  </si>
  <si>
    <t>[Brooks, Patrick] Rutgers State Univ, Dept Philosophy, 106 Somerset St 5th Floor, New Brunswick, NJ 08901 USA</t>
  </si>
  <si>
    <t>Rutgers State University New Brunswick</t>
  </si>
  <si>
    <t>Brooks, P (corresponding author), Rutgers State Univ, Dept Philosophy, 106 Somerset St 5th Floor, New Brunswick, NJ 08901 USA.</t>
  </si>
  <si>
    <t>p.brooks@rutgers.edu</t>
  </si>
  <si>
    <t>0031-8116</t>
  </si>
  <si>
    <t>1573-0883</t>
  </si>
  <si>
    <t>PHILOS STUD</t>
  </si>
  <si>
    <t>Philos. Stud.</t>
  </si>
  <si>
    <t>10.1007/s11098-023-02040-3</t>
  </si>
  <si>
    <t>Philosophy</t>
  </si>
  <si>
    <t>Arts &amp; Humanities Citation Index (A&amp;HCI)</t>
  </si>
  <si>
    <t>R9KC6</t>
  </si>
  <si>
    <t>WOS:001067458600001</t>
  </si>
  <si>
    <t>Yang, LY; Zhao, RY; Qiao, PP; Cui, JX; Chen, XP; Fan, JP; Hu, A; Huang, SX</t>
  </si>
  <si>
    <t>Yang, Liyun; Zhao, Runyu; Qiao, Peipei; Cui, Jiaxin; Chen, Xiaoping; Fan, Jinping; Hu, An; Huang, Shuixian</t>
  </si>
  <si>
    <t>The novel oncogenic factor TET3 combines with AHR to promote thyroid cancer lymphangiogenesis via the HIF-1a/VEGF signaling pathway</t>
  </si>
  <si>
    <t>CANCER CELL INTERNATIONAL</t>
  </si>
  <si>
    <t>Thyroid cancer; Lymphangiogenesis; TET3; AHR; HIF-1 &amp; alpha;/VEGF signaling pathway</t>
  </si>
  <si>
    <t>BackgroundLymphangiogenesis has been reported to play crucial roles in the metastasis of thyroid cancer (THCA), but despite the significant research on lymphangiogenesis in THCA, the precise regulatory mechanism remains unclear.Methods Public databases including the Cancer Genome Atlas (TCGA), TIMER, and UALCAN were used to analyze and visualize the expression of TET3 and AHR in THCA, and the correlation between these molecules were used by TIMER. Additionally, RT-PCR and Western Blot were performed to determine the mRNA and protein expression of related proteins. Plate colony formation, wound healing, cell cycle, apoptosis, angiogenesis and transwell assay were used to examine the ability of proliferation, movement, lymphangiogenesis, migration and invasion of THCA cells.Results Analysis of the TCGA database revealed higher expression levels of TET3 and AHR in tumor tissue compared to normal tissue in THCA. Additionally, a strong correlation was observed between TET3 and AHR. UALCAN database demonstrated that high expression of TET3 and AHR was associated with advanced THCA TNM stages in THCA patients. Furthermore, TET3 activation accelerated THCA cell proliferation by inducing G2/M phase arrest and suppressing apoptosis, while AHR inactivation reduced THCA cell proliferation by decreasing G2/M phase arrest and promoting apoptosis in vitro. Notably, both TET3 and AHR significantly enhanced THCA cell lymphangiogenesis, migration and invasion. Moreover, TET3 activation and AHR inactivation regulated HIF-1a/VEGF signaling pathway, which ultimately, blocked the HIF-1a/VEGF in THCA cells and impaired their movement, migration and invasion abilities.Conclusions The combined action of TET3 and AHR to promote lymphangiogenesis in THCA through the HIF-1a/VEGF signaling pathway, and targeting them might provide a potential treatment strategy for THCA.</t>
  </si>
  <si>
    <t>[Yang, Liyun; Cui, Jiaxin; Chen, Xiaoping; Hu, An; Huang, Shuixian] Second Mil Med Univ, Gongli Hosp, Dept Otolaryngol Head &amp; Neck Surg, Shanghai 200135, Peoples R China; [Zhao, Runyu; Qiao, Peipei] Ningxia Med Univ, Postgrad Training Base Shanghai Gongli Hosp, Shanghai 200135, Peoples R China; [Fan, Jinping] Second Mil Med Univ, Changzheng Hosp, Dept Otolaryngol Head &amp; Neck Surg, Shanghai 200135, Peoples R China</t>
  </si>
  <si>
    <t>Naval Medical University; Ningxia Medical University; Naval Medical University</t>
  </si>
  <si>
    <t>Hu, A; Huang, SX (corresponding author), Second Mil Med Univ, Gongli Hosp, Dept Otolaryngol Head &amp; Neck Surg, Shanghai 200135, Peoples R China.</t>
  </si>
  <si>
    <t>juanitohuan@163.com; hsxent@163.com</t>
  </si>
  <si>
    <t>Not Applicable.</t>
  </si>
  <si>
    <t>1475-2867</t>
  </si>
  <si>
    <t>CANCER CELL INT</t>
  </si>
  <si>
    <t>Cancer Cell Int.</t>
  </si>
  <si>
    <t>SEP 17</t>
  </si>
  <si>
    <t>10.1186/s12935-023-03021-6</t>
  </si>
  <si>
    <t>S1PF9</t>
  </si>
  <si>
    <t>WOS:001068954700001</t>
  </si>
  <si>
    <t>Agarwal, G; Dinkar, SK; Agarwal, A</t>
  </si>
  <si>
    <t>Agarwal, Gaurav; Dinkar, Shail Kumar; Agarwal, Ajay</t>
  </si>
  <si>
    <t>Binarized spiking neural networks optimized with Nomadic People Optimization-based sentiment analysis for social product recommendation</t>
  </si>
  <si>
    <t>KNOWLEDGE AND INFORMATION SYSTEMS</t>
  </si>
  <si>
    <t>Binarized spiking neural networks; Sentiment analysis; Social product recommendation; Nomadic People Optimization; Term frequency-inverse document frequency</t>
  </si>
  <si>
    <t>REVIEWS</t>
  </si>
  <si>
    <t>Big data analytics is essential for many industries that use computing applications, like real-time purchasing and e-commerce. Big data is used to promote products and improve the communication among retailers and shoppers. At present, individuals frequently utilize online promotions to identify the best shops for purchasing higher-quality goods. This shopping experience shared on social media platforms can be used to observe the opinions regarding the shoppers shop. New customers search the shop for knowing information about manufacturing date (MRD), manufacturing price (MRP), offers, quality, and suggestions. All these information are provided only through previous customer experience. On the product cover or label, the MRP and MRD are already available. Numerous methods have been employed to predict the details of product, but none of them provides accurate details. To overcome these issues, binarized spiking neural networks optimized with Nomadic People Optimization-based sentiment analysis is proposed for social product recommendations (BSNN-NPO). The product-product (P-P) similarity and collaborative filtering (CF) techniques are used for modeling the new recommendation system. The P-P similarity approach predicts the best products, while CF method predicts the best shops. The product data along customer reviews is gathered through Amazon product recommendation. From the results and comparison, it is found that the proposed BSNN-NPO method outperforms than other approaches. The performance of proposed technique offers higher mean absolute percentage error 38.56%, 23.67%, and 30.22% and lower mean squared error 34.67%, 45.7%, and 15.21% compared to the existing models, respectively.</t>
  </si>
  <si>
    <t>[Agarwal, Gaurav] Veer Madho Singh Bhandari Uttarakhand Tech Univ, Dept Comp Sci &amp; Engn, Dehra Dun, Uttarakhand, India; [Dinkar, Shail Kumar] Govind Ballabh Pant Inst Engn &amp; Technol, Dept Comp Sci &amp; Applicat, Pauri Garhwal, Uttarakhand, India; [Agarwal, Ajay] Krishna Inst Engn &amp; Technol, Dept Informat Technol, Muradnagar, Ghaziabad, Uttar Pradesh, India</t>
  </si>
  <si>
    <t>Uttarakhand Technical University; KIET Group of Institutions; KIET School of Engineering &amp; Technology</t>
  </si>
  <si>
    <t>Agarwal, G (corresponding author), Veer Madho Singh Bhandari Uttarakhand Tech Univ, Dept Comp Sci &amp; Engn, Dehra Dun, Uttarakhand, India.</t>
  </si>
  <si>
    <t>gauravagarwal4356@gmail.com; shailkdinkar@gmail.com; ajay.aagar@gmail.com</t>
  </si>
  <si>
    <t>0219-1377</t>
  </si>
  <si>
    <t>0219-3116</t>
  </si>
  <si>
    <t>KNOWL INF SYST</t>
  </si>
  <si>
    <t>Knowl. Inf. Syst.</t>
  </si>
  <si>
    <t>2023 SEP 16</t>
  </si>
  <si>
    <t>10.1007/s10115-023-01956</t>
  </si>
  <si>
    <t>Computer Science, Artificial Intelligence; Computer Science, Information Systems</t>
  </si>
  <si>
    <t>R8QS7</t>
  </si>
  <si>
    <t>WOS:001066953600003</t>
  </si>
  <si>
    <t>Aslam, M</t>
  </si>
  <si>
    <t>Aslam, Muhammad</t>
  </si>
  <si>
    <t>Simulating imprecise data: sine-cosine and convolution methods with neutrosophic normal distribution</t>
  </si>
  <si>
    <t>Classical method of simulation; Uncertainty; Neutrosophy; Normal distribution; Simulation</t>
  </si>
  <si>
    <t>ObjectiveThe primary aim of this research paper is to introduce and demonstrate the application of the sine-cosine method and the convolution method for simulating data by utilizing the neutrosophic normal distribution.MethodThe methodological framework presented in this paper elaborates on the incorporation of both the sine-cosine method and the convolution method into the realm of neutrosophic statistics. It also introduces algorithms engineered to produce random variables adhering to the neutrosophic normal distribution.ResultsMoreover, the study furnishes practical tables that encompass neutrosophic random normal variables generated via the sine-cosine method, as well as tables exhibiting neutrosophic random standard normal variables generated using the convolution method.ConclusionThe analysis undertaken in this study conclusively establishes that the proposed sine-cosine and convolution simulation methods yield outcomes presented in the form of intervals. Furthermore, the study's conclusion emphasizes that the extent of indeterminacy significantly influences the characteristics of the random variates.</t>
  </si>
  <si>
    <t>[Aslam, Muhammad] King Abdulaziz Univ, Fac Sci, Dept Stat, Jeddah 21551, Saudi Arabia</t>
  </si>
  <si>
    <t>King Abdulaziz University</t>
  </si>
  <si>
    <t>Aslam, M (corresponding author), King Abdulaziz Univ, Fac Sci, Dept Stat, Jeddah 21551, Saudi Arabia.</t>
  </si>
  <si>
    <t>aslam_ravian@hotmail.com</t>
  </si>
  <si>
    <t>The author is deeply thankful to the editor and reviewers for their valuable suggestions to improve the quality and presentation of the paper.</t>
  </si>
  <si>
    <t>SEP 16</t>
  </si>
  <si>
    <t>10.1186/s40537-023-00822-4</t>
  </si>
  <si>
    <t>R9BH1</t>
  </si>
  <si>
    <t>WOS:001067228500001</t>
  </si>
  <si>
    <t>Dahlberg, K; Mansson, S; Lyckner, S; Lindgren, L; Alm, F</t>
  </si>
  <si>
    <t>Dahlberg, Karuna; Mansson, Sandra; Lyckner, Sara; Lindgren, Lenita; Alm, Fredrik</t>
  </si>
  <si>
    <t>The effect of COVID-19 pandemic on perioperative factors: data from the Swedish Perioperative Register</t>
  </si>
  <si>
    <t>PERIOPERATIVE MEDICINE</t>
  </si>
  <si>
    <t>COVID-19 pandemic; Perioperative period; Postoperative outcomes; Anesthesia; Surgical interventions</t>
  </si>
  <si>
    <t>Background The COVID-19 pandemic has affected healthcare organizations in many areas. The aim of this study was to describe surgical interventions, anesthesia, and postoperative outcomes in adult patients during the first wave and 1 year into the COVID-19 pandemic in Sweden, and to compare these outcomes with outcomes during the same period the year before the pandemic.Methods Data were collected from the Swedish PeriOperative Register, and included 417, 233 perioperative registration of patients = 18 years old between period 1 (March-June 2019), period 2 (March-June 2020), and period 3 (March-June 2021).Results Compared with pre-pandemic (period 1), the number of surgical interventions decreased by 28% in the first wave (period 2); 1 year into the pandemic (period 3), the number of interventions was still 7.5% lower than pre-pandemic. The largest drops between periods 1 and 2 were noted in the specialties of ear, nose, and larynx surgery, - 55.6%; teeth, jaws, mouth, and pharynx surgery, - 45.0%; endocrine system surgery, - 38.8%. The number of acute surgeries remained stable during all three periods. Volatiles were more frequently used for the maintenance of general anesthesia in period 2 than in either period 1 or 3 (p &lt; 0.001). Minor differences were noted throughout the periods in postoperative nausea and vomiting as well as postoperative pain.Conclusions The COVID-19 pandemic has had an impact on perioperative care in Sweden. During the first wave of the pandemic, the number of surgical interventions decreased, but the number of acute surgeries remained stable compared with pre-pandemic numbers. Perioperative organizations have had and will continue to have challenges handling the increased number of patients needing perioperative care.</t>
  </si>
  <si>
    <t>[Dahlberg, Karuna; Alm, Fredrik] Orebro Univ, Fac Med &amp; Hlth, Sch Hlth Sci, S-70182 Orebro, Sweden; [Mansson, Sandra] Karolinska Univ Hosp, Dept Perioperat Med &amp; Intens Care, Stockholm, Sweden; [Lyckner, Sara] Malarsjukhuset, Dept Anesthes &amp; Intens Care, Eskilstuna, Sweden; [Lindgren, Lenita] Umea Univ, Dept Nursing, Umea, Sweden</t>
  </si>
  <si>
    <t>Orebro University; Karolinska Institutet; Karolinska University Hospital; Umea University</t>
  </si>
  <si>
    <t>Dahlberg, K (corresponding author), Orebro Univ, Fac Med &amp; Hlth, Sch Hlth Sci, S-70182 Orebro, Sweden.</t>
  </si>
  <si>
    <t>Karuna.dahlberg@oru.se</t>
  </si>
  <si>
    <t>2047-0525</t>
  </si>
  <si>
    <t>PERIOPER MED-LONDON</t>
  </si>
  <si>
    <t>Perioperative Med</t>
  </si>
  <si>
    <t>10.1186/s13741-023-00340-0</t>
  </si>
  <si>
    <t>Anesthesiology; Surgery</t>
  </si>
  <si>
    <t>S1MS0</t>
  </si>
  <si>
    <t>WOS:001068887600001</t>
  </si>
  <si>
    <t>Duan, LD; Su, LQ; He, XH; Du, YG; Duan, YY; Xu, N; Wu, RP; Zhu, YF; Shao, RQ; Unverzagt, FW; Hake, AM; Jin, YL; Gao, SJ</t>
  </si>
  <si>
    <t>Duan, Lidan; Su, Liqin; He, Xiaohong; Du, Yegang; Duan, Yanying; Xu, Ning; Wu, Rangpeng; Zhu, Yunfeng; Shao, Ranqi; Unverzagt, Frederick W.; Hake, Ann M.; Jin, Yinlong; Gao, Sujuan</t>
  </si>
  <si>
    <t>Multi-element Exposure and Cognitive Function in Rural Elderly Chinese</t>
  </si>
  <si>
    <t>BIOLOGICAL TRACE ELEMENT RESEARCH</t>
  </si>
  <si>
    <t>Selenium; Trace elements; Heavy metal; Combined exposure; Cognitive function; Older adults</t>
  </si>
  <si>
    <t>ALZHEIMERS-DISEASE; NATIONAL-HEALTH; METALS EXPOSURE; NERVOUS-SYSTEM; TRACE-ELEMENTS; SERUM-CALCIUM; SELENIUM; BRAIN; COPPER; BLOOD</t>
  </si>
  <si>
    <t>To investigate the relationship between selenium (Se) based multi-element combined exposure and cognitive function in rural elderly individuals, a cross-sectional study was conducted. The study involved 416 older adults aged 60 and above, residing in four different areas of Enshi county, China, with varying soil Se levels. Inductively coupled plasma mass spectrometry (ICP-MS) was employed to measure the concentrations of Se, copper (Cu), iron (Fe), zinc (Zn), calcium (Ca), magnesium (Mg), cadmium (Cd), arsenic (As), and lead (Pb) in whole blood. Nine standard cognitive tests were applied to assess cognitive function. Analysis of the least absolute shrinkage and selection operator regression (LASSO), covariance (ANCOVA), and generalized linear model (GLM) were utilized to investigate the relationship between element exposure and cognitive function. The results of LASSO revealed that Se, Cu, Fe, Zn, Ca, and Pb were independently identified to be associated with cognition. Both ANCOVA and GLM demonstrated that Se and Ca were correlated with cognitive function. The multi-element model showed higher composite Z scores of 0.32 (95% CI: 0.09 to 0.55) for log-transformed Se (P = 0.007), 0.75 (95% CI: 0.01 to 1.49) for log-transformed Cu (P = 0.048), and a lower score of - 0.67 (95% CI: - 1.26 to - 0.08) for log-transformed Ca (P = 0.025). Furthermore, there was evidence that Se could counteract the negative impact of Ca on cognitive function (P for interaction = 0.031). Our findings suggested that higher levels of Se and Cu were associated with better cognitive function in the elderly and Se can counteract the cognitive damage caused by Ca.</t>
  </si>
  <si>
    <t>[Duan, Lidan; Su, Liqin; Xu, Ning; Shao, Ranqi; Jin, Yinlong] Natl Inst Environm Hlth, Chinese Ctr Dis Control &amp; Prevent, China CDC Key Lab Environm &amp; Populat Hlth, Beijing 100050, Peoples R China; [Duan, Lidan; Duan, Yanying] Cent South Univ, Xiangya Sch Publ Hlth, Changsha 410000, Peoples R China; [He, Xiaohong; Wu, Rangpeng; Zhu, Yunfeng] Enshi Tujia &amp; Miao Autonomous Prefecture Ctr Dis C, Enshi 445000, Peoples R China; [Du, Yegang] Shenzhen Acad Metrol &amp; Qual Inspect, Shenzhen 518000, Peoples R China; [Unverzagt, Frederick W.] Indiana Univ Sch Med, Dept Psychiat, Indianapolis, IN 46202 USA; [Hake, Ann M.] Indiana Univ Sch Med, Dept Neurol, Indianapolis, IN 46202 USA; [Gao, Sujuan] Indiana Univ Sch Med, Dept Biostat, Indianapolis, IN 46202 USA</t>
  </si>
  <si>
    <t>Chinese Center for Disease Control &amp; Prevention; National Institute of Environmental Health, Chinese Center for Disease Control &amp; Prevention; Central South University; Shenzhen Academy of Metrology &amp; Quality Inspection; Indiana University System; Indiana University Bloomington; Indiana University System; Indiana University Bloomington; Indiana University System; Indiana University Bloomington</t>
  </si>
  <si>
    <t>Su, LQ (corresponding author), Natl Inst Environm Hlth, Chinese Ctr Dis Control &amp; Prevent, China CDC Key Lab Environm &amp; Populat Hlth, Beijing 100050, Peoples R China.</t>
  </si>
  <si>
    <t>suliqin@nieh.chinacdc.cn</t>
  </si>
  <si>
    <t>National Key Research and Development Program of China [R01AG019181]; Key Laboratory of Trace Element and Nutrition, National Health Commission of China; National Institutes of Health of USA; [2018YFC1801102]</t>
  </si>
  <si>
    <t>National Key Research and Development Program of China; Key Laboratory of Trace Element and Nutrition, National Health Commission of China; National Institutes of Health of USA(United States Department of Health &amp; Human ServicesNational Institutes of Health (NIH) - USA);</t>
  </si>
  <si>
    <t>This research was supported by grants from National Key Research and Development Program of China (2018YFC1801102), the Key Laboratory of Trace Element and Nutrition, National Health Commission of China (WLKFZ202201) and the National Institutes of Health of USA (R01AG019181). The authors express thanks to all the involved staff from the Chinese local cooperative hospitals and Centers for Disease Control and Prevention for their efforts.</t>
  </si>
  <si>
    <t>0163-4984</t>
  </si>
  <si>
    <t>1559-0720</t>
  </si>
  <si>
    <t>BIOL TRACE ELEM RES</t>
  </si>
  <si>
    <t>Biol. Trace Elem. Res.</t>
  </si>
  <si>
    <t>10.1007/s12011-023-03774-1</t>
  </si>
  <si>
    <t>Biochemistry &amp; Molecular Biology; Endocrinology &amp; Metabolism</t>
  </si>
  <si>
    <t>R7LI6</t>
  </si>
  <si>
    <t>WOS:001066128600001</t>
  </si>
  <si>
    <t>Everest, E; Gulec, B; Uygunoglu, U</t>
  </si>
  <si>
    <t>Everest, Elif; Gulec, Bade; Uygunoglu, Ugur</t>
  </si>
  <si>
    <t>A Case of Coexistent Spinocerebellar Ataxia Type 2 and Primary Progressive Multiple Sclerosis-Coincidental or Associated?</t>
  </si>
  <si>
    <t>CEREBELLUM</t>
  </si>
  <si>
    <t>ATXN2; Spinocerebellar ataxia; SCA2; Multiple sclerosis</t>
  </si>
  <si>
    <t>OPTICA SPECTRUM DISORDER</t>
  </si>
  <si>
    <t>Spinocerebellar ataxia type 2 (SCA2) is a dominantly inherited ataxia primarily characterised by progressive cerebellar syndrome, which is developed due to the expansion of the CAG trinucleotide repeat within the first exon of the ATXN2 gene. We report a rare case of a 41-year-old woman with coexistent genetically verified SCA2 and primary progressive multiple sclerosis (MS). Considering our case and a few others reported in the literature, as well as a possible genetic association between ATXN2 and MS susceptibility, we suggest that the coexistence of SCA and MS may not be coincidental, especially in patients with a progressive MS course.</t>
  </si>
  <si>
    <t>[Everest, Elif; Gulec, Bade; Uygunoglu, Ugur] Istanbul Univ Cerrahpasa, Cerrahpasa Med Fac, Dept Neurol, Istanbul, Turkiye; [Uygunoglu, Ugur] Istanbul Univ Cerrahpasa, Inst Neurol Sci, Cerrahpasa Med Fac, Neuroimmunol Div, Istanbul, Turkiye</t>
  </si>
  <si>
    <t>Istanbul University - Cerrahpasa; Istanbul University - Cerrahpasa</t>
  </si>
  <si>
    <t>Uygunoglu, U (corresponding author), Istanbul Univ Cerrahpasa, Cerrahpasa Med Fac, Dept Neurol, Istanbul, Turkiye.;Uygunoglu, U (corresponding author), Istanbul Univ Cerrahpasa, Inst Neurol Sci, Cerrahpasa Med Fac, Neuroimmunol Div, Istanbul, Turkiye.</t>
  </si>
  <si>
    <t>uguruygunoglu@gmail.com</t>
  </si>
  <si>
    <t>1473-4222</t>
  </si>
  <si>
    <t>1473-4230</t>
  </si>
  <si>
    <t>Cerebellum</t>
  </si>
  <si>
    <t>10.1007/s12311-023-01605-6</t>
  </si>
  <si>
    <t>Neurosciences</t>
  </si>
  <si>
    <t>R8PG0</t>
  </si>
  <si>
    <t>WOS:001066914900001</t>
  </si>
  <si>
    <t>Khan, HU; Ali, N; Nazir, S; Alabdulatif, A; Arif, M</t>
  </si>
  <si>
    <t>Khan, Habib Ullah; Ali, Nasir; Nazir, Shah; Alabdulatif, Abdulatif; Arif, Mohammad</t>
  </si>
  <si>
    <t>Multi-Criterial Based Feature Selection for Health Care System</t>
  </si>
  <si>
    <t>MOBILE NETWORKS &amp; APPLICATIONS</t>
  </si>
  <si>
    <t>Health care; Quantum health; Feature selection; Decision making; Disease detection; IoHT</t>
  </si>
  <si>
    <t>VIEW</t>
  </si>
  <si>
    <t>Health is the basis of a happy and successful living, and modern people have significantly benefited from medical advancements. More information is available to analyze the difficulties that affect our well-being with each new technology. Researchers may be able to answer previously inaccessible health problems due to analyzing and sequencing health data. Data in health care system is rapidly rising due to information of data analyzed with the help of IoT medical devices, availability of data in clinics and health care facility centers and with various Electronic Health Records (EHRs). Healthcare is a significant sector that deals with a variety of multi-objective and many-objective dilemmas. Quantum computing addresses specific objectives within an ideal timeframe by simultaneously working on numerous features and distinct processes. The proposed technique is a multi-criteria-based quantum health feature selection system for offering the optimum health care facilities to patients in the healthcare sector. The features are grouped into various criteria based on their applicability during a literature assessment. With the help of the Entropy technique, weight has been allocated to these selected features. To evaluate these features, the TOPSIS (Technique for Order of Preference by Similarity to Ideal Solution) strategy was adopted, in which the features were ranked to find the most suitable features among a group of features. This mechanism employs methods for weighting criteria and evaluating the most appropriate quantum features to be used by the healthcare industry and practitioners in improving patient care in health facility units.</t>
  </si>
  <si>
    <t>[Khan, Habib Ullah; Ali, Nasir] Qatar Univ, Coll Business &amp; Econ, Dept Accounting &amp; Informat Syst, Doha, Qatar; [Nazir, Shah] Univ Swabi, Dept Comp Sci, Swabi, Pakistan; [Alabdulatif, Abdulatif] Qassim Univ, Coll Comp, Dept Comp Sci, Buraydah 51452, Saudi Arabia; [Arif, Mohammad] Gachon Univ, Dept Comp Engn, Seongnam Si 13120, South Korea</t>
  </si>
  <si>
    <t>Qatar University; Qassim University; Gachon University</t>
  </si>
  <si>
    <t>Arif, M (corresponding author), Gachon Univ, Dept Comp Engn, Seongnam Si 13120, South Korea.</t>
  </si>
  <si>
    <t>habib.khan@qu.edu.qa; nasirali1993aaa@gmail.com; shahnazir@uoswabi.edu.pk; ab.alabdulatif@qu.edu.sa; mohammadarif911@gachon.ac.kr</t>
  </si>
  <si>
    <t>1383-469X</t>
  </si>
  <si>
    <t>1572-8153</t>
  </si>
  <si>
    <t>MOBILE NETW APPL</t>
  </si>
  <si>
    <t>Mobile Netw. Appl.</t>
  </si>
  <si>
    <t>10.1007/s11036-023-02245-0</t>
  </si>
  <si>
    <t>Computer Science, Hardware &amp; Architecture; Computer Science, Information Systems; Telecommunications</t>
  </si>
  <si>
    <t>R8QL7</t>
  </si>
  <si>
    <t>WOS:001066946600004</t>
  </si>
  <si>
    <t>Parrilla, FR; Belderrain, MCN</t>
  </si>
  <si>
    <t>Parrilla, Fabricio Rogerio; Belderrain, Mischel Carmen Neyra</t>
  </si>
  <si>
    <t>Systemic Business Intervention to Treat Complex Problems in Companies</t>
  </si>
  <si>
    <t>SYSTEMIC PRACTICE AND ACTION RESEARCH</t>
  </si>
  <si>
    <t>Problem structuring; Decision processes; Quality management; Critical heuristics; Complex problems</t>
  </si>
  <si>
    <t>BOUNDARY CRITIQUE; METHODOLOGY; FRAMEWORK; THINKING</t>
  </si>
  <si>
    <t>It is part of the daily routine of companies to deal with different problems and, among them, the so-called complexes, characterized by the existence of multiple parties, different perspectives and objectives, conflicting interests, intangible aspects, and uncertainties. Their solution is strategic in nature and usually involves great opportunities. In the search for solutions to problems, companies use different approaches from different paradigmatic origins. The business management epistemology brings approaches such as Continuous Improvement, Total Quality and Lean Thinking aimed at solving problems and improving processes. In systemic epistemology, approaches such as Systemic Intervention, Critical Systems Heuristics and Theory of Distinctions, Systems, Relationships and Perspectives seek solutions that, in addition to bringing consistent improvements, aim to develop the critical and systemic thinking skills of those involved. Thinking about the need for an approach to deal with complex problems that adapts to the culture and the needs inherent in the business environment, the objective of this paper is to present the critical-systemic intervention method. To this end, systemic, critical, and business management approaches used by companies to deal with problems and promote the continuous improvement of their processes are explored. Afterwards, the method is presented and as a result there is a hybrid intervention approach that aims to support companies in obtaining meaningful solutions for results, sustainable in the long term and that promotes continuous learning and development of the organizational culture.</t>
  </si>
  <si>
    <t>[Parrilla, Fabricio Rogerio] Fed Inst Educ Sci &amp; Technol Sao Paulo, Ind Prod, Campinas, Brazil; [Parrilla, Fabricio Rogerio] Aeronaut Inst Technol, Space Sci &amp; Technol, Sao Jose Dos Campos, Brazil; [Belderrain, Mischel Carmen Neyra] Aeronaut Inst Technol, Fundamental Sci, Sao Jose Dos Campos, Brazil</t>
  </si>
  <si>
    <t>Instituto Federal de Sao Paulo (IFSP); Comando-Geral de Tecnologia Aeroespacial (CTA); Instituto Tecnologico de Aeronautica (ITA); Comando-Geral de Tecnologia Aeroespacial (CTA); Instituto Tecnologico de Aeronautica (ITA)</t>
  </si>
  <si>
    <t>Parrilla, FR (corresponding author), Fed Inst Educ Sci &amp; Technol Sao Paulo, Ind Prod, Campinas, Brazil.;Parrilla, FR (corresponding author), Aeronaut Inst Technol, Space Sci &amp; Technol, Sao Jose Dos Campos, Brazil.</t>
  </si>
  <si>
    <t>fabricio.parrilla@ifsp.edu.br; carmen@ita.br</t>
  </si>
  <si>
    <t>Coordenacao de Aperfeicoamento de Pessoal de Nivel Superior - Brasil (CAPES) [001]</t>
  </si>
  <si>
    <t>Coordenacao de Aperfeicoamento de Pessoal de Nivel Superior - Brasil (CAPES)(Coordenacao de Aperfeicoamento de Pessoal de Nivel Superior (CAPES))</t>
  </si>
  <si>
    <t>This research was funded in part by Coordenacao de Aperfeicoamento de Pessoal de Nivel Superior - Brasil (CAPES) - Financial Code 001.</t>
  </si>
  <si>
    <t>1094-429X</t>
  </si>
  <si>
    <t>1573-9295</t>
  </si>
  <si>
    <t>SYST PRACT ACT RES</t>
  </si>
  <si>
    <t>Syst. Pract. Action Res.</t>
  </si>
  <si>
    <t>10.1007/s11213-023-09662</t>
  </si>
  <si>
    <t>R8PL8</t>
  </si>
  <si>
    <t>WOS:001066920700001</t>
  </si>
  <si>
    <t>Sanchez-Canizares, J</t>
  </si>
  <si>
    <t>Sanchez-Canizares, Javier</t>
  </si>
  <si>
    <t>Integrated Information is not Causation: Why Integrated Information Theory's Causal Structures do not Beat Causal Reductionism</t>
  </si>
  <si>
    <t>PHILOSOPHIA</t>
  </si>
  <si>
    <t>Integrated Information Theory; Causal Structures; Causal Reductionism; Formal Causation; Nested Hylomorphism; Principle of Individuation</t>
  </si>
  <si>
    <t>CONSCIOUSNESS</t>
  </si>
  <si>
    <t>In a recent work (Grasso et al., 2021), practitioners of the Integrated Information Theory (IIT) claim to have overcome the weaknesses of causal reductionism in producing a coherent account of causation, as causal reductionism would blatantly conflate causation with prediction and could not answer the question of 'what caused what.' In this paper, I reject such a dismissal of causal reductionism since IIT anti-reductionists misunderstand the reductionist stance. The reductionists can still invoke a causal account stemming from the causal power of the universe's basic units and interactions that, eventually, may lead to structures supporting integrated information. Additionally, I claim that the IIT-inspired misunderstanding of causal reductionism originates from the former's metaphysical deficit, conflating information with causation. However, as a possible way out, if IIT is complemented with a deeper metaphysical ground, such as nested hylomorphism, an improved argument against causal reductionism can be made to work by invoking formal causality as the ultimate cause of integration in natural systems.</t>
  </si>
  <si>
    <t>[Sanchez-Canizares, Javier] Univ Navarra, Mind Brain Grp, Inst Culture &amp; Soc ICS, Campus Univ Navarra, Pamplona 31009, Navarra, Spain; [Sanchez-Canizares, Javier] Sci Reason &amp; Faith Grp CRYF, Campus Univ Navarra, Pamplona 31009, Navarra, Spain</t>
  </si>
  <si>
    <t>University of Navarra; University of Navarra</t>
  </si>
  <si>
    <t>Sanchez-Canizares, J (corresponding author), Univ Navarra, Mind Brain Grp, Inst Culture &amp; Soc ICS, Campus Univ Navarra, Pamplona 31009, Navarra, Spain.;Sanchez-Canizares, J (corresponding author), Sci Reason &amp; Faith Grp CRYF, Campus Univ Navarra, Pamplona 31009, Navarra, Spain.</t>
  </si>
  <si>
    <t>js.canizares@unav.es</t>
  </si>
  <si>
    <t>Sanchez-Canizares, Javier/L-4977-2016</t>
  </si>
  <si>
    <t>Sanchez-Canizares, Javier/0000-0002-4670-2011</t>
  </si>
  <si>
    <t>New approaches to biological causality: ecological psychology, enactivism and teleodynamics (NACB) of the Institute for Culture and Society (ICS); Springer Nature</t>
  </si>
  <si>
    <t>&amp; nbsp; This paper received partial financial support from the project New approaches to biological causality: ecological psychology, enactivism and teleodynamics (NACB) of the Institute for Culture and Society (ICS). Open Access funding provided thanks to the CRUE-CSIC agreement with Springer Nature.</t>
  </si>
  <si>
    <t>0048-3893</t>
  </si>
  <si>
    <t>1574-9274</t>
  </si>
  <si>
    <t>Philosophia</t>
  </si>
  <si>
    <t>10.1007/s11406-023-00684-3</t>
  </si>
  <si>
    <t>R8PL5</t>
  </si>
  <si>
    <t>WOS:001066920400001</t>
  </si>
  <si>
    <t>Al Bshabshe, A; Purushothaman, S; Alwadai, NM; Omer, HH; Palanivel, OP</t>
  </si>
  <si>
    <t>Al Bshabshe, Ali; Purushothaman, Senthil; Alwadai, Nasser Mohammed; Omer, Hussam Haider; Palanivel, Om Prakash</t>
  </si>
  <si>
    <t>Computed tomography pulmonary angiogram in a poly-trauma patient undergoing veno venous extracorporeal membrane oxygenation: our experience in diagnosing pulmonary embolism</t>
  </si>
  <si>
    <t>EGYPTIAN JOURNAL OF BRONCHOLOGY</t>
  </si>
  <si>
    <t>Acute respiratory distress syndrome; Pulmonary embolism; Veno-veno extracorporeal membrane oxygenation; Computed tomography pulmonary angiogram; Trauma</t>
  </si>
  <si>
    <t>RESPIRATORY-DISTRESS-SYNDROME; INTENSIVE-CARE-UNIT; INJURY; BRAIN</t>
  </si>
  <si>
    <t>Extracorporeal membrane oxygenation (ECMO) is an adapted form of the heart-lung machine that provides cardiopulmonary bypass life support for critically ill patients with acute cardiac and/or respiratory failure who are unresponsive to standard medical and surgical therapies. Although ECMO therapy has advanced significantly, complications like thrombosis and bleeding continue to be substantial, necessitating rapid transport of patients to the radiology suite to reveal crucial findings for further treatment plans or care. Even though the low flow rate for veno-arterial ECMO (VA-ECMO) support during contrast-enhanced CT is well known, the flow rate for veno-venous ECMO support during CT, especially computed tomography pulmonary angiography, is not well understood. Our case emphasizes that CTPA can be performed safely in trauma patients with ECMO runs and any suspected complications during ECMO runs may delay or worsen the clinical prognosis therefore immediate radiological verdicts may reveal significant findings to plan the treatment accordingly. Also, there were no complications associated with our examinations or transport. Our case highlights that VV-ECMO like VA-ECMO induces flow-dependent alterations in the patient's circulation due to contrast injections, which might lead to an incorrect interpretation of CTPA. However, CTPA is safe, and bringing down the VV-ECMO flow rate of zero with vigilant monitoring of vitals and ventilation support helps radiologists to predict and interpret the contrast flow based on injection and cannula sites in the diagnosing and evaluation of pulmonary embolism patients with acute respiratory failure during ECMO.</t>
  </si>
  <si>
    <t>[Al Bshabshe, Ali] King Khalid Univ, Dept Med Adult Crit Care, Abha, Saudi Arabia; [Purushothaman, Senthil; Palanivel, Om Prakash] Chettinad Acad Res &amp; Educ CARE, Chettinad Hosp &amp; Res Inst CHRI, Chettinad Sch Physiotherapy, Kelambakkam, India; [Alwadai, Nasser Mohammed] Aseer Cent Hosp, Dept Resp Therapy, Crit Care Unit, Abha, Saudi Arabia; [Omer, Hussam Haider] Aseer Cent Hosp, Dept Crit Care Unit, Abha, Saudi Arabia</t>
  </si>
  <si>
    <t>King Khalid University; Assir Central Hospital; Assir Central Hospital</t>
  </si>
  <si>
    <t>Palanivel, OP (corresponding author), Chettinad Acad Res &amp; Educ CARE, Chettinad Hosp &amp; Res Inst CHRI, Chettinad Sch Physiotherapy, Kelambakkam, India.</t>
  </si>
  <si>
    <t>omarprakash77@gmail.com</t>
  </si>
  <si>
    <t>We thank all the critical care staff of Aseer Central Hospital, Abha, Aseer region, Kingdom of Saudi Arabia.; Aseer region, Kingdom of Saudi Arabia</t>
  </si>
  <si>
    <t>We thank all the critical care staff of Aseer Central Hospital, Abha, Aseer region, Kingdom of Saudi Arabia.</t>
  </si>
  <si>
    <t>1687-8426</t>
  </si>
  <si>
    <t>2314-8551</t>
  </si>
  <si>
    <t>EGYPT J BRONCHOL</t>
  </si>
  <si>
    <t>Egypt. J. Bronchol.</t>
  </si>
  <si>
    <t>SEP 15</t>
  </si>
  <si>
    <t>10.1186/s43168-023-00227-0</t>
  </si>
  <si>
    <t>Respiratory System</t>
  </si>
  <si>
    <t>R8AR4</t>
  </si>
  <si>
    <t>WOS:001066532400001</t>
  </si>
  <si>
    <t>Candry, P; Chadwick, GL; Caravajal-Arroyo, JM; Lacoere, T; Winkler, MKH; Ganigue, R; Orphan, VJ; Rabaey, K</t>
  </si>
  <si>
    <t>Candry, Pieter; Chadwick, Grayson L.; Caravajal-Arroyo, Jose Maria; Lacoere, Tim; Winkler, Mari-Karoliina Henriikka; Ganigue, Ramon; Orphan, Victoria J.; Rabaey, Korneel</t>
  </si>
  <si>
    <t>Trophic interactions shape the spatial organization of medium-chain carboxylic acid producing granular biofilm communities</t>
  </si>
  <si>
    <t>ISME JOURNAL</t>
  </si>
  <si>
    <t>WASTE-WATER TREATMENT; 16S RIBOSOMAL-RNA; CAPROIC ACID; GEN. NOV.; ELONGATION; GALACTITOL; BACTERIA; NANOSIMS; BIOMASS</t>
  </si>
  <si>
    <t>Granular biofilms producing medium-chain carboxylic acids (MCCA) from carbohydrate-rich industrial feedstocks harbor highly streamlined communities converting sugars to MCCA either directly or via lactic acid as intermediate. We investigated the spatial organization and growth activity patterns of MCCA producing granular biofilms grown on an industrial side stream to test (i) whether key functional guilds (lactic acid producing Olsenella and MCCA producing Oscillospiraceae) stratified in the biofilm based on substrate usage, and (ii) whether spatial patterns of growth activity shaped the unique, lenticular morphology of these biofilms. First, three novel isolates (one Olsenella and two Oscillospiraceae species) representing over half of the granular biofilm community were obtained and used to develop FISH probes, revealing that key functional guilds were not stratified. Instead, the outer 150-500 &amp; mu;m of the granular biofilm consisted of a well-mixed community of Olsenella and Oscillospiraceae, while deeper layers were made up of other bacteria with lower activities. Second, nanoSIMS analysis of 15N incorporation in biofilms grown in normal and lactic acid amended conditions suggested Oscillospiraceae switched from sugars to lactic acid as substrate. This suggests competitive-cooperative interactions may govern the spatial organization of these biofilms, and suggests that optimizing biofilm size may be a suitable process engineering strategy. Third, growth activities were similar in the polar and equatorial biofilm peripheries, leaving the mechanism behind the lenticular biofilm morphology unexplained. Physical processes (e.g., shear hydrodynamics, biofilm life cycles) may have contributed to lenticular biofilm development. Together, this study develops an ecological framework of MCCA-producing granular biofilms that informs bioprocess development.</t>
  </si>
  <si>
    <t>[Candry, Pieter; Caravajal-Arroyo, Jose Maria; Lacoere, Tim; Ganigue, Ramon; Rabaey, Korneel] Univ Ghent, Ctr Microbial Ecol &amp; Technol CMET, Coupure Links 653, B-9000 Ghent, Belgium; [Candry, Pieter; Winkler, Mari-Karoliina Henriikka] Univ Washington, Civil, Environm Engn, 201 More Hall,Box 352700, Seattle, WA 98195 USA; [Chadwick, Grayson L.; Orphan, Victoria J.] CALTECH, Div Geol &amp; Planetary Sci, Pasadena, CA 91125 USA; [Ganigue, Ramon; Rabaey, Korneel] Ctr Adv Proc &amp; Technol Urban Resource Recovery CAP, Frieda Saeysstr 1, B-9000 Ghent, Belgium</t>
  </si>
  <si>
    <t>Ghent University; University of Washington; University of Washington Seattle; California Institute of Technology</t>
  </si>
  <si>
    <t>Rabaey, K (corresponding author), Univ Ghent, Ctr Microbial Ecol &amp; Technol CMET, Coupure Links 653, B-9000 Ghent, Belgium.;Rabaey, K (corresponding author), Ctr Adv Proc &amp; Technol Urban Resource Recovery CAP, Frieda Saeysstr 1, B-9000 Ghent, Belgium.</t>
  </si>
  <si>
    <t>Korneel.Rabaey@UGent.be</t>
  </si>
  <si>
    <t>; Ganigue, Ramon/D-2860-2016; Orphan, Victoria Jeanne/K-1002-2014</t>
  </si>
  <si>
    <t>Candry, Pieter/0000-0002-7784-3650; Ganigue, Ramon/0000-0002-9564-0195; Rabaey, Korneel/0000-0001-8738-7778; Orphan, Victoria Jeanne/0000-0002-5374-6178</t>
  </si>
  <si>
    <t>PC was supported by UGent Special Research Fund (BOF15/DOC/286) and the U.S. Department of Energy, Office of Science, Office of Biological amp;amp; Environmental Research (#DE-SC0020356). RG is supported by the Special Research Fund of Ghent University (g [DE-SC0020356]; UGent Special Research Fund [BOF19/STA/044]; U.S. Department of Energy, Office of Science, Office of Biological amp;amp; Environmental Research [DE-SC0020373]; Special Research Fund of Ghent University; Department of Energy, Office of Science, Office of Biological and Environmental Research; Life Sciences-Simons Collaboration on Principles of Microbial Ecosystems (PriME) Program from the Simons Foundation [542393]</t>
  </si>
  <si>
    <t>PC was supported by UGent Special Research Fund (BOF15/DOC/286) and the U.S. Department of Energy, Office of Science, Office of Biological amp;amp; Environmental Research (#DE-SC0020356). RG is supported by the Special Research Fund of Ghent University (g; UGent Special Research Fund; U.S. Department of Energy, Office of Science, Office of Biological amp;amp; Environmental Research(United States Department of Energy (DOE)); Special Research Fund of Ghent University(Ghent University); Department of Energy, Office of Science, Office of Biological and Environmental Research(United States Department of Energy (DOE)); Life Sciences-Simons Collaboration on Principles of Microbial Ecosystems (PriME) Program from the Simons Foundation</t>
  </si>
  <si>
    <t>PC was supported by UGent Special Research Fund (BOF15/DOC/286) and the U.S. Department of Energy, Office of Science, Office of Biological &amp; amp; Environmental Research (#DE-SC0020356). RG is supported by the Special Research Fund of Ghent University (grant number BOF19/STA/044). GLC and VJO were supported by grants from the Department of Energy, Office of Science, Office of Biological and Environmental Research (#DE-SC0020373). VJO was also supported by the Life Sciences-Simons Collaboration on Principles of Microbial Ecosystems (PriME) Program from the Simons Foundation (Award 542393).</t>
  </si>
  <si>
    <t>1751-7362</t>
  </si>
  <si>
    <t>1751-7370</t>
  </si>
  <si>
    <t>ISME J</t>
  </si>
  <si>
    <t>ISME J.</t>
  </si>
  <si>
    <t>2023 SEP 15</t>
  </si>
  <si>
    <t>10.1038/s41396-023-01508-8</t>
  </si>
  <si>
    <t>Ecology; Microbiology</t>
  </si>
  <si>
    <t>Environmental Sciences &amp; Ecology; Microbiology</t>
  </si>
  <si>
    <t>R7GX3</t>
  </si>
  <si>
    <t>WOS:001066011400002</t>
  </si>
  <si>
    <t>Chang, RY; Feng, XF; Zhang, H; Yan, PF</t>
  </si>
  <si>
    <t>Chang, Ruiyun; Feng, Xiufang; Zhang, Hao; Yan, Pengfei</t>
  </si>
  <si>
    <t>A robust privacy protection scheme for stereoscopic medical images based on fractal chaos</t>
  </si>
  <si>
    <t>NONLINEAR DYNAMICS</t>
  </si>
  <si>
    <t>Fractal multi-wing chaotic system; Mask fusion; Stereoscopic image encryption; Audio watermarking</t>
  </si>
  <si>
    <t>Taking three-dimensional (3D) two-wing chaotic system as the seed, we propose in this paper, a 3D four-wing chaotic system based on fractal. The dynamic characteristics of complex chaotic attractors are analyzed using the Lyapunov exponent and the Poincare cross-section. The results show that chaotic sequences with fractal transformation have high complexity and all NIST SP800-22 test data are greater than 0.01. A selective encryption scheme based on mask fusion for stereo medical images was proposed from the fractal chaos system. First, the stereo medical images were divided into upper, middle and lower parts of the image, from which, a portion of it was selected for the region of interest of the mask division. The three-part masks were merged and the entire stereo image was divided into background region and region of interest according to the mask. Then, the region of interest is extracted and converted into a new cube, and a cube rotation scrambling diffusion algorithm is designed. Finally, audio data containing the patient's medical information and diagnostic information is embedded in the encrypted region of interest as a watermark. After testing and performance analysis, the algorithm has good encryption and watermarking performance, the histogram and scatter plot adheres to approximate uniform distribution, can resist various attacks, and has a higher security level and faster encryption speed.</t>
  </si>
  <si>
    <t>[Chang, Ruiyun; Feng, Xiufang] Taiyuan Univ Technol, Coll Software, Jinzhong 030600, Peoples R China; [Zhang, Hao; Yan, Pengfei] Taiyuan Univ Technol, Coll Informat &amp; Comp, Jinzhong 030600, Peoples R China</t>
  </si>
  <si>
    <t>Taiyuan University of Technology; Taiyuan University of Technology</t>
  </si>
  <si>
    <t>Zhang, H (corresponding author), Taiyuan Univ Technol, Coll Informat &amp; Comp, Jinzhong 030600, Peoples R China.</t>
  </si>
  <si>
    <t>zhangh545@126.com</t>
  </si>
  <si>
    <t>Key R &amp; D plan in Shanxi Province [202102020101007]; National Natural Science Foundation of China [61702356]; Natural Science Foundation of Shanxi Province [20210302124050, 202203021221074]</t>
  </si>
  <si>
    <t>Key R &amp; D plan in Shanxi Province; National Natural Science Foundation of China(National Natural Science Foundation of China (NSFC)); Natural Science Foundation of Shanxi Province(Natural Science Foundation of Shanxi Province)</t>
  </si>
  <si>
    <t>This research is supported by the Key R &amp; D plan in Shanxi Province (Project No. 202102020101007), National Natural Science Foundation of China (No: 61702356), Natural Science Foundation of Shanxi Province (Nos: 20210302124050 and 202203021221074).</t>
  </si>
  <si>
    <t>0924-090X</t>
  </si>
  <si>
    <t>1573-269X</t>
  </si>
  <si>
    <t>NONLINEAR DYNAM</t>
  </si>
  <si>
    <t>Nonlinear Dyn.</t>
  </si>
  <si>
    <t>10.1007/s11071-023-08900-1</t>
  </si>
  <si>
    <t>Engineering, Mechanical; Mechanics</t>
  </si>
  <si>
    <t>Engineering; Mechanics</t>
  </si>
  <si>
    <t>R8JC0</t>
  </si>
  <si>
    <t>WOS:001066753900003</t>
  </si>
  <si>
    <t>Kawamura, T; Hasegawa, Y; Idomura, Y</t>
  </si>
  <si>
    <t>Kawamura, Takuma; Hasegawa, Yuta; Idomura, Yasuhiro</t>
  </si>
  <si>
    <t>Interactive steering on in situ particle-based volume rendering framework</t>
  </si>
  <si>
    <t>JOURNAL OF VISUALIZATION</t>
  </si>
  <si>
    <t>In situ visualization; In situ steering; Particle-based volume rendering; Plume dispersion simulation</t>
  </si>
  <si>
    <t>VISUALIZATION</t>
  </si>
  <si>
    <t>The development of supercomputers and multi-scale computational fluid dynamics (CFD) models based on adaptive mesh refinement (AMR) enabled fast, large-scale, and high fidelity CFD simulations. Interactive in situ steering is an effective tool for debugging, searching for optimal solutions, and analyzing inverse problems in such CFD simulations. We propose an interactive in situ steering framework for large-scale CFD simulations on GPU supercomputers. This framework employs in situ particle-based volume rendering (PBVR), in situ data sampling, and a file-based control that enables interactive and asynchronous communication of steering parameters, compressed visualization particle data, and sampled monitoring data between supercomputers and user PCs. The parallelized PBVR is processed on the host CPU to avoid interference with CFD simulations on the GPU. We apply the proposed framework to a real-time plume dispersion analysis code CityLBM, which computes the lattice Boltzmann method on the block AMR grid using GPU supercomputers. In the numerical experiment, we address an inverse problem to find a pollutant source from the observation data at monitoring points and demonstrate the effectiveness of the human-in-the-loop approach via the in situ steering framework.</t>
  </si>
  <si>
    <t>[Kawamura, Takuma; Hasegawa, Yuta; Idomura, Yasuhiro] Japan Atom Energy Agcy, Comp Sci Res &amp; Dev Off, Ctr Computat Sci &amp; E Syst, 178-4 Wakashiba, Kashiwa, Chiba 2770871, Japan</t>
  </si>
  <si>
    <t>Japan Atomic Energy Agency</t>
  </si>
  <si>
    <t>Kawamura, T (corresponding author), Japan Atom Energy Agcy, Comp Sci Res &amp; Dev Off, Ctr Computat Sci &amp; E Syst, 178-4 Wakashiba, Kashiwa, Chiba 2770871, Japan.</t>
  </si>
  <si>
    <t>kawamura.takuma@jaea.go.jp; hasegawa.yuta@jaea.go.jp; yasuhiro.idomura@jaea.go.jpJ</t>
  </si>
  <si>
    <t>JSPS KAKENHI [20K11844]</t>
  </si>
  <si>
    <t>JSPS KAKENHI(Ministry of Education, Culture, Sports, Science and Technology, Japan (MEXT)Japan Society for the Promotion of ScienceGrants-in-Aid for Scientific Research (KAKENHI))</t>
  </si>
  <si>
    <t>This research was supported by JSPS KAKENHI Grant Number 20K11844. The research used the GPU supercomputer HPE SGI8600 belonging to Japan Atomic Energy Agency.</t>
  </si>
  <si>
    <t>1343-8875</t>
  </si>
  <si>
    <t>1875-8975</t>
  </si>
  <si>
    <t>J VISUAL-JAPAN</t>
  </si>
  <si>
    <t>J. Vis.</t>
  </si>
  <si>
    <t>10.1007/s12650-023-00945</t>
  </si>
  <si>
    <t>Computer Science, Interdisciplinary Applications; Imaging Science &amp; Photographic Technology</t>
  </si>
  <si>
    <t>Computer Science; Imaging Science &amp; Photographic Technology</t>
  </si>
  <si>
    <t>R7FJ9</t>
  </si>
  <si>
    <t>WOS:001065971800001</t>
  </si>
  <si>
    <t>Lima, TM; Porfiro, AOM; Pereira, RFR; Costa, ECM; Squarezi, AJ</t>
  </si>
  <si>
    <t>Lima, Thiago M.; Porfiro, Andrei O. M.; Pereira, Ronaldo F. R.; Costa, Eduardo C. M.; Filho, Alfeu J. Squarezi</t>
  </si>
  <si>
    <t>Lightning Performance of MMC-HVDC Power Transmission Systems Using Metal-Oxide Surge Arresters</t>
  </si>
  <si>
    <t>JOURNAL OF CONTROL AUTOMATION AND ELECTRICAL SYSTEMS</t>
  </si>
  <si>
    <t>HVDC transmission system; VSC-MMC; Arrester; Lightning modeling; Power conversion</t>
  </si>
  <si>
    <t>PROTECTION; LINES; OPTIMIZATION</t>
  </si>
  <si>
    <t>This paper presents the performance analysis of a high- voltage direct current (HVDC) transmission system using voltage source converters in modular multilevel topology against lightning. Therefore, several simulations were carried out using the PSCAD/EMTDC software to evaluate the transient response of the converters at both terminals and validate the effectiveness of using metal-oxide surge arresters, commonly used in alternating current (AC) systems and HVDC systems based on line-commutated converters. Furthermore, the use of these devices is not approached in the classic and recent technical literature, which makes the contribution of this research original. The results reveal that the correct sizing and location of the surge arresters promote their proper operation, in addition to pointing out that the overvoltage generated by the incidence of lightning on the AC side does not propagate to the Direct Current side.</t>
  </si>
  <si>
    <t>[Lima, Thiago M.; Porfiro, Andrei O. M.; Pereira, Ronaldo F. R.; Costa, Eduardo C. M.] Univ Sao Paulo, Polytech Sch, Dept Energy &amp; Automat Engn, Sao Paulo, Brazil; [Filho, Alfeu J. Squarezi] Fed Univ ABC, Santo Andre, SP, Brazil</t>
  </si>
  <si>
    <t>Universidade de Sao Paulo; Universidade Federal do ABC (UFABC)</t>
  </si>
  <si>
    <t>Lima, TM (corresponding author), Univ Sao Paulo, Polytech Sch, Dept Energy &amp; Automat Engn, Sao Paulo, Brazil.</t>
  </si>
  <si>
    <t>thiagoxxml@usp.br; andreiporfiro@usp.br; ronaldoffc93@usp.br; educosta@usp.br; alfeu.sguarezi@ufabc.edu.br</t>
  </si>
  <si>
    <t>Fundacao de Amparo a Pesquisa do Estado de Sao Paulo - FAPESP [2018/10952-2]; Conselho Nacional de Desenvolvimento Cientifico e Tecnologico - CNPq [302677/2018-6]; Coordenacao de Aperfeicoamento de Pessoal de Nivel Superior - CAPES</t>
  </si>
  <si>
    <t>Fundacao de Amparo a Pesquisa do Estado de Sao Paulo - FAPESP(Fundacao de Amparo a Pesquisa do Estado de Sao Paulo (FAPESP)Fundacao de Amparo a Pesquisa e Inovacao do Estado de Santa Catarina (FAPESC)); Conselho Nacional de Desenvolvimento Cientifico e Tecnologico - CNPq(Conselho Nacional de Desenvolvimento Cientifico e Tecnologico (CNPQ)); Coordenacao de Aperfeicoamento de Pessoal de Nivel Superior - CAPES(Coordenacao de Aperfeicoamento de Pessoal de Nivel Superior (CAPES))</t>
  </si>
  <si>
    <t>Fundacao de Amparo a Pesquisa do Estado de Sao Paulo - FAPESP (Grant 2018/10952-2), Conselho Nacional de Desenvolvimento Cientifico e Tecnologico - CNPq (Grant 302677/2018-6) and Coordenacao de Aperfeicoamento de Pessoal de Nivel Superior - CAPES.</t>
  </si>
  <si>
    <t>2195-3880</t>
  </si>
  <si>
    <t>2195-3899</t>
  </si>
  <si>
    <t>J CONTROL AUTOM ELEC</t>
  </si>
  <si>
    <t>J. Control Autom. Electr. Syst.</t>
  </si>
  <si>
    <t>10.1007/s40313-023-01036</t>
  </si>
  <si>
    <t>Automation &amp; Control Systems</t>
  </si>
  <si>
    <t>R8JA1</t>
  </si>
  <si>
    <t>WOS:001066752000001</t>
  </si>
  <si>
    <t>Liu, YC; Gong, YT; Sun, QY; Wang, B; Yan, Y; Chen, YX; Zhang, LJ; Zhang, WD; Luan, X</t>
  </si>
  <si>
    <t>Liu, Yi-Chen; Gong, Yi-Ting; Sun, Qing-Yan; Wang, Bei; Yan, Yue; Chen, Yi-Xu; Zhang, Li-Jun; Zhang, Wei-Dong; Luan, Xin</t>
  </si>
  <si>
    <t>Ferritinophagy induced ferroptosis in the management of cancer</t>
  </si>
  <si>
    <t>CELLULAR ONCOLOGY</t>
  </si>
  <si>
    <t>Ferritinophagy; Ferroptosis; Regulated cell death; Autophagy; Anti-cancer</t>
  </si>
  <si>
    <t>IRON HOMEOSTASIS; CELL-DEATH; ANDROGEN RECEPTOR; MOLECULAR-MECHANISMS; HELA-CELLS; AUTOPHAGY; ACTIVATION; BINDING; DEGRADATION; COACTIVATOR</t>
  </si>
  <si>
    <t>BackgroundFerroptosis, a newly form of regulated cell death (RCD), is characterized by iron dyshomeostasis and unrestricted lipid peroxidation. Emerging evidence depicts a pivotal role for ferroptosis in driving some pathological processes, especially in cancer. Triggering ferroptosis can suppress tumor growth and induce an anti-tumor immune response, denoting the therapeutic promises for targeting ferroptosis in the management of cancer. As an autophagic phenomenon, ferritinophagy is critical to induce ferroptosis by degradation of ferritin to release intracellular free iron. Recently, a great deal of effort has gone into designing and developing anti-cancer strategies based on targeting ferritinophagy to induce ferroptosis.ConclusionThis review delineates the regulatory mechanism of ferritinophagy firstly and summarizes the role of ferritinophagy-induced ferroptosis in cancer. Moreover, the strategies targeting ferritinophagy to induce ferroptosis are highlighted to unveil the therapeutic value of ferritinophagy as a target to manage cancer. Finally, the future research directions on how to cope with the challenges in developing ferritinophagy promoters into clinical therapeutics are discussed.</t>
  </si>
  <si>
    <t>[Liu, Yi-Chen; Gong, Yi-Ting; Wang, Bei; Yan, Yue; Chen, Yi-Xu; Zhang, Li-Jun; Zhang, Wei-Dong; Luan, Xin] Shanghai Univ Tradit Chinese Med, Inst Interdisciplinary Integrat Med Res, Shanghai Frontiers Sci Ctr TCM Chem Biol, Shanghai 201203, Peoples R China; [Sun, Qing-Yan] Shanghai Inst Pharmaceut Ind, Shanghai 200040, Peoples R China</t>
  </si>
  <si>
    <t>Shanghai University of Traditional Chinese Medicine</t>
  </si>
  <si>
    <t>Zhang, LJ; Zhang, WD; Luan, X (corresponding author), Shanghai Univ Tradit Chinese Med, Inst Interdisciplinary Integrat Med Res, Shanghai Frontiers Sci Ctr TCM Chem Biol, Shanghai 201203, Peoples R China.</t>
  </si>
  <si>
    <t>zhanglijun0407@shutcm.edu.cn; wdzhangy@hotmail.com; luanxin@shutcm.edu.cn</t>
  </si>
  <si>
    <t>The figures were created with BioRender software (BioRender.com).</t>
  </si>
  <si>
    <t>This work was supported by National Natural Science Foundation of China (No. 82274153 and 82173846), Young Talent Lifting Project of China Association of Chinese Medicine [No. CACM-(2021-QNRC2-A08)], Shanghai Rising-Star Program (No.22QA1409100), 2021 Shanghai Science and Technology Innovation Action Plan (No. 21S11902800), Three-year Action Plan for Shanghai TCM Development and Inheritance Program [ZY(2021-2023)-0401, ZY(2021-2023)-0208], Innovation Team and Talents Cultivation Program of National Administration of Traditional Chinese Medicine (No. ZYYCXTD-D-202004), and Innovation team of high-level local universities in Shanghai: Strategic Innovation Team of TCM Chemical Biology.r The figures were created with BioRender software (BioRender.com).</t>
  </si>
  <si>
    <t>2211-3428</t>
  </si>
  <si>
    <t>2211-3436</t>
  </si>
  <si>
    <t>CELL ONCOL</t>
  </si>
  <si>
    <t>Cell. Oncol.</t>
  </si>
  <si>
    <t>10.1007/s13402-023-00858</t>
  </si>
  <si>
    <t>Oncology; Cell Biology; Pathology</t>
  </si>
  <si>
    <t>R7FH2</t>
  </si>
  <si>
    <t>WOS:001065969100001</t>
  </si>
  <si>
    <t>Liu, ZG; Qin, TF; Atienza, M; Zhao, Y; Nguyen, H; Sheng, HJ; Olukayode, T; Song, H; Panjvani, K; Magalhaes, J; Lucas, WJ; Kochian, LV</t>
  </si>
  <si>
    <t>Liu, Zhigang; Qin, Tongfei; Atienza, Michaella; Zhao, Yang; Nguyen, Hanh; Sheng, Huajin; Olukayode, Toluwase; Song, Hao; Panjvani, Karim; Magalhaes, Jurandir; Lucas, William J.; Kochian, Leon V.</t>
  </si>
  <si>
    <t>Constitutive basis of root system architecture: uncovering a promising trait for breeding nutrient- and drought-resilient crops</t>
  </si>
  <si>
    <t>ABIOTECH</t>
  </si>
  <si>
    <t>Constitutive root system architecture; Abiotic stress; Nutrient efficiency; Drought resilience; Plant breeding</t>
  </si>
  <si>
    <t>PHOSPHORUS EFFICIENCY; CORTICAL AERENCHYMA; MAIZE; ACQUISITION; GROWTH; IMPROVEMENT; STRATEGIES; NITROGEN; SOILS; SHOOT</t>
  </si>
  <si>
    <t>Root system architecture (RSA) plays a pivotal role in efficient uptake of essential nutrients, such as phosphorous (P), nitrogen (N), and water. In soils with heterogeneous nutrient distribution, root plasticity can optimize acquisition and plant growth. Here, we present evidence that a constitutive RSA can confer benefits for sorghum grown under both sufficient and limiting growth conditions. Our studies, using P efficient SC103 and inefficient BTx635 sorghum cultivars, identified significant differences in root traits, with SC103 developing a larger root system with more and longer lateral roots, and enhanced shoot biomass, under both nutrient sufficient and deficient conditions. In addition to this constitutive attribute, under P deficiency, both cultivars exhibited an initial increase in lateral root development; however, SC103 still maintained the larger root biomass. Although N deficiency and drought stress inhibited both root and shoot growth, for both sorghum cultivars, SC103 again maintained the better performance. These findings reveal that SC103, a P efficient sorghum cultivar, also exhibited enhanced growth performance under N deficiency and drought. Our results provide evidence that this constitutive nature of RSA can provide an avenue for breeding nutrient- and drought-resilient crops.</t>
  </si>
  <si>
    <t>[Liu, Zhigang; Qin, Tongfei; Atienza, Michaella; Zhao, Yang; Nguyen, Hanh; Sheng, Huajin; Olukayode, Toluwase; Panjvani, Karim; Lucas, William J.; Kochian, Leon V.] Univ Saskatchewan, Global Inst Food Secur, Saskatoon, SK S7N 4L8, Canada; [Song, Hao] Univ Saskatchewan, Dept Comp Sci, Saskatoon, SK S7N 5C9, Canada; [Magalhaes, Jurandir] Brazilian Agr Res Corp, Embrapa Maize &amp; Sorghum, BR-35701970 Sete Lagoas, MG, Brazil; [Lucas, William J.] Univ Calif Davis, Coll Biol Sci, Dept Plant Biol, Davis, CA 95616 USA</t>
  </si>
  <si>
    <t>University of Saskatchewan; University of Saskatchewan; Empresa Brasileira de Pesquisa Agropecuaria (EMBRAPA); University of California System; University of California Davis</t>
  </si>
  <si>
    <t>Kochian, LV (corresponding author), Univ Saskatchewan, Global Inst Food Secur, Saskatoon, SK S7N 4L8, Canada.</t>
  </si>
  <si>
    <t>leon.kochian@gifs.ca</t>
  </si>
  <si>
    <t>This research was supported by funding from a Canada Excellence Research Chairs (CERC) Grant to LVK, funding from the Global institute for Food Security, and the University of Saskatchewan, to LVK. Thanks are due to Brian Ham for assistance in figure devel; Canada Excellence Research Chairs (CERC); Global institute for Food Security; University of Saskatchewan</t>
  </si>
  <si>
    <t>This research was supported by funding from a Canada Excellence Research Chairs (CERC) Grant to LVK, funding from the Global institute for Food Security, and the University of Saskatchewan, to LVK. Thanks are due to Brian Ham for assistance in figure development.</t>
  </si>
  <si>
    <t>2096-6326</t>
  </si>
  <si>
    <t>2662-1738</t>
  </si>
  <si>
    <t>aBiotech</t>
  </si>
  <si>
    <t>10.1007/s42994-023-00112</t>
  </si>
  <si>
    <t>Biotechnology &amp; Applied Microbiology; Plant Sciences</t>
  </si>
  <si>
    <t>R7EY9</t>
  </si>
  <si>
    <t>WOS:001065960500001</t>
  </si>
  <si>
    <t>Mascarell, JJ; Ruiz-Jorge, FJ; Abelleira-Pereira, JM; Portela, JR; de la Ossa, EJM</t>
  </si>
  <si>
    <t>Mascarell, J. J.; Ruiz-Jorge, F. J.; Abelleira-Pereira, Jose M.; Portela, Juan R.; Martinez de la Ossa, Enrique J.</t>
  </si>
  <si>
    <t>Production of crude oil from industrial wastes and wastewaters by hydrothermal liquefaction</t>
  </si>
  <si>
    <t>JOURNAL OF MATERIAL CYCLES AND WASTE MANAGEMENT</t>
  </si>
  <si>
    <t>Hydrothermal liquefaction; Industrial wastewaters; Surfactants; Crude oil; Alternative fuel; Valorization</t>
  </si>
  <si>
    <t>BIO-OIL; SEWAGE-SLUDGE; SUBCRITICAL WATER; HEAVY OIL; BIOMASS; CONVERSION; CELLULOSE; POINT</t>
  </si>
  <si>
    <t>Hydrothermal Liquefaction (HTL) is a promising thermochemical treatment suitable for the valorization of a wide variety of organic wastes and wastewaters. Many research studies have demonstrated the suitability of HTL to produce bio-oil from biomass wastes, but few works have focused on the application of HTL to industrial wastes and wastewaters. The objective and novelty of this work are the study of HTL suitability over a specific selection of industrial residues that present notable drawbacks when treated by conventional waste management methods, including technical problems or high costs. Most of the wastes presented poor results from the technical or energetical point of view. However, liquid surfactant wastewaters were successfully treated by HTL at 300oC and 100 bar in a 300 mL stirred batch reactor, producing a crude oil yield of around 16%, with a High Heating Value (HHV) of up to 30 MJ/kg. The composition and quality of the crude oils obtained have also been determined and compared against conventional biomass fuels.</t>
  </si>
  <si>
    <t>[Mascarell, J. J.; Ruiz-Jorge, F. J.; Abelleira-Pereira, Jose M.; Portela, Juan R.; Martinez de la Ossa, Enrique J.] Univ Cadiz, Fac Sci, Dept Chem Engn &amp; Food Technol, Int Excellence Agrifood Campus CeiA3, Puerto Real 11510, Cadiz, Spain</t>
  </si>
  <si>
    <t>Universidad de Cadiz</t>
  </si>
  <si>
    <t>Portela, JR (corresponding author), Univ Cadiz, Fac Sci, Dept Chem Engn &amp; Food Technol, Int Excellence Agrifood Campus CeiA3, Puerto Real 11510, Cadiz, Spain.</t>
  </si>
  <si>
    <t>juanramon.portela@uca.es</t>
  </si>
  <si>
    <t>Universidad de Cadiz/CBUA; 2014-2020 ERDF Operational Programme; Department of Economy, Knowledge, Business and University of the Regional Government of Andalusia [FEDER-UCA18-108297]; Verinsur</t>
  </si>
  <si>
    <t>Universidad de Cadiz/CBUA; 2014-2020 ERDF Operational Programme; Department of Economy, Knowledge, Business and University of the Regional Government of Andalusia; Verinsur</t>
  </si>
  <si>
    <t>Funding for open access publishing: Universidad de Cadiz/CBUA.This work has been co-financed by the 2014-2020 ERDF Operational Programme and by the Department of Economy, Knowledge, Business and University of the Regional Government of Andalusia. Project reference: FEDER-UCA18-108297. Acknowledgements to Servicios centrales of University of Cadiz for the expertise advice in the ultimate analysis of crude-oil and solids. We would also like to acknowledge the management company Verinsur for the financial support, the technical information and the wastes supplied for this study.</t>
  </si>
  <si>
    <t>1438-4957</t>
  </si>
  <si>
    <t>1611-8227</t>
  </si>
  <si>
    <t>J MATER CYCLES WASTE</t>
  </si>
  <si>
    <t>J. Mater. Cycles Waste Manag.</t>
  </si>
  <si>
    <t>10.1007/s10163-023-01771</t>
  </si>
  <si>
    <t>R8IT0</t>
  </si>
  <si>
    <t>WOS:001066744900001</t>
  </si>
  <si>
    <t>Mei, J; Cai, Y; Chen, LY; Wu, YQ; Liu, JY; Qian, ZW; Jiang, Y; Zhang, P; Xia, TS; Pan, X; Zhang, Y</t>
  </si>
  <si>
    <t>Mei, Jie; Cai, Yun; Chen, Lingyan; Wu, Youqing; Liu, Jiayu; Qian, Zhiwen; Jiang, Ying; Zhang, Ping; Xia, Tiansong; Pan, Xiang; Zhang, Yan</t>
  </si>
  <si>
    <t>The heterogeneity of tumour immune microenvironment revealing the CRABP2/CD69 signature discriminates distinct clinical outcomes in breast cancer</t>
  </si>
  <si>
    <t>BRITISH JOURNAL OF CANCER</t>
  </si>
  <si>
    <t>NEOADJUVANT CHEMOTHERAPY; CD69; IMMUNOTHERAPY; BLOCKADE; PREDICTORS; RESISTANCE; DISCOVERY; MIGRATION; RESPONSES; TOOL</t>
  </si>
  <si>
    <t>BackgroundIt has been acknowledged that the tumour immune microenvironment (TIME) plays a critical role in determining therapeutic responses and clinical outcomes in breast cancer (BrCa). Thus, the identification of the TIME features is essential for guiding therapy and prognostic assessment for BrCa.MethodsThe heterogeneous cellular composition of the TIME in BrCa by single-cell RNA sequencing (scRNA-seq). Two subtype-special genes upregulated in the tumour-rich subtype and the immune-infiltrating subtype were extracted, respectively. The CRABP2/CD69 signature was established based on CRABP2 and CD69 expression, and its predictive values for the clinical outcome and the neoadjuvant chemotherapy (NAT) responses were validated in multiple cohorts. Moreover, the oncogenic role of CRABP2 was explored in BrCa cells.ResultsBased on the heterogeneous cellular composition of the TIME in BrCa, the BrCa samples could be divided into the tumour-rich subtype and the immune-infiltrating subtype, which exhibited distinct prognosis and chemotherapeutic responses. Next, we extracted CRABP2 as the biomarker for the tumour-rich subtype and CD69 as the biomarker for the immune-infiltrating subtype. Based on the CRABP2/CD69 signature, BrCa samples were re-divided into three subtypes, and the CRABP2highCD69low subtype exhibited the worst prognosis and the lowest chemotherapeutic response, while the CRABP2lowCD69high subtype showed the opposite results. Furthermore, CARBP2 functioned as a novel oncogene in BrCa, which promoted tumour cell proliferation, migration, and invasion, and CRABP2 inhibition triggered the activation of cytotoxic T lymphocytes (CTLs).ConclusionThe CRABP2/CD69 signature is significantly associated with the TIME features and could effectively predict the clinical outcome. Also, CRABP2 is determined to be a novel oncogene, which could be a therapeutic target in BrCa.</t>
  </si>
  <si>
    <t>[Mei, Jie; Cai, Yun; Chen, Lingyan; Qian, Zhiwen; Zhang, Yan] Nanjing Med Univ, Wuxi Maternal &amp; Child Hlth Hosp, Wuxi Med Ctr, Wuxi 214023, Peoples R China; [Mei, Jie] Nanjing Med Univ, Clin Med Coll 1, Nanjing 211166, Peoples R China; [Wu, Youqing; Pan, Xiang] Jiangnan Univ, Sch Artificial Intelligence &amp; Comp Sci, Wuxi 214122, Peoples R China; [Liu, Jiayu; Jiang, Ying; Zhang, Yan] Jiangnan Univ, Womens Hosp, Dept Oncol, Wuxi 214023, Peoples R China; [Zhang, Ping] Jiangnan Univ, Womens Hosp, Dept Breast Surg, Wuxi 214023, Peoples R China; [Xia, Tiansong] Nanjing Med Univ, Affiliated Hosp 1, Jiangsu Breast Dis Ctr, Nanjing 210029, Peoples R China</t>
  </si>
  <si>
    <t>Nanjing Medical University; Nanjing Medical University; Jiangnan University; Jiangnan University; Jiangnan University; Nanjing Medical University</t>
  </si>
  <si>
    <t>Zhang, Y (corresponding author), Nanjing Med Univ, Wuxi Maternal &amp; Child Hlth Hosp, Wuxi Med Ctr, Wuxi 214023, Peoples R China.;Pan, X (corresponding author), Jiangnan Univ, Sch Artificial Intelligence &amp; Comp Sci, Wuxi 214122, Peoples R China.;Zhang, Y (corresponding author), Jiangnan Univ, Womens Hosp, Dept Oncol, Wuxi 214023, Peoples R China.;Xia, TS (corresponding author), Nanjing Med Univ, Affiliated Hosp 1, Jiangsu Breast Dis Ctr, Nanjing 210029, Peoples R China.</t>
  </si>
  <si>
    <t>xiats@njmu.edu.cn; xiangpan@jiangnan.edu.cn; fuyou2007@126.com</t>
  </si>
  <si>
    <t>Precision Medicine Project of Wuxi Municipal Health Commission [J202106]; Maternal and Child Health Research Project of Jiangsu Province [F202034]; Major project of Wuxi Science and Technology Bureau [N20201006]; 333 Project of Province [BRA2020380]; Wujieping Project [320.6750.2022-19-38]</t>
  </si>
  <si>
    <t>Precision Medicine Project of Wuxi Municipal Health Commission; Maternal and Child Health Research Project of Jiangsu Province; Major project of Wuxi Science and Technology Bureau; 333 Project of Province; Wujieping Project</t>
  </si>
  <si>
    <t>This study was supported by the Precision Medicine Project of Wuxi Municipal Health Commission (J202106), the Maternal and Child Health Research Project of Jiangsu Province (F202034), the Major project of Wuxi Science and Technology Bureau (N20201006), the 333 Project of Province (BRA2020380), the Wujieping Project (320.6750.2022-19-38)</t>
  </si>
  <si>
    <t>0007-0920</t>
  </si>
  <si>
    <t>1532-1827</t>
  </si>
  <si>
    <t>BRIT J CANCER</t>
  </si>
  <si>
    <t>Br. J. Cancer</t>
  </si>
  <si>
    <t>10.1038/s41416-023-02432-6</t>
  </si>
  <si>
    <t>R8IX4</t>
  </si>
  <si>
    <t>WOS:001066749300003</t>
  </si>
  <si>
    <t>Nakamura, H; Kukita, Y; Wakamatsu, T; Takenaka, S; Yoshida, K; Yagi, T</t>
  </si>
  <si>
    <t>Nakamura, Harumi; Kukita, Yoji; Wakamatsu, Toru; Takenaka, Satoshi; Yoshida, Keiichi; Yagi, Toshinari</t>
  </si>
  <si>
    <t>KMT2A-rearranged sarcoma with unusual fusion gene CBX6::KMT2A::PYGO1</t>
  </si>
  <si>
    <t>KMT2A; CBX6; PYGO1; Fusion; Sarcoma</t>
  </si>
  <si>
    <t>Recently, rare sarcomas harboring KMT2A rearrangements have been reported. They occur in relatively young individuals, exhibit a sclerosing epithelioid fibrosarcoma-like morphology, and often have an aggressive prognosis. YAP1::KMT2A::YAP1 is the most common fusion gene, followed by VIM::KMT2A. We report the case of a 47-year-old man with a spindle cell tumor arising from the subcutaneous tissue of the right anterior chest. The tumor harbored an unusual novel fusion gene, CBX6::KMT2A::PYGO1. Histologically, the tumor consisted of proliferating spindle-shaped cells with uniform nuclei, which varied in cell density and the amount of intervening collagen fibers. After 2 years and 8 months without postoperative treatment, the patient showed no recurrence or metastasis. Although highly likely irreproducible, tumors with the CBX6::KMT2A::PYGO1 fusion gene were morphologically somewhat different from those containing the YAP1::KMT2A::YAP1. This suggests that KMT2A rearrangements with fusion gene partners different from YAP1 result in purely spindle-shaped cell tumors that produce collagen fibers.</t>
  </si>
  <si>
    <t>[Nakamura, Harumi; Kukita, Yoji] Osaka Int Canc Inst, Lab Genom Pathol, 3-1-69 Otemae,Chuo Ku, Osaka, Osaka 5418567, Japan; [Nakamura, Harumi] Osaka Int Canc Inst, Dept Diagnost Pathol &amp; Cytol, 3-1-69 Otemae,Chuo Ku, Osaka, Osaka 5418567, Japan; [Wakamatsu, Toru; Takenaka, Satoshi] Osaka Int Canc Inst, Dept Orthoped Surg, 3-1-69 Otemae,Chuo Ku, Osaka, Osaka 5418567, Japan; [Yoshida, Keiichi] Osaka Int Canc Inst, Next Generat Precis Med Res Ctr, 3-1-69 Otemae,Chuo Ku, Osaka, Osaka 5418567, Japan; [Yagi, Toshinari] Osaka Int Canc Inst, Dept Outpatient Chemotherapy, 3-1-69 Otemae,Chuo Ku, Osaka, Osaka 5418567, Japan</t>
  </si>
  <si>
    <t>Nakamura, H (corresponding author), Osaka Int Canc Inst, Lab Genom Pathol, 3-1-69 Otemae,Chuo Ku, Osaka, Osaka 5418567, Japan.;Nakamura, H (corresponding author), Osaka Int Canc Inst, Dept Diagnost Pathol &amp; Cytol, 3-1-69 Otemae,Chuo Ku, Osaka, Osaka 5418567, Japan.</t>
  </si>
  <si>
    <t>harumi.nakamura@oici.jp</t>
  </si>
  <si>
    <t>We thank Editage (www.editage.jp) for English language editing.</t>
  </si>
  <si>
    <t>10.1007/s00428-023-03639</t>
  </si>
  <si>
    <t>R9NA9</t>
  </si>
  <si>
    <t>WOS:001067535000001</t>
  </si>
  <si>
    <t>Orlov, YL; Orlova, NG</t>
  </si>
  <si>
    <t>Orlov, Yuriy L.; Orlova, Nina G.</t>
  </si>
  <si>
    <t>Bioinformatics tools for the sequence complexity estimates</t>
  </si>
  <si>
    <t>BIOPHYSICAL REVIEWS</t>
  </si>
  <si>
    <t>Bioinformatics; Text complexity; Lempel-Ziv compression; Genetic codes; Sequence information; Entropy; Low complexity regions; Sequencing artefacts; Genomic rearrangement; Alignment-free; Genome comparison; Online tools</t>
  </si>
  <si>
    <t>TRIPLET PERIODICITY; TANDEM REPEATS; NUCLEOTIDE-SEQUENCES; GENOMIC SEQUENCES; DNA; REGIONS; INFORMATION; DATABASE; SEARCH; IDENTIFICATION</t>
  </si>
  <si>
    <t>We review current methods and bioinformatics tools for the text complexity estimates (information and entropy measures). The search DNA regions with extreme statistical characteristics such as low complexity regions are important for biophysical models of chromosome function and gene transcription regulation in genome scale. We discuss the complexity profiling for segmentation and delineation of genome sequences, search for genome repeats and transposable elements, and applications to next-generation sequencing reads. We review the complexity methods and new applications fields: analysis of mutation hotspots loci, analysis of short sequencing reads with quality control, and alignment-free genome comparisons. The algorithms implementing various numerical measures of text complexity estimates including combinatorial and linguistic measures have been developed before genome sequencing era. The series of tools to estimate sequence complexity use compression approaches, mainly by modification of Lempel-Ziv compression. Most of the tools are available online providing large-scale service for whole genome analysis. Novel machine learning applications for classification of complete genome sequences also include sequence compression and complexity algorithms. We present comparison of the complexity methods on the different sequence sets, the applications for gene transcription regulatory regions analysis. Furthermore, we discuss approaches and application of sequence complexity for proteins. The complexity measures for amino acid sequences could be calculated by the same entropy and compression-based algorithms. But the functional and evolutionary roles of low complexity regions in protein have specific features differing from DNA. The tools for protein sequence complexity aimed for protein structural constraints. It was shown that low complexity regions in protein sequences are conservative in evolution and have important biological and structural functions. Finally, we summarize recent findings in large scale genome complexity comparison and applications for coronavirus genome analysis.</t>
  </si>
  <si>
    <t>[Orlov, Yuriy L.] IM Sechenov First Moscow State Med Univ, Sechenov Univ, Digital Hlth Inst, Russian Minist Hlth, Moscow 119991, Russia; [Orlov, Yuriy L.] Inst Cytol &amp; Genet SB RAS, Novosibirsk 630090, Russia; [Orlov, Yuriy L.] Peoples Friendship Univ Russia, Agrarian &amp; Technol Inst, Moscow 117198, Russia; [Orlova, Nina G.] Financial Univ Govt Russian Federat, Dept Math, Moscow 125167, Russia</t>
  </si>
  <si>
    <t>Sechenov First Moscow State Medical University; Ministry of Health of the Russian Federation; Russian Academy of Sciences; Institute of Cytology &amp; Genetics ICG SB RAS; Peoples Friendship University of Russia; Financial University Under the Government of Russian Federation</t>
  </si>
  <si>
    <t>Orlov, YL (corresponding author), IM Sechenov First Moscow State Med Univ, Sechenov Univ, Digital Hlth Inst, Russian Minist Hlth, Moscow 119991, Russia.;Orlov, YL (corresponding author), Inst Cytol &amp; Genet SB RAS, Novosibirsk 630090, Russia.;Orlov, YL (corresponding author), Peoples Friendship Univ Russia, Agrarian &amp; Technol Inst, Moscow 117198, Russia.</t>
  </si>
  <si>
    <t>y.orlov@sechenov.ru</t>
  </si>
  <si>
    <t>The authors are grateful to the Committee of the Russian Biophysicists Society, to A. I. Dergilev and A. V. Mitina for technical help.; Committee of the Russian Biophysicists Society</t>
  </si>
  <si>
    <t>The authors are grateful to the Committee of the Russian Biophysicists Society, to A. I. Dergilev and A. V. Mitina for technical help.</t>
  </si>
  <si>
    <t>1867-2450</t>
  </si>
  <si>
    <t>1867-2469</t>
  </si>
  <si>
    <t>BIOPHYS REV-GER</t>
  </si>
  <si>
    <t>Biophys. Rev.</t>
  </si>
  <si>
    <t>10.1007/s12551-023-01140</t>
  </si>
  <si>
    <t>Biophysics</t>
  </si>
  <si>
    <t>R8IN6</t>
  </si>
  <si>
    <t>WOS:001066739500002</t>
  </si>
  <si>
    <t>Ricciardelli, P; Pintori, N</t>
  </si>
  <si>
    <t>Ricciardelli, Paola; Pintori, Noemi</t>
  </si>
  <si>
    <t>Effect of race on Gaze Cueing in adults with high and low autistic traits</t>
  </si>
  <si>
    <t>BMC PSYCHOLOGY</t>
  </si>
  <si>
    <t>Gaze-cueing effect; Ingroup bias; Implicit race bias; High and Low autistic traits</t>
  </si>
  <si>
    <t>INDIVIDUAL-DIFFERENCES; SOCIAL COGNITION; EYE GAZE; SPECTRUM; ASSOCIATION; ATTENTION; PHENOTYPE; SENSITIVITY; STEREOTYPES; PERCEPTION</t>
  </si>
  <si>
    <t>BackgroundObserving the direction of gaze of another person leads to shifting of attention in the same direction (gaze-cueing effect - GCE), a social-cognitive ability known as joint or social attention. Racial attitudes can influence the magnitude of GCE since it has been shown that White people showing a strong race ingroup preference follow the gaze only of White, and not Black, faces. Individuals with high autistic traits have difficulties in social-cognitive abilities that can disrupt the learning of socially shared racial attitudes. Our aim was to investigate in White Italian adults whether individuals with higher autistic traits (measured by the Autism Spectrum Quotient) show reduced implicit racial bias (measured by the Implicit Association Test) and if this bias would lead to differences in the gaze cueing effect (GCE) triggered by gaze direction of faces of different races (measured by the Gaze Cueing Task).MethodsIn an online study, participants (N = 165; 132 females; Mean age = 22.9; SD = 4.76) filled in the Autism Spectrum Quotient (AQ) questionnaire, then performed a Gaze Cueing Task, followed and by an Implicit Association Test.ResultsLinear regression and linear mixed model analyses showed in the IAT task the presence of the same implicit ingroup bias for all participants, which was not predicted by the AQ score, while in the Gaze Cueing Task the GCE differed depending on the AQ score of the participants. Specifically, participants with low-medium, medium, and medium-high autistic traits (AQ = -1SD; AQ = mean; AQ = + 1SD respectively) presented the GCE for both ingroup and outgroup cueing faces, whereas participants with high autistic traits (AQ = + 2SD) only for ingroup faces.ConclusionsIn White Italian adults the presence of an implicit ingroup bias seems to influence the GCE, but it is not always true that the individuals showing an implicit ingroup bias do not orient their attention in the direction of gaze of the outgroup individuals. Instead, the GCE seems to be modulated by the level of autistic traits. That is, individuals with higher autistic traits seem to prioritize joint attention with only their ingroup members.</t>
  </si>
  <si>
    <t>[Ricciardelli, Paola; Pintori, Noemi] Univ Milano Bicocca, Dept Psychol, Piazza Ateneo Nuovo 1, I-20126 Milan, Italy; [Ricciardelli, Paola] Milan Ctr Neurosci, Milan, Italy; [Pintori, Noemi] Univ Brescia, Dept Clin &amp; Expt Sci, Viale Europa 11, I-25123 Brescia, Italy</t>
  </si>
  <si>
    <t>University of Milano-Bicocca; University of Brescia</t>
  </si>
  <si>
    <t>Ricciardelli, P (corresponding author), Univ Milano Bicocca, Dept Psychol, Piazza Ateneo Nuovo 1, I-20126 Milan, Italy.;Ricciardelli, P (corresponding author), Milan Ctr Neurosci, Milan, Italy.</t>
  </si>
  <si>
    <t>paola.ricciardelli@unimib.it</t>
  </si>
  <si>
    <t>Ricciardelli, Paola/0000-0002-1123-2099</t>
  </si>
  <si>
    <t>The Authors are grateful to Mario Dalmaso, who very kindly provided the face stimuli, Juliette Richetin for her help and advice on the use of Inquisit software and Inquisit Millisecond Web online platform, and Francesca Ciardo for her feedback and suggesti; Inquisit Millisecond Web online platform</t>
  </si>
  <si>
    <t>The Authors are grateful to Mario Dalmaso, who very kindly provided the face stimuli, Juliette Richetin for her help and advice on the use of Inquisit software and Inquisit Millisecond Web online platform, and Francesca Ciardo for her feedback and suggestions on a preliminary draft of the manuscript. The Authors also wish to thank Giulio Costantini for his guidance and support in LMM data analysis.</t>
  </si>
  <si>
    <t>2050-7283</t>
  </si>
  <si>
    <t>BMC PSYCHOL</t>
  </si>
  <si>
    <t>BMC Psychol.</t>
  </si>
  <si>
    <t>10.1186/s40359-023-01307-y</t>
  </si>
  <si>
    <t>R8IX3</t>
  </si>
  <si>
    <t>Green Submitted, Green Published, gold</t>
  </si>
  <si>
    <t>WOS:001066749200001</t>
  </si>
  <si>
    <t>Rubio, A; Cardo, MV; Melgarejo-Colmenares, K; Viani, MJ; Vezzani, D</t>
  </si>
  <si>
    <t>Rubio, Alejandra; Cardo, Maria Victoria; Melgarejo-Colmenares, Karelly; Viani, Maria Jose; Vezzani, Dario</t>
  </si>
  <si>
    <t>Control of container mosquitoes with triflumuron in key urban land uses and effects on non-target dipterans</t>
  </si>
  <si>
    <t>JOURNAL OF PEST SCIENCE</t>
  </si>
  <si>
    <t>Insect growth regulator; Vector-borne disease; Environmental impact; Urban insects; Urban heterogeneity; Dengue; Encephalitis</t>
  </si>
  <si>
    <t>AEDES-AEGYPTI DIPTERA; BREEDING MOSQUITOS; LOUIS ENCEPHALITIS; DENGUE VECTOR; BUENOS-AIRES; URBANIZATION; ALBOPICTUS; CULICIDAE; PATTERNS; CHIRONOMIDAE</t>
  </si>
  <si>
    <t>Mosquitoes are of major public health importance throughout the world. Recently, there has been an increase in mosquito-borne diseases some of which are newly emerging, and some are remerging. Chemical control remains the main approach to reducing mosquito vector populations, therefore mitigating the transmission and spread of mosquito-borne diseases. Urban land uses have been identified as highly productive for container mosquitoes and thus require vector control interventions. In this study, we compared the effectiveness of the larvicide triflumuron in controlling mosquito vectors in households, cemeteries and tire shops and assessed its potential impact on non-target dipterans in urban temperate Argentina. On average, treatment with triflumuron reduced the occurrence of Aedes aegypti by 81% and Culex pipiens by 45%, with no significant differences among land uses. Two-thirds of the containers with these two mosquito species also harbored at least one non-target dipteran species (other Culicidae, Chironomidae, Psychodidae, Ceratopogonidae, Phoridae, Ephydridae, Syrphidae and Sciomyzidae). Triflumuron application also had unintended effects on non-target dipteran communities, resulting in reduced richness and diversity across all land uses, as well as a reduced density of individuals in tire shops. Triflumuron proved highly effective against Ae. aegypti and moderately effective against Cx. pipiens regardless of land-use patterns. However, unwanted effects against some non-target accompanying Diptera fauna were also recorded, suggesting a severe limitation for the use of this larvicide in areas where biodiversity conservation is of paramount importance. Preserving biodiversity and human welfare must be a primary goal in the search for better vector control measures.</t>
  </si>
  <si>
    <t>[Rubio, Alejandra; Cardo, Maria Victoria; Melgarejo-Colmenares, Karelly] Escuela Habitat &amp; Sostenibil, Ecol Enfermedades Transmitidas Vectores, IIIA UNSAM CONICET, Inst Invest &amp; Ingn Ambiental, Campus Miguelete,25 Mayo &amp; Francia, RA-1650 San Martin, Buenos Aires, Argentina; [Rubio, Alejandra; Cardo, Maria Victoria; Melgarejo-Colmenares, Karelly; Vezzani, Dario] Consejo Nacl Invest Cient &amp; Tecn, Buenos Aires, Argentina; [Viani, Maria Jose] Secretaria Salud, Tigre, Buenos Aires, Argentina; [Vezzani, Dario] UNCPBA CICPBA, Inst Multidisciplinario Ecosistemas &amp; Desarrollo S, Tandil, Buenos Aires, Argentina</t>
  </si>
  <si>
    <t>Consejo Nacional de Investigaciones Cientificas y Tecnicas (CONICET)</t>
  </si>
  <si>
    <t>Rubio, A (corresponding author), Escuela Habitat &amp; Sostenibil, Ecol Enfermedades Transmitidas Vectores, IIIA UNSAM CONICET, Inst Invest &amp; Ingn Ambiental, Campus Miguelete,25 Mayo &amp; Francia, RA-1650 San Martin, Buenos Aires, Argentina.;Rubio, A (corresponding author), Consejo Nacl Invest Cient &amp; Tecn, Buenos Aires, Argentina.</t>
  </si>
  <si>
    <t>arubio@unsam.edu.ar</t>
  </si>
  <si>
    <t>Agencia Nacional de Promocion Cientifica y Tecnologica [PICT 2018-3217]</t>
  </si>
  <si>
    <t>Agencia Nacional de Promocion Cientifica y Tecnologica(ANPCyTSpanish Government)</t>
  </si>
  <si>
    <t>We are deeply grateful to the Secretary of Health of Tigre Municipality and the territorial and health agents involved in this study. We particularly thank the students MJ Davalos and CC Banchon Paredes for their field assistance. This work was supported by the Agencia Nacional de Promocion Cientifica y Tecnologica (PICT 2018-3217). AR, MVC and DV have a full-time position at Consejo Nacional de Investigaciones Cientificas y Tecnicas (CONICET), and KJMC is fellow of CONICET.</t>
  </si>
  <si>
    <t>1612-4758</t>
  </si>
  <si>
    <t>1612-4766</t>
  </si>
  <si>
    <t>J PEST SCI</t>
  </si>
  <si>
    <t>J. Pest Sci.</t>
  </si>
  <si>
    <t>10.1007/s10340-023-01691-9</t>
  </si>
  <si>
    <t>R7HI2</t>
  </si>
  <si>
    <t>WOS:001066022700001</t>
  </si>
  <si>
    <t>Semwal, S; Sivagurunathan, P; Satlewal, A; Kumar, R; Gupta, RP; Christopher, J; Kumar, R</t>
  </si>
  <si>
    <t>Semwal, Surbhi; Sivagurunathan, Periyasamy; Satlewal, Alok; Kumar, Rahul; Gupta, Ravi P.; Christopher, Jayaraj; Kumar, Ravindra</t>
  </si>
  <si>
    <t>An Efficient and Cost- Effective Pretreatment of Rice Straw Using Steam Explosion: A Pilot Scale Experience</t>
  </si>
  <si>
    <t>WASTE AND BIOMASS VALORIZATION</t>
  </si>
  <si>
    <t>Paddy straw; LCB complex breakage; Glucan hydrolysis; Material balance; Ethanol yield estimation; Surplus energy</t>
  </si>
  <si>
    <t>DILUTE-ACID PRETREATMENT; PSEUDO-LIGNIN FORMATION; SUGAR RECOVERY; BIOMASS; IMPACT; HYDROLYSIS; ETHANOL; STALK</t>
  </si>
  <si>
    <t>Surplus availability of rice straw (RS) presents it as a potential feedstock for ethanol production. Steam explosion (SE) is considered as a green approach to extract fermentable sugars at lower cost. The present study deals with the reaction condition optimization for water and dilute acid assisted steam explosion of rice straw at different temperatures and explores the effect of structural properties of solid residue on enzymatic hydrolysis along with mass balance. SE conditions were optimized at pilot scale, raising the temperature from 170 to 200 &amp; DEG;C in water assisted SE resulting in an increased glucan conversion from 21.4 to 42.5% at 15% solid loading using 1.5 FPU of cellulases g-1 biomass. Further, it was improved up to 58.7% by increasing the enzyme dosage to 5 FPU, although it might lead to enhanced enzyme cost by threefold. To reduce costs, small amount of dilute acid (DA) was added during SE and lowering of enzyme consumption i.e. 1.5 FPU/g cellulose has been used to achieve 65.5% glucan conversion. Varying temperature and incorporate dilute acid during pretreatment induced structural alterations in biomass evident by compositional analysis, FT-IR and mass balance. Mass balance study revealed that the overall sugar recovery i.e. 58.7 and 38.8% and theoretical yield of ethanol shall be 222 and 186 L ton-1 RS respectively, with and without DA addition.</t>
  </si>
  <si>
    <t>[Semwal, Surbhi; Sivagurunathan, Periyasamy; Satlewal, Alok; Kumar, Rahul; Gupta, Ravi P.] Indian Oil Corp Ltd, Res &amp; Dev Ctr, DBT IOC Ctr Adv Bioenergy Res, Sect 13, Faridabad 121007, India; [Christopher, Jayaraj] Indian Oil Corp Ltd, Res &amp; Dev Ctr, Analyt Div, Sect 13, Faridabad 121007, India; [Kumar, Ravindra] Nord Univ, Fac Biosci &amp; Aquaculture, N-7713 Steinkjer, Norway</t>
  </si>
  <si>
    <t>Indian Oil Corporation Ltd; DBT IOC Centre for Advanced Bioenergy Research, Faridabad; Indian Oil Corporation Ltd; Nord University</t>
  </si>
  <si>
    <t>Kumar, R (corresponding author), Nord Univ, Fac Biosci &amp; Aquaculture, N-7713 Steinkjer, Norway.</t>
  </si>
  <si>
    <t>ravindra.kumar@nord.no</t>
  </si>
  <si>
    <t>Nord University; Department of Biotechnology (DBT) India [BT/PB/08/03/2007]</t>
  </si>
  <si>
    <t>Nord University; Department of Biotechnology (DBT) India(Department of Biotechnology (DBT) India)</t>
  </si>
  <si>
    <t>Open access funding provided by Nord University. This work was supported by Department of Biotechnology (DBT) India under grant number BT/PB/08/03/2007.</t>
  </si>
  <si>
    <t>1877-2641</t>
  </si>
  <si>
    <t>1877-265X</t>
  </si>
  <si>
    <t>WASTE BIOMASS VALORI</t>
  </si>
  <si>
    <t>Waste Biomass Valorization</t>
  </si>
  <si>
    <t>10.1007/s12649-023-02267-5</t>
  </si>
  <si>
    <t>R7FE6</t>
  </si>
  <si>
    <t>WOS:001065966400001</t>
  </si>
  <si>
    <t>Song, J; Zhao, ZJ; Jiao, ZB; Peng, Y; Chu, MY</t>
  </si>
  <si>
    <t>Song, Juan; Zhao, Zijing; Jiao, Zhibin; Peng, Yao; Chu, Mingyuan</t>
  </si>
  <si>
    <t>Subliminal perception of others' physical pain induces personal distress rather than empathic concern</t>
  </si>
  <si>
    <t>Subliminal priming; Pain perception; Emotional and behavioural response; Threat value of pain hypothesis; Empathy-altruism hypothesis</t>
  </si>
  <si>
    <t>SELECTIVE ATTENTION; VIGILANCE; RESPONSES; THREAT; FACES; RECOGNITION; MOTIVATION; EMOTION; FEARFUL; MODEL</t>
  </si>
  <si>
    <t>BackgroundWhat is our immediate reaction when we witness someone experiencing pain? The empathy-altruism hypothesis predicts that observers would display empathy and a tendency to approach the person in pain. Alternatively, the threat value of pain hypothesis (TVPH) argues that others' pain serves as a signal of threat and should induce observers' avoidance response.MethodsTo examine these two hypotheses, three experiments were conducted. The experiments aimed to investigate the impact of subliminal exposure to others' physical pain on participants' emotional and behavioural responses.ResultsThe results revealed that subliminal pain priming resulted in faster response and attentional bias to fearful faces compared to sad faces (Experiment 1), faster reaction times in recognizing fear-related words compared to anger-related words during a lexical decision task (Experiment 2), and faster avoidance responses towards anger-related words, as opposed to approaching responses towards positive words (Experiment 3).ConclusionsThe consistent findings across all experiments revealed that subliminal perception of pain scenes elicited fear emotion and immediate avoidance responses. Therefore, the outcomes of our study provide supportive evidence for the TVPH.</t>
  </si>
  <si>
    <t>[Song, Juan; Zhao, Zijing; Jiao, Zhibin] Tianjin Normal Univ, Fac Psychol, Tianjin, Peoples R China; [Peng, Yao] Dongguan Nancheng Middle Sch, Dongguan, Peoples R China; [Chu, Mingyuan] Univ Aberdeen, Sch Psychol, Aberdeen, Scotland</t>
  </si>
  <si>
    <t>Tianjin Normal University; University of Aberdeen</t>
  </si>
  <si>
    <t>Chu, MY (corresponding author), Univ Aberdeen, Sch Psychol, Aberdeen, Scotland.</t>
  </si>
  <si>
    <t>mingyuan.chu@abdn.ac.uk</t>
  </si>
  <si>
    <t>Chu, Mingyuan/0000-0002-0266-0104</t>
  </si>
  <si>
    <t>We thank the members of the research group for their revising this paper.</t>
  </si>
  <si>
    <t>10.1186/s40359-023-01310-3</t>
  </si>
  <si>
    <t>WOS:001066749200003</t>
  </si>
  <si>
    <t>Tahan, M; Afrooz, G; Bolhari, J</t>
  </si>
  <si>
    <t>Tahan, Mohammad; Afrooz, Gholamali; Bolhari, Jafar</t>
  </si>
  <si>
    <t>Designing, assessing, and effectiveness a psychological interventions program with a robot for children sexual care</t>
  </si>
  <si>
    <t>MIDDLE EAST CURRENT PSYCHIATRY-MECPSYCH</t>
  </si>
  <si>
    <t>Prevention program; Sexual care; Psychological intervention; Children; Robot</t>
  </si>
  <si>
    <t>ABUSE; PREVENTION; PARENTS</t>
  </si>
  <si>
    <t>BackgroundChild sexual abuse has deep and profound effects on personality and growth of children so that it is recognized as one of the major health issues in different countries. A psychological interventions program with a robot was designed and its effects on children sexual care was examined.ResultsThe results showed that experts confirmed and supported 85% of the total content of the program and the sessions, and the program was effective in improving sexual cares in the subjects (p &lt; 0.01).ConclusionThe program to protect children against sexual abuse through empowering them by the skills to protect themselves, recognize good and bad physical touches, and find a trustable adult can be considered as a therapeutic method by consultants, psychologists, and authorities.</t>
  </si>
  <si>
    <t>[Tahan, Mohammad; Afrooz, Gholamali; Bolhari, Jafar] Univ Tehran, Dept Psychol &amp; Except Children Educ, Tehran, Iran; [Tahan, Mohammad; Afrooz, Gholamali; Bolhari, Jafar] Iran Univ Med Sci, Socio Psychiat Dept, Tehran, Iran</t>
  </si>
  <si>
    <t>University of Tehran; Iran University of Medical Sciences</t>
  </si>
  <si>
    <t>Tahan, M (corresponding author), Univ Tehran, Dept Psychol &amp; Except Children Educ, Tehran, Iran.;Tahan, M (corresponding author), Iran Univ Med Sci, Socio Psychiat Dept, Tehran, Iran.</t>
  </si>
  <si>
    <t>Tahan@ut.ac.ir</t>
  </si>
  <si>
    <t>Tahan, Mohammad/N-9252-2017</t>
  </si>
  <si>
    <t>Tahan, Mohammad/0000-0003-2175-4584</t>
  </si>
  <si>
    <t>Further we would also like to express our thankful, gratitude to all the research participants, who participated in this study.</t>
  </si>
  <si>
    <t>2090-5416</t>
  </si>
  <si>
    <t>MIDDLE EAST CURR PSY</t>
  </si>
  <si>
    <t>Middle East Curr. Psychiatry-MECPsych</t>
  </si>
  <si>
    <t>10.1186/s43045-023-00347-9</t>
  </si>
  <si>
    <t>R8VA4</t>
  </si>
  <si>
    <t>WOS:001067065600001</t>
  </si>
  <si>
    <t>Turull, A</t>
  </si>
  <si>
    <t>Turull, Alexandre</t>
  </si>
  <si>
    <t>Abelian groups acting irreducibly and bilinear forms</t>
  </si>
  <si>
    <t>ARCHIV DER MATHEMATIK</t>
  </si>
  <si>
    <t>Finite groups; Representations; Symplectic group; Bilinear forms</t>
  </si>
  <si>
    <t>We give an elementary proof of the following result. Let C be an abelian and irreducible subgroup of the symplectic group Sp(2m, p). Then C is cyclic and embeds in the (multiplicative) subgroup of order p(m) + 1 of the field of order p(2m). The proof yields, in fact, a similar result for nonsingular bilinear forms more generally.</t>
  </si>
  <si>
    <t>[Turull, Alexandre] Univ Florida, Dept Math, Gainesville, FL 32611 USA</t>
  </si>
  <si>
    <t>State University System of Florida; University of Florida</t>
  </si>
  <si>
    <t>Turull, A (corresponding author), Univ Florida, Dept Math, Gainesville, FL 32611 USA.</t>
  </si>
  <si>
    <t>turull@ufl.edu</t>
  </si>
  <si>
    <t>0003-889X</t>
  </si>
  <si>
    <t>1420-8938</t>
  </si>
  <si>
    <t>ARCH MATH</t>
  </si>
  <si>
    <t>Arch. Math.</t>
  </si>
  <si>
    <t>s00013-023-01918-2</t>
  </si>
  <si>
    <t>10.1007/s00013-023-01918-2</t>
  </si>
  <si>
    <t>S1EN5</t>
  </si>
  <si>
    <t>WOS:001068669700001</t>
  </si>
  <si>
    <t>Cai, J; Lombaerts, K</t>
  </si>
  <si>
    <t>Cai, Juan; Lombaerts, Koen</t>
  </si>
  <si>
    <t>Self-regulation matters: Examining the relationship between classroom learning environments and student motivation through structural equation modeling</t>
  </si>
  <si>
    <t>SOCIAL PSYCHOLOGY OF EDUCATION</t>
  </si>
  <si>
    <t>Classroom learning environment; Student motivation; Self-regulation; Differentiated instruction; Ongoing assessment</t>
  </si>
  <si>
    <t>SCHOOL STUDENTS; DIFFERENTIATED INSTRUCTION; FORMATIVE ASSESSMENT; GOAL STRUCTURES; ACHIEVEMENT; PERCEPTIONS; AUTONOMY; BELIEFS; COMPETENCE; REFLECTION</t>
  </si>
  <si>
    <t>The classroom learning environment plays a crucial role in promoting student motivation. With this in mind, this study investigates the relationship between classroom learning environments and student motivation via self-regulation as a mediator. We collected data from 2033 students and analyzed them using structural equation modeling. Task orientation, ongoing assessment, teacher support, cooperation, equity, involvement, and differentiated instruction in the classroom learning environment were found to be related to student motivation. Furthermore, our results suggest that self-regulation mediates the relationship between ongoing assessment, equity, teacher support, task orientation, cooperation, and student motivation. We discussed the implications of these findings for classroom orientation.</t>
  </si>
  <si>
    <t>[Cai, Juan; Lombaerts, Koen] Vrije Univ Brussel, Dept Educ Sci, Pleinlaan 2 B, B-1050 Brussels, Belgium</t>
  </si>
  <si>
    <t>Vrije Universiteit Brussel</t>
  </si>
  <si>
    <t>Cai, J (corresponding author), Vrije Univ Brussel, Dept Educ Sci, Pleinlaan 2 B, B-1050 Brussels, Belgium.</t>
  </si>
  <si>
    <t>Juan.cai@vub.be; koen.lombaerts@vub.be</t>
  </si>
  <si>
    <t>Cai, Juan/0000-0002-0009-1104</t>
  </si>
  <si>
    <t>1381-2890</t>
  </si>
  <si>
    <t>1573-1928</t>
  </si>
  <si>
    <t>SOC PSYCHOL EDUC</t>
  </si>
  <si>
    <t>Soc. Psychol. Educ.</t>
  </si>
  <si>
    <t>2023 SEP 14</t>
  </si>
  <si>
    <t>10.1007/s11218-023-09827-6</t>
  </si>
  <si>
    <t>R7EK5</t>
  </si>
  <si>
    <t>WOS:001065946000002</t>
  </si>
  <si>
    <t>D'Antoni, S; Schiavi, S; Buzzelli, V; Giuffrida, S; Feo, A; Ascone, F; Busceti, CL; Nicoletti, F; Trezza, V; Catania, MV</t>
  </si>
  <si>
    <t>D'Antoni, Simona; Schiavi, Sara; Buzzelli, Valeria; Giuffrida, Samuele; Feo, Alessandro; Ascone, Fabrizio; Busceti, Carla Letizia; Nicoletti, Ferdinando; Trezza, Viviana; Catania, Maria Vincenza</t>
  </si>
  <si>
    <t>Group I and group II metabotropic glutamate receptors are upregulated in the synapses of infant rats prenatally exposed to valproic acid</t>
  </si>
  <si>
    <t>mGlu1 receptors; mGlu5 receptors; mGlu2/3 receptors; Valproic acid; Ultrasonic vocalization; Autism spectrum disorder; LY341495; MTEP</t>
  </si>
  <si>
    <t>MENTAL-RETARDATION PROTEIN; FRAGILE-X; MOUSE MODEL; HOMER-PROTEINS; SYNAPTIC PLASTICITY; AUTISM; INHIBITION; EXPRESSION; BEHAVIOR; PHENOTYPES</t>
  </si>
  <si>
    <t>RationaleAutism spectrum disorder (ASD) is a neurodevelopmental disorder characterized by impaired social interaction and restricted/stereotyped behavior. Prenatal exposure to valproic acid (VPA) is associated with an increased risk of developing ASD in humans and autistic-like behaviors in rodents. Increasing evidence indicates that dysfunctions of glutamate receptors at synapses are associated with ASD. In the VPA rat model, an involvement of glutamate receptors in autism-like phenotypes has been suggested; however, few studies were carried out on metabotropic glutamate (mGlu) receptors.ObjectivesWe examined the protein expression levels of group I (mGlu1 and mGlu5) and group II (mGlu2/3) mGlu receptors in rats prenatally exposed to VPA and evaluated the effect of mGlu receptor modulation on an early autism-like phenotype in these animals.MethodsWe used western blotting analysis on synaptosomes obtained from forebrain of control and VPA rats at different ages (postnatal day P13, 35, 90) and carried out ultrasonic vocalization (USV) emission test in infant control and VPA rats.ResultsThe expression levels of all these receptors were significantly increased in infant VPA rats. No changes were detected in adolescent and adult rats. An acute treatment with the preferential mGlu2/3 antagonist, LY341495, attenuated the impairment in the USV emission in VPA rats. No effect was observed after a treatment with the mGlu5 selective antagonist, MTEP.ConclusionsOur findings demonstrate that the expression of group I and group II mGlu receptors is upregulated at synapses of infant VPA rats and suggest that mGlu2/3 receptor modulation may have a therapeutic potential in ASD.</t>
  </si>
  <si>
    <t>[D'Antoni, Simona; Giuffrida, Samuele; Catania, Maria Vincenza] Natl Res Council IRIB CNR, Inst Biomed Res &amp; Innovat, Catania, Italy; [Schiavi, Sara; Buzzelli, Valeria; Feo, Alessandro; Ascone, Fabrizio; Trezza, Viviana] Univ Roma Tre, Dept Sci, Sect Biomed Sci &amp; Technol, Rome, Italy; [Busceti, Carla Letizia; Nicoletti, Ferdinando] IRCCS Neuromed, Pozzilli, Italy; [Nicoletti, Ferdinando] Sapienza Univ, Dept Physiol &amp; Pharmacol, Rome, Italy; [Trezza, Viviana] IRCCS Fdn Santa Lucia, Neuroendocrinol Metab &amp; Neuropharmacol Unit, Rome, Italy</t>
  </si>
  <si>
    <t>Consiglio Nazionale delle Ricerche (CNR); Istituto Ricerca l'Innovazione Biomedica (IRIB-CNR); Roma Tre University; Italfarmaco; IRCCS Neuromed; Sapienza University Rome; IRCCS Santa Lucia</t>
  </si>
  <si>
    <t>Catania, MV (corresponding author), Natl Res Council IRIB CNR, Inst Biomed Res &amp; Innovat, Catania, Italy.</t>
  </si>
  <si>
    <t>mariavincenza.catania@cnr.it</t>
  </si>
  <si>
    <t>Institute for Bio-medical Research and Innovation, National Research Council (IRIB-CNR), Catania, Italy; Department of Science, Section of Biomedical Sciences and Technologies, University Roma Tre, Rome, Italy</t>
  </si>
  <si>
    <t>Funding for this study was provided by the Institute for Bio-medical Research and Innovation, National Research Council (IRIB-CNR), Catania, Italy, and by the Department of Science, Section of Biomedical Sciences and Technologies, University Roma Tre, Rome, Italy. IRIB-CNR and University Roma Tre had no further role in the study design; in the collection, analysis, and interpretation of the data; in the writing of the report; and in the decision to submit the paper for publication.</t>
  </si>
  <si>
    <t>10.1007/s00213-023-06457</t>
  </si>
  <si>
    <t>R7FC5</t>
  </si>
  <si>
    <t>WOS:001065964300001</t>
  </si>
  <si>
    <t>El Afi, M; Alaoui, M; Hilali, A; Mosaid, H; Barakat, A</t>
  </si>
  <si>
    <t>El Afi, Mohamed; Alaoui, Mustapha; Hilali, Abdessamad; Mosaid, Hassan; Barakat, Ahmed</t>
  </si>
  <si>
    <t>Contribution to the study of landslides in Dir-El Ksiba (Atlas of Beni Mellal, Morocco) using the geological, geotechnical, and geochemical approaches</t>
  </si>
  <si>
    <t>Landslide; Geology; Geotechnics; Geochemistry; Soil; Dir El Ksiba</t>
  </si>
  <si>
    <t>SEDIMENTS; BEHAVIOR; REGION</t>
  </si>
  <si>
    <t>Landslides present major problems in the mountains and hills of the Atlas of Beni Mellal, Morocco. Therefore, the main objective of the present work is to study the relationship between the geological, geotechnical, and geochemical data of the red layers at risk of landslides and to propose adequate solutions to limit the risk of these landslides. Atterberg limits were made to classify soil samples into swelling or non-swelling. Liquidity and plasticity limits ranged from 38 to 41 and 16 to 21, respectively, favoring the instability of the slopes along these hills, especially during the rainy period. The physicochemical and mineralogical analysis showed that the studied soil is alkaline, strongly rich in carbonates with higher levels of Ca, Si, Al, and Fe, with a clayey texture characteristic of the geological formations of the study area. From the geological point of view, this area shows the dominance of marl-limestone and marl-clayey formations and altered basaltic intrusions in some places. The results also showed that these hills present corners of gravity instability due to the geotechnical behavior of the materials during the rainy periods. These results provide decision-makers with valuable data to limit the risks of landslides in this region.</t>
  </si>
  <si>
    <t>[El Afi, Mohamed] Sultan Moulay Slimane Univ, Polydisciplinary Fac, Res Lab Phys &amp; Engn Sci, Team Appl Phys &amp; New Technol, Beni Mellal, Morocco; [El Afi, Mohamed] Sultan Moulay Slimane Univ, Higher Sch Technol, Fkih Ben Salah, Morocco; [Alaoui, Mustapha] Sultan Moulay Slimane Univ, Higher Sch Technol, Multidisciplinary Res Lab Sci Technol &amp; Soc, Khenifra, Morocco; [Hilali, Abdessamad; Mosaid, Hassan; Barakat, Ahmed] Sultan Moulay Slimane Univ, Fac Sci &amp; Tech, Geomat Georesources &amp; Environm Lab, Beni Mellal, Morocco</t>
  </si>
  <si>
    <t>Sultan Moulay Slimane University of Beni Mellal; Sultan Moulay Slimane University of Beni Mellal; Sultan Moulay Slimane University of Beni Mellal; Sultan Moulay Slimane University of Beni Mellal</t>
  </si>
  <si>
    <t>El Afi, M (corresponding author), Sultan Moulay Slimane Univ, Polydisciplinary Fac, Res Lab Phys &amp; Engn Sci, Team Appl Phys &amp; New Technol, Beni Mellal, Morocco.</t>
  </si>
  <si>
    <t>med.elafi@gmail.com</t>
  </si>
  <si>
    <t>10.1007/s43217-023-00150</t>
  </si>
  <si>
    <t>R7EV0</t>
  </si>
  <si>
    <t>WOS:001065956600001</t>
  </si>
  <si>
    <t>Hake, T; Obinger, M; Spallek, M; Rudell, U</t>
  </si>
  <si>
    <t>Hake, Tobias; Obinger, Matthias; Spallek, Michael; Ruedell, Ulrich</t>
  </si>
  <si>
    <t>Effects of preoperative intervention measures in CHD patients in a &amp; nbsp;case report</t>
  </si>
  <si>
    <t>ZENTRALBLATT FUR ARBEITSMEDIZIN ARBEITSSCHUTZ UND ERGONOMIE</t>
  </si>
  <si>
    <t>German</t>
  </si>
  <si>
    <t>Prehabilitation; Cardiac rehabilitation; Preoperative exercise; Physical ability</t>
  </si>
  <si>
    <t>GUIDELINES; SURGERY</t>
  </si>
  <si>
    <t>Background. Coronary heart disease (CHD) has been one of the most common causes of death in Germany for many years. After a bypass surgery people often have a severely limited physical capacity, so that rehabilitation measures are elaborate. Therefore, the aim was to investigate the effects of a preoperative intervention program on the physical performance of CHD patients.Method. A 2-week training program consisting of endurance, strength and breathing training was carried out with 3 patients (diagnosis of 3-vessel CHD) with forthcoming bypass surgery. Diagnostics were carried out at the beginning and end of the preoperative period as well as after the operation and cardiological rehabilitation to examine changes in endurance and strength performance as well as blood values.ResultsThe endurance performance in the 6-min walk test was substantially improved in the preoperative period ( increment +64.6 m). The maximum strength could also be noticeably increased (knee extension: increment +46.2%, leg press: increment +45%, rowing: increment +81.8%). Another relevant change occurred in cholesterol levels ( increment -13.8%). The other blood parameters remained unremarkable as did the spirometry. There were no complications during the preoperative intervention. During the program the participants reported a decreasing Borg rating of perceived exertion scale (15.3 RPE-13.7 RPE).Conclusion. The results of the case report support the reasonable feasibility of preoperative interventions to increase physical performance. The CHD patients can increase the endurance and strength before bypass surgery and support the return to a self-determined life at an early stage. Future investigations should further examine the effects on strength ability and increase the validity with larger samples.</t>
  </si>
  <si>
    <t>[Hake, Tobias; Ruedell, Ulrich] Klinikum Kassel, Reha Zent, Kassel, Germany; [Obinger, Matthias; Spallek, Michael] Deutsche Berufsakad Sport &amp; Gesundheit, Baunatal, Germany; [Hake, Tobias] Klinikum Kassel, Reha Zent, Wilhelmshoher Allee 89 91, D-34125 Kassel, Germany</t>
  </si>
  <si>
    <t>Klinikum Kassel; Klinikum Kassel</t>
  </si>
  <si>
    <t>Hake, T (corresponding author), Klinikum Kassel, Reha Zent, Wilhelmshoher Allee 89 91, D-34125 Kassel, Germany.</t>
  </si>
  <si>
    <t>tobias.hake@gnh.net</t>
  </si>
  <si>
    <t>0944-2502</t>
  </si>
  <si>
    <t>2198-0713</t>
  </si>
  <si>
    <t>ZENTRALBLATT ARB ARB</t>
  </si>
  <si>
    <t>Zentralblatt Arb. Arb. Ergon.</t>
  </si>
  <si>
    <t>10.1007/s40664-023-00515-y</t>
  </si>
  <si>
    <t>S0HN9</t>
  </si>
  <si>
    <t>WOS:001068068500001</t>
  </si>
  <si>
    <t>Jaleel, A; Goud, CSS; Shankar, S; Venkatesh, K</t>
  </si>
  <si>
    <t>Jaleel, Abdul; Surya Goud, C. S.; Shankar, Sapavat; Venkatesh, K.</t>
  </si>
  <si>
    <t>Nourishing the future: exploring the factors influencing minimum diet diversity and minimum acceptable diet among Indian children aged 6-23 months</t>
  </si>
  <si>
    <t>Diet diversity; minimum acceptable diet; child nutrition; India</t>
  </si>
  <si>
    <t>AimThis paper aims to assess the prevalence of minimum diet diversity (MDD) and minimum acceptable diet (MAD) among Indian children aged 6-23 months. Additionally, the study seeks to understand the factors that contribute to children meeting the WHO-recommended criteria for MDD and MAD.MethodWe performed a quantitative analysis of food intake of children aged 6-23 months utilizing nationally representative cross-sectional data from the National Family Health Survey (2019-2021). We calculated the percentage of children within this age group who met the criteria for MDD and MAD. Furthermore, we estimated the predictors of MDD and MAD among these children using logistic regression analyses.ResultsWe found that children aged 6-23 months in India had a remarkably low prevalence of both MDD and MAD, with rates of 25% and 10.5%, respectively. The likelihood of receiving MAD was significantly reduced for children whose mothers had no education and had low body mass index (BMI). While the household's wealth status was found to be significantly associated with MDD, no significant association was observed between wealth status and MAD. We also found a significant association between low diet diversity and wasting, and between MAD and no anaemia.ConclusionIntegrating counselling on IYCF practices into antenatal and postnatal care services should be a priority. Additionally, efforts should be made to increase awareness about the significance of maintaining a diverse and nutritionally balanced diet for children. There should also be a focus on creating awareness about meal frequency for promoting optimal child growth.</t>
  </si>
  <si>
    <t>[Jaleel, Abdul; Surya Goud, C. S.] Natl Inst Nutr NIN, Dept Publ Hlth Nutr, ICMR, Hyderabad, India; [Shankar, Sapavat; Venkatesh, K.] Natl Inst Nutr NIN, Dept Extens &amp; Training, ICMR, Hyderabad, India</t>
  </si>
  <si>
    <t>Indian Council of Medical Research (ICMR); ICMR - National Institute of Nutrition (NIN); Indian Council of Medical Research (ICMR); ICMR - National Institute of Nutrition (NIN)</t>
  </si>
  <si>
    <t>Jaleel, A (corresponding author), Natl Inst Nutr NIN, Dept Publ Hlth Nutr, ICMR, Hyderabad, India.</t>
  </si>
  <si>
    <t>cpjaleel@gmail.com</t>
  </si>
  <si>
    <t>The authors gratefully acknowledge the International Institute of Population Sciences (IIPS), Mumbai, India, and the Demographic and Health Survey (DHS) Program for allowing us to access the NFHS-5 data set.; International Institute of Population Sciences</t>
  </si>
  <si>
    <t>The authors gratefully acknowledge the International Institute of Population Sciences (IIPS), Mumbai, India, and the Demographic and Health Survey (DHS) Program for allowing us to access the NFHS-5 data set.</t>
  </si>
  <si>
    <t>10.1007/s10389-023-02085</t>
  </si>
  <si>
    <t>R6OC5</t>
  </si>
  <si>
    <t>WOS:001065520000001</t>
  </si>
  <si>
    <t>Jeong, E</t>
  </si>
  <si>
    <t>Jeong, Eunha</t>
  </si>
  <si>
    <t>Factors associated with the adoption of extreme weight control behavior by non-obese adolescents: a secondary analysis</t>
  </si>
  <si>
    <t>BMC PEDIATRICS</t>
  </si>
  <si>
    <t>Weight perception; Thinness; Adolescent; Weight control behaviors; Weight loss; Risk factors; Non-obese; Health education</t>
  </si>
  <si>
    <t>RISK-FACTORS; BODY-IMAGE; KOREAN ADOLESCENTS; PERCEPTION; DISSATISFACTION; MISPERCEPTION; OVERWEIGHT; BOYS</t>
  </si>
  <si>
    <t>BackgroundMisperceptions about obesity is common among adolescents. Adolescents who overestimate their body size tend to indulge in extreme weight control behaviors. However, little is known about the factors involved in the adoption of extreme weight control behavior (EWCB) by non-obese adolescents who are mistaken for being overweight. This study identified factors associated with unhealthy behaviors among normal/underweight high school students who overestimate their body image and attempt to lose weight.DesignA secondary analysis of nationally representative data from the Korea Youth Risk Behavior Survey focused on adolescents who attended vocational and academically oriented high schools.MethodsThe analysis included data from 4,286 non-obese respondents (15-18 years) who overestimated their body weight. Of them, 2,887 were girls (66.5%), while 1,399 were boys (33.5%). Multiple logistic regression was used to investigate risk factors for EWCB by sex. A statistical analysis reflecting strata, clusters, and weights of the complex sampling design was adopted.ResultsOf the respondents, 674 (23.3%) girls and 162 (11.5%) boys reported EWCB. For both sexes, vocational high school attendance and depression were significantly influenced by EWCB. EWCB was linked to perceived stress in girls and living in a big city in boys.ConclusionsThe findings suggest the importance of providing quality health education, including that for non-obese adolescents, in school obesity prevention programs along with the expansion of tailored intervention programs based on sex, following a consideration of the characteristics of high schools as well as individuals.</t>
  </si>
  <si>
    <t>[Jeong, Eunha] Pungnap Middle Sch, Seoul, South Korea</t>
  </si>
  <si>
    <t>Jeong, E (corresponding author), Pungnap Middle Sch, Seoul, South Korea.</t>
  </si>
  <si>
    <t>eunhajeong@snu.ac.kr</t>
  </si>
  <si>
    <t>I am especially grateful to Professor Chin-Kang Koh of Seoul National Universityamp;apos;s College of Nursing for her precious support in the writing of this paper.</t>
  </si>
  <si>
    <t>I am especially grateful to Professor Chin-Kang Koh of Seoul National University &amp; apos;s College of Nursing for her precious support in the writing of this paper.</t>
  </si>
  <si>
    <t>1471-2431</t>
  </si>
  <si>
    <t>BMC PEDIATR</t>
  </si>
  <si>
    <t>BMC Pediatr.</t>
  </si>
  <si>
    <t>SEP 14</t>
  </si>
  <si>
    <t>10.1186/s12887-023-04299-1</t>
  </si>
  <si>
    <t>R6OS7</t>
  </si>
  <si>
    <t>WOS:001065536200001</t>
  </si>
  <si>
    <t>Luca, F; Stanica, P</t>
  </si>
  <si>
    <t>Luca, Florian; Stanica, Pantelimon</t>
  </si>
  <si>
    <t>Asymptotics on a class of S-unit integers</t>
  </si>
  <si>
    <t>PERIODICA MATHEMATICA HUNGARICA</t>
  </si>
  <si>
    <t>Congruences; Quadratic characters; S-units; Sieve methods; Mersenne primes</t>
  </si>
  <si>
    <t>In this paper we consider a (non)congruence generalizing the so-called good/bad numbers introduced by Moree (Acta Arith LXXX 3:197-212, 1997) and give asymptotics for their counting functions. In addition, we give heuristics for some conjectured bounds on primes belonging to such a class.</t>
  </si>
  <si>
    <t>[Luca, Florian] Univ Witwatersrand, Sch Math, Private Bag X3, ZA-2050 Johannesburg, South Africa; [Luca, Florian] UNAM, Ctr Ciencias Matemat, Morelia, Mexico; [Stanica, Pantelimon] Naval Postgrad Sch, Appl Math Dept, Monterey, CA 93943 USA</t>
  </si>
  <si>
    <t>University of Witwatersrand; Universidad Nacional Autonoma de Mexico; United States Department of Defense; United States Navy; Naval Postgraduate School</t>
  </si>
  <si>
    <t>Stanica, P (corresponding author), Naval Postgrad Sch, Appl Math Dept, Monterey, CA 93943 USA.</t>
  </si>
  <si>
    <t>Florian.Luca@wits.ac.za; pstanica@nps.edu</t>
  </si>
  <si>
    <t>0031-5303</t>
  </si>
  <si>
    <t>1588-2829</t>
  </si>
  <si>
    <t>PERIOD MATH HUNG</t>
  </si>
  <si>
    <t>Period. Math. Hung.</t>
  </si>
  <si>
    <t>10.1007/s10998-023-00551-4</t>
  </si>
  <si>
    <t>S0GM4</t>
  </si>
  <si>
    <t>WOS:001068041000001</t>
  </si>
  <si>
    <t>Ma, YR; Gan, JB; Bai, YL; Cao, DD; Jiao, YC</t>
  </si>
  <si>
    <t>Ma, Yarui; Gan, Jingbo; Bai, Yinlei; Cao, Dandan; Jiao, Yuchen</t>
  </si>
  <si>
    <t>Minimal residual disease in solid tumors: an overview</t>
  </si>
  <si>
    <t>FRONTIERS OF MEDICINE</t>
  </si>
  <si>
    <t>MRD; solid tumor; CTC; ctDNA</t>
  </si>
  <si>
    <t>CELL LUNG-CANCER; ACUTE MYELOID-LEUKEMIA; ADVANCED RECTAL-CANCER; LIQUID BIOPSY; BREAST-CANCER; FREE DNA; CLINICAL-IMPLICATIONS; NEOADJUVANT TREATMENT; CIRCULATING DNA; FREE SURVIVAL</t>
  </si>
  <si>
    <t>Minimal residual disease (MRD) is termed as the small numbers of remnant tumor cells in a subset of patients with tumors. Liquid biopsy is increasingly used for the detection of MRD, illustrating the potential of MRD detection to provide more accurate management for cancer patients. As new techniques and algorithms have enhanced the performance of MRD detection, the approach is becoming more widely and routinely used to predict the prognosis and monitor the relapse of cancer patients. In fact, MRD detection has been shown to achieve better performance than imaging methods. On this basis, rigorous investigation of MRD detection as an integral method for guiding clinical treatment has made important advances. This review summarizes the development of MRD biomarkers, techniques, and strategies for the detection of cancer, and emphasizes the application of MRD detection in solid tumors, particularly for the guidance of clinical treatment.</t>
  </si>
  <si>
    <t>[Ma, Yarui; Jiao, Yuchen] Chinese Acad Med Sci &amp; Peking Union Med Coll, Natl Canc Ctr, Natl Clin Res Ctr Canc, State Key Lab Mol Oncol,Canc Hosp, Beijing 100021, Peoples R China; [Gan, Jingbo; Bai, Yinlei; Cao, Dandan] Genetron Hlth Beijing Co Ltd, Beijing 102206, Peoples R China</t>
  </si>
  <si>
    <t>Chinese Academy of Medical Sciences - Peking Union Medical College; Cancer Institute &amp; Hospital - CAMS; Peking Union Medical College</t>
  </si>
  <si>
    <t>Jiao, YC (corresponding author), Chinese Acad Med Sci &amp; Peking Union Med Coll, Natl Canc Ctr, Natl Clin Res Ctr Canc, State Key Lab Mol Oncol,Canc Hosp, Beijing 100021, Peoples R China.</t>
  </si>
  <si>
    <t>jiaoyuchen@126.com</t>
  </si>
  <si>
    <t>This study is supported by National Key Ramp;amp;D Program of China (Nos. 2021YFC2500900 and 2021YFC2501004), the Chinese Academy of Medical Sciences (CAMS) Innovation Fund for Medical Sciences (CIFMS) (Nos. 2021-1-I2M-018 and 2021-I2M-1-067), and Non-Pro [2021YFC2501004, 2021-1-I2M-018]; National Key Ramp;amp;D Program of China [2021-I2M-1-067, 2022-RC310-08]; Chinese Academy of Medical Sciences (CAMS) Innovation Fund for Medical Sciences (CIFMS); Non-Profit Central Research Institute Fund of Chinese Academy of Medical Sciences; [2021YFC2500900]</t>
  </si>
  <si>
    <t>This study is supported by National Key Ramp;amp;D Program of China (Nos. 2021YFC2500900 and 2021YFC2501004), the Chinese Academy of Medical Sciences (CAMS) Innovation Fund for Medical Sciences (CIFMS) (Nos. 2021-1-I2M-018 and 2021-I2M-1-067), and Non-Pro; National Key Ramp;amp;D Program of China; Chinese Academy of Medical Sciences (CAMS) Innovation Fund for Medical Sciences (CIFMS); Non-Profit Central Research Institute Fund of Chinese Academy of Medical Sciences;</t>
  </si>
  <si>
    <t>This study is supported by National Key R &amp; amp;D Program of China (Nos. 2021YFC2500900 and 2021YFC2501004), the Chinese Academy of Medical Sciences (CAMS) Innovation Fund for Medical Sciences (CIFMS) (Nos. 2021-1-I2M-018 and 2021-I2M-1-067), and Non-Profit Central Research Institute Fund of Chinese Academy of Medical Sciences (No. 2022-RC310-08).</t>
  </si>
  <si>
    <t>2095-0217</t>
  </si>
  <si>
    <t>2095-0225</t>
  </si>
  <si>
    <t>FRONT MED-PRC</t>
  </si>
  <si>
    <t>Front. Med.</t>
  </si>
  <si>
    <t>10.1007/s11684-023-1018-6</t>
  </si>
  <si>
    <t>R6PA3</t>
  </si>
  <si>
    <t>WOS:001065543800001</t>
  </si>
  <si>
    <t>Mao, MQ; Li, KX; Liao, MJ; Chen, F; Hu, XS; Ma, LJ; Ji, JF</t>
  </si>
  <si>
    <t>Mao, Mengqi; Li, Kaixin; Liao, Minjie; Chen, Fang; Hu, Xiaosong; Ma, Lingjun; Ji, Junfu</t>
  </si>
  <si>
    <t>Study on the Interactions Between oral Mucin and Cyanidin 3-O-glucoside: The Effect of Oxidized Quinone</t>
  </si>
  <si>
    <t>FOOD AND BIOPROCESS TECHNOLOGY</t>
  </si>
  <si>
    <t>Oral glycoprotein; Oral lubrication; Anthocyanin; Quinone; Interaction mechanism; Astringency</t>
  </si>
  <si>
    <t>BINDING INTERACTIONS; ANTHOCYANINS; MUCUS; INSIGHTS; MILK</t>
  </si>
  <si>
    <t>Cyanidin 3-O-glucoside (C3G) is believed to combine with oral mucin, thus impairing oral lubrication and leading to the development of oral astringency. When C3G is oxidized into cyanidin 3-O-glucoside quinone (C3GQ), it might covalently interact with cysteine of mucin to enhance astringency. Herein, their detailed interactions at the molecule level were characterized through spectroscopy, isothermal titration calorimetry and determination of free amino and sulfhydryl groups. The results showed that hydrogen bond and van der Waals force were the predominant non-covalent interactions. Furthermore, C3GQ could additionally bind to mucin by forming C-N and C-S bonds since the amino and sulfhydryl groups of mucin decreased by 0.48 mmol/g and 4.14 &amp; mu;mol/g after reacting with C3GQ. Besides, C3GQ had stronger interaction with mucin as the exothermic value of Muc-C3GQ (2513 KJ/mol) was larger than Muc-C3G (60.4 KJ/mol). These findings may explain the phenomenon of increased astringency of anthocyanins after being oxidized into quinones.</t>
  </si>
  <si>
    <t>[Mao, Mengqi; Li, Kaixin; Liao, Minjie; Chen, Fang; Hu, Xiaosong; Ma, Lingjun; Ji, Junfu] China Agr Univ, Natl Engn Res Ctr Fruit &amp; Vegetable Proc, Key Lab Fruit &amp; Vegetable Proc, Minist Agr &amp; Rural Affairs,Coll Food Sci &amp; Nutr En, Beijing 100083, Peoples R China; [Hu, Xiaosong; Ma, Lingjun; Ji, Junfu] China Agr Univ, Xinghua Ind Res Ctr Food Sci &amp; Human Hlth, Xinghua 225700, Peoples R China</t>
  </si>
  <si>
    <t>China Agricultural University; Ministry of Agriculture &amp; Rural Affairs; China Agricultural University</t>
  </si>
  <si>
    <t>Ji, JF (corresponding author), China Agr Univ, Natl Engn Res Ctr Fruit &amp; Vegetable Proc, Key Lab Fruit &amp; Vegetable Proc, Minist Agr &amp; Rural Affairs,Coll Food Sci &amp; Nutr En, Beijing 100083, Peoples R China.;Ji, JF (corresponding author), China Agr Univ, Xinghua Ind Res Ctr Food Sci &amp; Human Hlth, Xinghua 225700, Peoples R China.</t>
  </si>
  <si>
    <t>junfu.ji@cau.edu.cn</t>
  </si>
  <si>
    <t>We also thank the Institute of Microbiology of the Chinese Academy of Sciences (IMCAS) for the assistance in the ITC experiment.; Institute of Microbiology of the Chinese Academy of Sciences</t>
  </si>
  <si>
    <t>We also thank the Institute of Microbiology of the Chinese Academy of Sciences (IMCAS) for the assistance in the ITC experiment.</t>
  </si>
  <si>
    <t>1935-5130</t>
  </si>
  <si>
    <t>1935-5149</t>
  </si>
  <si>
    <t>FOOD BIOPROCESS TECH</t>
  </si>
  <si>
    <t>Food Bioprocess Technol.</t>
  </si>
  <si>
    <t>10.1007/s11947-023-03207</t>
  </si>
  <si>
    <t>Food Science &amp; Technology</t>
  </si>
  <si>
    <t>R7FO9</t>
  </si>
  <si>
    <t>WOS:001065976800001</t>
  </si>
  <si>
    <t>Sayyaed, A; Saraswat, N; Kulkarni, A; Vyawahare, N</t>
  </si>
  <si>
    <t>Sayyaed, Ayesha; Saraswat, Nikita; Kulkarni, Ashish; Vyawahare, Neeraj</t>
  </si>
  <si>
    <t>Neuroprotective action of Smilax china ethanolic bark extract in treatment of a prominent aging disorder: Parkinson's disease induced by rotenone</t>
  </si>
  <si>
    <t>FUTURE JOURNAL OF PHARMACEUTICAL SCIENCES</t>
  </si>
  <si>
    <t>Biochemical; Brain; CAT; GSH; Histopathology; MDA; Parkinsonism; Smilax china; SOD; Spectroscopy; Substantia nigra; TLC; Toxicity; Vagus nerve</t>
  </si>
  <si>
    <t>OXIDATIVE STRESS; PLASMA; MODEL</t>
  </si>
  <si>
    <t>Background Tremors, psychological difficulties, mental health issues, depression, impulsive acts, and other behavioral abnormalities are all symptoms of Parkinson's disease, a neurodegenerative disorder of the central nervous system. Smilax china ethanolic extract was tested for its anti-Parkinson's activity using a Wistar rat model of rotenone-induced Parkinson's disease. Spectroscopic, acute toxicity and pharmacognostic analyses were performed.Result Brownish, the bark of Smilax china included vascular bundles and fibers upon microscopic inspection and alkaloids, carbohydrates, and phenolic substances upon phytochemical analysis. Acute toxicity testing as per Organization for Economic Corporation and Development 423 (OECD 423) on male Wistar rats revealed no harmful effects. The biochemical analysis of rotenone-induced groups revealed a disproportion. Improved body weight, mobility, coordination, and a lower incidence of catalepsy were seen in animals treated with Smilax china ethanolic extract (100 and 200 mg/kg). Smilax china 200 mg/kg extract substantially lowered motor defects determined by catalepsy score using bar test 17.061.74/s against rotenone-induced group 67.593.27/s. It also prevented the brain from oxidative stress by enhancing superoxide dismutase (SOD) levels to 5.440.01 units/mg protein compared to 2.050.104 units/mg protein in the rotenone-induced group. The vagus nerve, substantia nigra, and basal ganglia of the treated groups indicated a reduction in inflammation and alpha-synuclein destruction.Conclusion Based on our research, an ethanolic extract of Smilax china bark provides an effective antioxidant with promising neuroprotective properties in male Wistar rats induced with Parkinson's disease.</t>
  </si>
  <si>
    <t>[Sayyaed, Ayesha; Saraswat, Nikita; Kulkarni, Ashish; Vyawahare, Neeraj] Dr DY Patil Coll Pharm, Dept Pharmaceut, Akurdi, DY Patil Educ Complex,Sect Pradhikaran, Pune 411044, Maharashtra, India</t>
  </si>
  <si>
    <t>Saraswat, N (corresponding author), Dr DY Patil Coll Pharm, Dept Pharmaceut, Akurdi, DY Patil Educ Complex,Sect Pradhikaran, Pune 411044, Maharashtra, India.</t>
  </si>
  <si>
    <t>nikita.saraswat07@gmail.com</t>
  </si>
  <si>
    <t>2314-7245</t>
  </si>
  <si>
    <t>2314-7253</t>
  </si>
  <si>
    <t>FUTUR J PHARM SCI</t>
  </si>
  <si>
    <t>Futur. J. Pharm. Sci.</t>
  </si>
  <si>
    <t>10.1186/s43094-023-00532-x</t>
  </si>
  <si>
    <t>S3OI3</t>
  </si>
  <si>
    <t>WOS:001070291500001</t>
  </si>
  <si>
    <t>Shahi, M; Azarakhshi, F</t>
  </si>
  <si>
    <t>Shahi, Masoumeh; Azarakhshi, Fatemeh</t>
  </si>
  <si>
    <t>Theoretical study of interaction between temozolomide anticancer drug and hydroxyethyl carboxymethyl cellulose nanocarriers for targeted drug delivery by DFT quantum mechanical calculation</t>
  </si>
  <si>
    <t>BMC CHEMISTRY</t>
  </si>
  <si>
    <t>Temozolomide; DFT; NBO analysis; HCM-cellulose</t>
  </si>
  <si>
    <t>ALGINATE; OXAZEPAM</t>
  </si>
  <si>
    <t>In this article for the first time the quantum calculations of 3-methyl-4-oxoimidazo[5,1-d][1,2,3,5]tetrazine-8-carboxamide (Temozolomide) in HCM-Cellulose Substrate are evaluated using the B3LYP/6-31G level of theory. The non-bonded interaction effects of the molecule Temozolomide, HCM-Cellulose on the electronic properties, chemical shift tensors and natural charge have also been detected. Natural bond orbital analysis (NBO) suggests that Temozolomide as an electron donor and HCM-Cellulose acted as an electron acceptor in the Temozolomide/HCM-Cellulose complex. The electronic spectra of the Temozolomide drug and Temozolomide/HCM-Cellulose complex in were calculated by Time-Dependent Density Functional Theory (TD-DFT) for the investigation of the adsorption effect of the Temozolomide drug over HCM-Cellulose on maximum wavelength. As a result, the feasibility of using HCM-Cellulose to deliver Temozolomide to diseased cells has been established.</t>
  </si>
  <si>
    <t>[Shahi, Masoumeh] Islamic Azad Univ, Fac Pharmaceut Chem, Dept Organ Chem, Tehran Med Sci, Tehran, Iran; [Azarakhshi, Fatemeh] Islamic Azad Univ, Dept Chem, Varamin Pishva Branch, Varamin, Iran</t>
  </si>
  <si>
    <t>Islamic Azad University; Islamic Azad University</t>
  </si>
  <si>
    <t>Shahi, M (corresponding author), Islamic Azad Univ, Fac Pharmaceut Chem, Dept Organ Chem, Tehran Med Sci, Tehran, Iran.</t>
  </si>
  <si>
    <t>maso0omeh_21@yahoo.com</t>
  </si>
  <si>
    <t>2661-801X</t>
  </si>
  <si>
    <t>BMC CHEM</t>
  </si>
  <si>
    <t>BMC Chem.</t>
  </si>
  <si>
    <t>10.1186/s13065-023-01029-7</t>
  </si>
  <si>
    <t>R9MO7</t>
  </si>
  <si>
    <t>WOS:001067522800001</t>
  </si>
  <si>
    <t>Thompson, SM</t>
  </si>
  <si>
    <t>Thompson, Scott M.</t>
  </si>
  <si>
    <t>Modulators of GABA(A) receptor-mediated inhibition in the treatment of neuropsychiatric disorders: past, present, and future</t>
  </si>
  <si>
    <t>NEUROPSYCHOPHARMACOLOGY</t>
  </si>
  <si>
    <t>GAMMA-AMINOBUTYRIC-ACID; DORSOLATERAL PREFRONTAL CORTEX; NEGATIVE ALLOSTERIC MODULATION; MAJOR DEPRESSIVE DISORDER; ANTERIOR CINGULATE CORTEX; ALPHA-5 SUBUNIT; CORTICAL INHIBITION; IN-VIVO; BENZODIAZEPINE-RECEPTORS; TONIC INHIBITION</t>
  </si>
  <si>
    <t>The predominant inhibitory neurotransmitter in the brain, ?-aminobutyric acid (GABA), acts at ionotropic GABA(A) receptors to counterbalance excitation and regulate neuronal firing. GABA(A) receptors are heteropentameric channels comprised from subunits derived from 19 different genes. GABAA receptors have one of the richest and well-developed pharmacologies of any therapeutic drug target, including agonists, antagonists, and positive and negative allosteric modulators (PAMs, NAMs). Currently used PAMs include benzodiazepine sedatives and anxiolytics, barbiturates, endogenous and synthetic neurosteroids, and general anesthetics. In this article, I will review evidence that these drugs act at several distinct binding sites and how they can be used to alter the balance between excitation and inhibition. I will also summarize existing literature regarding (1) evidence that changes in GABAergic inhibition play a causative role in major depression, anxiety, postpartum depression, premenstrual dysphoric disorder, and schizophrenia and (2) whether and how GABAergic drugs exert beneficial effects in these conditions, focusing on human studies where possible. Where these classical therapeutics have failed to exert benefits, I will describe recent advances in clinical and preclinical drug development. I will also highlight opportunities to advance a generation of GABAergic therapeutics, such as development of subunit-selective PAMs and NAMs, that are engendering hope for novel tools to treat these devastating conditions.</t>
  </si>
  <si>
    <t>[Thompson, Scott M.] Univ Colorado, Ctr Novel Therapeut, Dept Psychiat, Sch Med, 12700 E 19th Ave, Aurora, CO 80045 USA</t>
  </si>
  <si>
    <t>University of Colorado System; University of Colorado Anschutz Medical Campus</t>
  </si>
  <si>
    <t>Thompson, SM (corresponding author), Univ Colorado, Ctr Novel Therapeut, Dept Psychiat, Sch Med, 12700 E 19th Ave, Aurora, CO 80045 USA.</t>
  </si>
  <si>
    <t>Scott.m.thompson@cuanschutz.edu</t>
  </si>
  <si>
    <t>I am grateful to the members of my laboratory and my collaborators who have taught me much about both GABA actions and drug development, Drs. J. Atack, R. Berman, J. Fischell, T. Gould, M. Kvarta, T. LeGates, T. Troppoli, and P. Zanos. Portions of my work; Kahlert Foundation [R01 MH086828]; NIH</t>
  </si>
  <si>
    <t>I am grateful to the members of my laboratory and my collaborators who have taught me much about both GABA actions and drug development, Drs. J. Atack, R. Berman, J. Fischell, T. Gould, M. Kvarta, T. LeGates, T. Troppoli, and P. Zanos. Portions of my work; Kahlert Foundation; NIH(United States Department of Health &amp; Human ServicesNational Institutes of Health (NIH) - USA)</t>
  </si>
  <si>
    <t>I am grateful to the members of my laboratory and my collaborators who have taught me much about both GABA actions and drug development, Drs. J. Atack, R. Berman, J. Fischell, T. Gould, M. Kvarta, T. LeGates, T. Troppoli, and P. Zanos. Portions of my work with a5 NAMs have been supported by the Kahlert Foundation and the NIH (R01 MH086828).</t>
  </si>
  <si>
    <t>0893-133X</t>
  </si>
  <si>
    <t>1740-634X</t>
  </si>
  <si>
    <t>NEUROPSYCHOPHARMACOL</t>
  </si>
  <si>
    <t>Neuropsychopharmacology</t>
  </si>
  <si>
    <t>10.1038/s41386-023-01728-8</t>
  </si>
  <si>
    <t>S4FH5</t>
  </si>
  <si>
    <t>WOS:001070737200001</t>
  </si>
  <si>
    <t>Vaishya, R; Iyengar, KP; Jain, VK; Vaish, A</t>
  </si>
  <si>
    <t>Vaishya, Raju; Iyengar, Karthikeyan P.; Jain, Vijay Kumar; Vaish, Abhishek</t>
  </si>
  <si>
    <t>Demystifying the Risk Factors and Preventive Measures for Osteoporosis</t>
  </si>
  <si>
    <t>Osteoporosis; Fragility fracture; Spinal fractures; Fracture risk; Risk factors; Fracture risk assessment; Bone mineral density</t>
  </si>
  <si>
    <t>BONE-MINERAL DENSITY; BODY-MASS INDEX; FRACTURE RISK; POSTMENOPAUSAL WOMEN; VERTEBRAL FRACTURES; HIP FRACTURE; BMD; MEN; METAANALYSIS; CONSUMPTION</t>
  </si>
  <si>
    <t>BackgroundOsteoporosis is a major health problem, globally. It is characterized by structural bone weakness leading to an increased risk of fragility fractures. These fractures commonly affect the spine, hip and wrist bones. Consequently, Osteoporosis related proximal femur and vertebral fractures represent a substantial, growing social and economic burden on healthcare systems worldwide. Indentification of the risk factors, clinical risk assessment, utilization of risk assessment tools and appropriate management that play a crucial role in reducing the burden of Osteoporosis by tackling modifiable risk factors.MethodsThis chapter explores various risk factors that are associated with Osteoporosis and provides an overview of various clinical and diagnostic risk assessment tools with a particular emphasis on evidence-based strategies for their prevention.ConclusionThe role of emerging technologies such as Artificial Intelligence (AI) and perspectives such as newer diagnostic modalities, monitoring and surveillance approaches in prevention of risk factors in the pathogenesis of Osteoporosis is highlighted.</t>
  </si>
  <si>
    <t>[Vaishya, Raju; Vaish, Abhishek] Indraprastha Apollo Hosp, Dept Orthopaed, New Delhi 110076, India; [Iyengar, Karthikeyan P.] Southport &amp; Ormskirk Hosp NHS Trust, Dept Orthopaed, Southport, England; [Jain, Vijay Kumar] Dr Ram Manohar Lohia Hosp, Atal Bihari Vajpayee Inst Med Sci, Dept Orthopaed Surg, New Delhi 110001, India</t>
  </si>
  <si>
    <t>Vaishya, R (corresponding author), Indraprastha Apollo Hosp, Dept Orthopaed, New Delhi 110076, India.</t>
  </si>
  <si>
    <t>raju.vaishya@gmail.com; kartikp31@hotmail.com; drvijayortho@gmail.com; drabhishekvaish@gmail.com</t>
  </si>
  <si>
    <t>VAISHYA, RAJU/I-3726-2015</t>
  </si>
  <si>
    <t>VAISHYA, RAJU/0000-0002-9577-9533</t>
  </si>
  <si>
    <t>We are grateful to Professor Rajesh Botchu and Dr Filippo Migliorini for helping us in reformatting the bibliography of this review.</t>
  </si>
  <si>
    <t>10.1007/s43465-023-00998-0</t>
  </si>
  <si>
    <t>R8UK7</t>
  </si>
  <si>
    <t>WOS:001067049900002</t>
  </si>
  <si>
    <t>Amini, M; Aliabad, AD; Amiri, E</t>
  </si>
  <si>
    <t>Amini, Moslem; Aliabad, Aliakbar Damaki; Amiri, Ebrahim</t>
  </si>
  <si>
    <t>Analytical modeling of fault current limiter with coreless variable series reactor</t>
  </si>
  <si>
    <t>Analytical modeling; Fault current limiter; Protective device; Variable series reactor</t>
  </si>
  <si>
    <t>COAXIAL CIRCULAR COILS; MUTUAL INDUCTANCE; MAGNETIC FORCE; FORMULA</t>
  </si>
  <si>
    <t>Coreless fault current limiter with variable series reactor is an emerging technology for limiting the amplitude and shortening the fault duration in the power network with simple and reversible operation. The device includes two coaxial, coreless reactors with axial mobility to vary and increase the effective inductance of the network during the short circuit fault. The reactors are automatically returned back to their initial position after the fault is cleared, with minimal net inductance. This paper aims to analytically describe the electromagnetic theory and validate the functionality of the device. For this purpose, the resistance and inductance of the device are first computed at normal condition via the basic theory of engineering electromagnetics. Next, the respective electromechanical performance characteristics such as force, positional displacement of the reactors, and the effective inductance are calculated at the faulty condition. For verification purposes, analytical results are compared against the finite element model.</t>
  </si>
  <si>
    <t>[Amini, Moslem; Aliabad, Aliakbar Damaki] Yazd Univ, Dept Elect Engn, Yazd, Iran; [Amiri, Ebrahim] Calif State Univ Long Beach CSULB, Dept Elect Engn, Long Beach, CA USA</t>
  </si>
  <si>
    <t>University of Yazd</t>
  </si>
  <si>
    <t>Aliabad, AD (corresponding author), Yazd Univ, Dept Elect Engn, Yazd, Iran.</t>
  </si>
  <si>
    <t>moslemamini@stu.yazd.ac.ir; alidamaki@yazd.ac.ir; ebrahim.amiri@csulb.edu</t>
  </si>
  <si>
    <t>2023 SEP 13</t>
  </si>
  <si>
    <t>10.1007/s00202-023-02009-9</t>
  </si>
  <si>
    <t>R6HV5</t>
  </si>
  <si>
    <t>WOS:001065354400001</t>
  </si>
  <si>
    <t>da Silva, ZRJ; Cedrola, F; Rossi, MF; Dias, RJP</t>
  </si>
  <si>
    <t>da Silva, Zacarias Rosalina Joao; Cedrola, Franciane; Rossi, Mariana Fonseca; Dias, Roberto Junio Pedroso</t>
  </si>
  <si>
    <t>Ciliates in domestic ruminants in Africa and the first characterization of ciliates (Alveolata, Ciliophora) in the rumen of domestic caprines of the Landim breed (Capra hircus L) from Mozambique</t>
  </si>
  <si>
    <t>SYMBIOSIS</t>
  </si>
  <si>
    <t>Caprinae; Morphology; Silver impregnation; Ophryoscolecidae; Taxonomy</t>
  </si>
  <si>
    <t>BOS-TAURUS-INDICUS; ZEBU CATTLE; SP-N; MOLECULAR PHYLOGENY; PROTOZOAL FAUNA; SHEEP; GOATS; DIET; LIGHT; ENTODINIOMORPHIDA</t>
  </si>
  <si>
    <t>The rumen is an extremely diverse ecosystem densely colonized by bacteria, methanogenic archaea, fungi, and protists. In the present study, the generic and specific compositions of ciliated protists in the ruminal contents of 28 domestic caprines of the Landim breed (Capra hircus Linnaeus, 1758) from Mozambique were studied, and it is the first record of this nature for the country. Furthermore, we compiled records of ciliates in domestic ruminants reported for six African countries. The morphological characterization of the isolated ciliates, as well as generic density and specific abundance were estimated using semi-permanent techniques preparation. Forty-seven species belonging to ten genera were recorded in the ruminal contents of Mozambique caprines. The average number of ciliates was 49.39 (&amp; PLUSMN; 134.7) x 104/ml of ruminal content. Entodinium caudatum was the most prevalent species, with a 100% prevalence. A review of the available literature in databases was performed to compile genera and species of ciliates in caprines, ovines and bovines, showing that one hundred and twelve species and morphotypes belonging to thirteen genera have already been recorded in six countries of the African continent, namely in Egypt, Libya, Tunisia, South Africa, Kenya, and Tanzania. Tanzania had the most extensive records, with forty-nine described ciliate species. This study is the first effort in reporting the presence and morphologic characterization as well as an estimate of the composition of ciliates in the rumen of Mozambique caprines, as well as the first compilation of ciliates in domestic ruminants in Africa.</t>
  </si>
  <si>
    <t>[da Silva, Zacarias Rosalina Joao] Univ Rovuma, Dept Ciencias Nat Matemat &amp; Tecnol, Nampula, Cabo Delgado, Mozambique; [da Silva, Zacarias Rosalina Joao; Rossi, Mariana Fonseca; Dias, Roberto Junio Pedroso] Univ Fed Juiz de Fora, Lab Protozool, Programa Posgrad Biodiversidade &amp; Conservacao Nat, Campus Univ, BR-36036900 Juiz De Fora, MG, Brazil; [Cedrola, Franciane] Univ Estadual Campinas, Dept Genet Evolucao Microbiol &amp; Imunol, Lab Diversidade Genet, Inst Biol, Campinas, SP, Brazil</t>
  </si>
  <si>
    <t>Universidade Federal de Juiz de Fora; Universidade Estadual de Campinas; Universidade de Sao Paulo</t>
  </si>
  <si>
    <t>da Silva, ZRJ (corresponding author), Univ Rovuma, Dept Ciencias Nat Matemat &amp; Tecnol, Nampula, Cabo Delgado, Mozambique.;da Silva, ZRJ (corresponding author), Univ Fed Juiz de Fora, Lab Protozool, Programa Posgrad Biodiversidade &amp; Conservacao Nat, Campus Univ, BR-36036900 Juiz De Fora, MG, Brazil.</t>
  </si>
  <si>
    <t>zacarosalina@gmail.com; francedrola@gmail.com; mfonsecarossi@gmail.com; rjuniodias@hotmail.com</t>
  </si>
  <si>
    <t>Coordenaao de Aperfeioamento de Pessoal de Nvel Superior (CAPES) [PEC-PG 23038.008071/2018-66]; Fundaao de Amparo Pesquisa do Estado de Minas Gerais (FAPEMIG) [APQ-02929-18, APQ-02099-22]; CNPq</t>
  </si>
  <si>
    <t>Coordenaao de Aperfeioamento de Pessoal de Nvel Superior (CAPES)(Coordenacao de Aperfeicoamento de Pessoal de Nivel Superior (CAPES)); Fundaao de Amparo Pesquisa do Estado de Minas Gerais (FAPEMIG)(Fundacao de Amparo a Pesquisa do Estado de Minas Gerais (FAPEMIG)); CNPq(Conselho Nacional de Desenvolvimento Cientifico e Tecnologico (CNPQ))</t>
  </si>
  <si>
    <t>This study was financed by Coordenacao de Aperfeicoamento de Pessoal de Nivel Superior (CAPES), Programa de Estudantes-Convenio de Pos-Graduacao (PEC-PG 23038.008071/2018-66), and Fundacao de Amparo a Pesquisa do Estado de Minas Gerais (FAPEMIG, APQ-02929-18; APQ-02099-22). CNPq provided a research grant to Roberto Junio Pedroso Dias (Bolsa de Produtividade PQ).</t>
  </si>
  <si>
    <t>0334-5114</t>
  </si>
  <si>
    <t>1878-7665</t>
  </si>
  <si>
    <t>Symbiosis</t>
  </si>
  <si>
    <t>10.1007/s13199-023-00932</t>
  </si>
  <si>
    <t>R6FO5</t>
  </si>
  <si>
    <t>WOS:001065294700001</t>
  </si>
  <si>
    <t>Guan, Y; Yu, BB; Liu, S; Luo, HY; Huang, ST</t>
  </si>
  <si>
    <t>Guan, Ying; Yu, Bin-Bin; Liu, Shuai; Luo, Han-Ying; Huang, Shi-Ting</t>
  </si>
  <si>
    <t>Research trends of radiation induced temporal lobe injury in patients with nasopharyngeal carcinoma from 2000 to 2022: a bibliometric analysis</t>
  </si>
  <si>
    <t>RADIATION ONCOLOGY</t>
  </si>
  <si>
    <t>Temporal lobe injury; Nasopharyngeal carcinoma; Radiation induced complication; Bibliometric analysis</t>
  </si>
  <si>
    <t>INTENSITY-MODULATED-RADIOTHERAPY; RETROSPECTIVE ANALYSIS; NECROSIS; IRRADIATION; VARIABLES; PATTERNS; THERAPY</t>
  </si>
  <si>
    <t>BackgroundIn patients with nasopharyngeal cancer (NPC), radiation-induced temporal lobe injury (TLI) is the most dreaded late-stage complication following radiation therapy (RT). We currently lack a definitive algorithmic administration for this entity. In the meantime, the pathogenesis of TLI and the mechanism-based interventions to prevent or treat this adverse effect remain unknown. To better answer the aforementioned questions, it is necessary to comprehend the intellectual foundations and prospective trends of this field through bibliometric analysis.MethodsArticles were gathered from the Web of Science Core Collection (WoSCC) database between 2000 and 2022. CiteSpace was utilized to create a country/institutional co-authorship network, perform dual-map analysis, and find keywords with citation bursts. VOSviewer was used to build networks based on author co-authorship, journal citation, co-citation analysis of authors, references, and journals, and keyword co-occurrence.ResultsA total of 140 articles and reviews were included in the final analysis. The number of publications has steadily increased with some fluctuations over the years. The country and institution contributing most to this field are the China and Sun Yat-Sen University. Han Fei was the most prolific author, while Lee Awm was the most frequently cited. The analysis of co-occurrence revealed three clusters, including: radiation-induced injury or necrosis in NPC, clinical studies on chemotherapy/radiotherapy complications and survival in recurrent NPC, and IMRT/chemotherapy outcomes and toxicities in head and neck cancer). Most recent keyword bursts were volume, temporal lobe injury, toxicities, model, survival, intensity modulated radiotherapy, induced brain injury, head and neck cancer, and temporal lobe.ConclusionThis study provides some insights of the major areas of interest in the field of radiation-induced TLI in patients with NPC by bibliometric analyses. This study assists scholars in locating collaborators and significant literature in this field, provides guidance for publishing journals, and identifies research hotspots. This analysis acknowledges significant contributions to the discipline and encourages the scientific community to conduct additional research.</t>
  </si>
  <si>
    <t>[Guan, Ying; Yu, Bin-Bin; Luo, Han-Ying; Huang, Shi-Ting] Guangxi Med Univ, Canc Hosp, Dept Radiat Oncol, 71, Hedi Rd, Nanning 530021, Guangxi, Peoples R China; [Liu, Shuai] Sun Yat Sen Univ, Affiliated Hosp 6, Dept Radiotherapy Oncol, Guangzhou 510655, Peoples R China</t>
  </si>
  <si>
    <t>Guangxi Medical University; Sun Yat Sen University</t>
  </si>
  <si>
    <t>Guan, Y (corresponding author), Guangxi Med Univ, Canc Hosp, Dept Radiat Oncol, 71, Hedi Rd, Nanning 530021, Guangxi, Peoples R China.</t>
  </si>
  <si>
    <t>386927552@qq.com</t>
  </si>
  <si>
    <t>Youth Science Foundation of Guangxi Medical University [GXMUYSF201516]</t>
  </si>
  <si>
    <t>Youth Science Foundation of Guangxi Medical University</t>
  </si>
  <si>
    <t>This research was supported by the Youth Science Foundation of Guangxi Medical University (No. GXMUYSF201516).</t>
  </si>
  <si>
    <t>1748-717X</t>
  </si>
  <si>
    <t>RADIAT ONCOL</t>
  </si>
  <si>
    <t>Radiat. Oncol.</t>
  </si>
  <si>
    <t>SEP 13</t>
  </si>
  <si>
    <t>10.1186/s13014-023-02345-x</t>
  </si>
  <si>
    <t>Oncology; Radiology, Nuclear Medicine &amp; Medical Imaging</t>
  </si>
  <si>
    <t>R6PQ1</t>
  </si>
  <si>
    <t>WOS:001065559600002</t>
  </si>
  <si>
    <t>Iljazovic, Z; Jelic, M</t>
  </si>
  <si>
    <t>Iljazovic, Zvonko; Jelic, Matea</t>
  </si>
  <si>
    <t>Computable approximations of a chainable continuum with a computable endpoint</t>
  </si>
  <si>
    <t>ARCHIVE FOR MATHEMATICAL LOGIC</t>
  </si>
  <si>
    <t>Computable topological space; Computable set; Semicomputable set; Chainable continuum</t>
  </si>
  <si>
    <t>SUBSETS; SETS</t>
  </si>
  <si>
    <t>It is known that a semicomputable continuum S in a computable topological space can be approximated by a computable subcontinuum by any given precision under condition that S is chainable and decomposable. In this paper we show that decomposability can be replaced by the assumption that S is chainable from a to b, where a is a computable point.</t>
  </si>
  <si>
    <t>[Iljazovic, Zvonko] Univ Zagreb, Fac Sci, Dept Math, Bijenicka 30, Zagreb 10000, Croatia; [Jelic, Matea] Univ Split, Fac Civil Engn Architecture &amp; Geodesy, Matice Hrvatske 15, Split 21000, Croatia</t>
  </si>
  <si>
    <t>University of Zagreb; University of Split</t>
  </si>
  <si>
    <t>Iljazovic, Z (corresponding author), Univ Zagreb, Fac Sci, Dept Math, Bijenicka 30, Zagreb 10000, Croatia.</t>
  </si>
  <si>
    <t>zilj@math.hr; mkalinic@gradst.hr</t>
  </si>
  <si>
    <t>Croatian Science Foundation [7459 CompStruct]; Croatian Government [KK.01.1.1.02.0027]; European Union through the European Regional Development Fund -the Competitiveness and Cohesion Operational Programme</t>
  </si>
  <si>
    <t>Croatian Science Foundation; Croatian Government; European Union through the European Regional Development Fund -the Competitiveness and Cohesion Operational Programme</t>
  </si>
  <si>
    <t>This work was fully supported by the Croatian Science Foundation under the project 7459 CompStruct. This research is partially supported through project KK.01.1.1.02.0027, a project co-financed by the Croatian Government and the European Union through the European Regional Development Fund -the Competitiveness and Cohesion Operational Programme.</t>
  </si>
  <si>
    <t>0933-5846</t>
  </si>
  <si>
    <t>1432-0665</t>
  </si>
  <si>
    <t>ARCH MATH LOGIC</t>
  </si>
  <si>
    <t>Arch. Math. Log.</t>
  </si>
  <si>
    <t>10.1007/s00153-023-00891-5</t>
  </si>
  <si>
    <t>Mathematics; Logic</t>
  </si>
  <si>
    <t>R6OX1</t>
  </si>
  <si>
    <t>WOS:001065540600001</t>
  </si>
  <si>
    <t>Lipton, JH</t>
  </si>
  <si>
    <t>Lipton, Jeffrey H.</t>
  </si>
  <si>
    <t>The expanding CML treatment landscape: an introspective commentary</t>
  </si>
  <si>
    <t>BLOOD CANCER JOURNAL</t>
  </si>
  <si>
    <t>CHRONIC MYELOID-LEUKEMIA; TREATMENT-FREE REMISSION; DASATINIB; NILOTINIB; IMATINIB</t>
  </si>
  <si>
    <t>[Lipton, Jeffrey H.] Univ Toronto, Princess Margaret Canc Ctr, Leukemia Grp, Toronto, ON, Canada</t>
  </si>
  <si>
    <t>University of Toronto; University Health Network Toronto; Princess Margaret Cancer Centre</t>
  </si>
  <si>
    <t>Lipton, JH (corresponding author), Univ Toronto, Princess Margaret Canc Ctr, Leukemia Grp, Toronto, ON, Canada.</t>
  </si>
  <si>
    <t>jeff.lipton@uhn.ca</t>
  </si>
  <si>
    <t>2044-5385</t>
  </si>
  <si>
    <t>BLOOD CANCER J</t>
  </si>
  <si>
    <t>Blood Cancer J.</t>
  </si>
  <si>
    <t>10.1038/s41408-023-00918-3</t>
  </si>
  <si>
    <t>Oncology; Hematology</t>
  </si>
  <si>
    <t>S1CE7</t>
  </si>
  <si>
    <t>WOS:001068608600001</t>
  </si>
  <si>
    <t>Shackleton, D; Memon, FA; Chen, A; Dutta, S; Kanungo, S; Deb, A</t>
  </si>
  <si>
    <t>Shackleton, Debbie; Memon, Fayyaz Ali; Chen, Albert; Dutta, Shanta; Kanungo, Suman; Deb, Alok</t>
  </si>
  <si>
    <t>The changing relationship between Cholera and interannual climate variables in Kolkata over the past century</t>
  </si>
  <si>
    <t>GUT PATHOGENS</t>
  </si>
  <si>
    <t>Wavelet Analysis; Cholera; ENSO; IOD; Climate</t>
  </si>
  <si>
    <t>INDIAN-OCEAN DIPOLE; VIBRIO-CHOLERAE; EL-NINO; ENDEMIC CHOLERA; BANGLADESH; RAINFALL; ENSO; TEMPERATURE; BRAHMAPUTRA; SALINITY</t>
  </si>
  <si>
    <t>BackgroundIn the Bengal Delta, research has shown that climate and cholera are linked. One demonstration of this is the relationship between interannual ocean-atmospheric oscillations such as the El Nino Southern Oscillation (ENSO) and the Indian Ocean Dipole (IOD). What remains unclear in the present literature is the nature of this relationship in the specific context of Kolkata, and how this relationship may have changed over time.ResultsIn this study, we analyse the changing relationship between ENSO and IOD with cholera in Kolkata over recent (1999-2019) and historical (1897-1941) time intervals. Wavelet coherence analysis revealed significant non-stationary association at 2-4 year and 4-8 year periods between cholera and both interannual timeseries during both time intervals. However, coherence was notably weakened in the recent interval, particularly with regards to ENSO, a result supported by a complementary SARIMA analysis. Similar coherence patterns with temperature indicate it could be an important mediating factor in the relationship between cholera and oscillating climate phenomena in Kolkata.ConclusionsThis study reveals a shifting relationship between cholera and climate variables (ENSO and IOD) in Kolkata, suggesting a decoupling between environmental influences and cholera transmission in recent years. Our results therefore do not suggest that an intensification of ENSO is likely to significantly influence cholera in the region. We also find that the relationship between cholera and interannual climate variables is distinct to Kolkata, highlighting the spatial heterogeneity of the climate-cholera relationship even within the Bengal Delta.</t>
  </si>
  <si>
    <t>[Shackleton, Debbie; Memon, Fayyaz Ali; Chen, Albert] Univ Exeter, Ctr Water Syst, Dept Engn, Exeter EX4 4QF, Devon, England; [Dutta, Shanta; Kanungo, Suman; Deb, Alok] Natl Inst Cholera &amp; Enter Dis, Kolkata, India</t>
  </si>
  <si>
    <t>University of Exeter; Indian Council of Medical Research (ICMR); ICMR - National Institute of Cholera &amp; Enteric Diseases (NICED)</t>
  </si>
  <si>
    <t>Shackleton, D (corresponding author), Univ Exeter, Ctr Water Syst, Dept Engn, Exeter EX4 4QF, Devon, England.</t>
  </si>
  <si>
    <t>dmshackleton@gmail.com</t>
  </si>
  <si>
    <t>Chen, Albert S./E-2735-2010</t>
  </si>
  <si>
    <t>Chen, Albert S./0000-0003-3708-3332</t>
  </si>
  <si>
    <t>We thank the Indian National Institute of Cholera and Enteric Diseases (NICED) for making this work possible.</t>
  </si>
  <si>
    <t>1757-4749</t>
  </si>
  <si>
    <t>GUT PATHOG</t>
  </si>
  <si>
    <t>Gut Pathogens</t>
  </si>
  <si>
    <t>10.1186/s13099-023-00565-w</t>
  </si>
  <si>
    <t>Gastroenterology &amp; Hepatology; Microbiology</t>
  </si>
  <si>
    <t>R6FS1</t>
  </si>
  <si>
    <t>WOS:001065298400001</t>
  </si>
  <si>
    <t>Werner, S; Freg, D; Sarsour, IA</t>
  </si>
  <si>
    <t>Werner, Shirli; Freg, Doaa; Sarsour, Israa Amer</t>
  </si>
  <si>
    <t>Family Stigma and Community Participation of Arab Children and Youth with Disabilities</t>
  </si>
  <si>
    <t>JOURNAL OF CHILD AND FAMILY STUDIES</t>
  </si>
  <si>
    <t>Children; Perception of disability; Stigma; Participation; Arab society in Israel</t>
  </si>
  <si>
    <t>INTELLECTUAL DISABILITIES; ENVIRONMENT MEASURE; AUTISM; MODELS; INVENTORY; DISCOURSE; PATTERNS; PARENTS; LEISURE; SCHOOL</t>
  </si>
  <si>
    <t>Participation of children and youth (hereinafter, children) with disabilities is a core value of all-inclusive societies, but significant barriers, including stigmatic beliefs and perceptions of disability, limit its attainment. Parental perceptions of their children's participation and its correlates play a key role in overcoming barriers and promoting increased participation. This study examined the association between family stigma and Arab parents' perceptions of community participation by their children, and the roles of parents' own participation and their perceptions of disability in this association. Parents of Arab children with disabilities in Israel (N = 162) completed a questionnaire measuring their perceptions of their child's community participation (PEM-CY, frequency and involvement), family stigma (FAMSI), perception of disability (Disability Model Endorsement), and parents' participation (Israeli Assessment of Participation for Adults, frequency and satisfaction). Children's frequency of participation was low, while involvement level was fair. Social perceptions of disability moderated the negative relationship between family stigma and children's participation, and parents' participation mediated this relationship. The findings stress the importance of parents' perceptions of the role and responsibility of society. Parents who adhere to social perspectives of disability may see it as the responsibility of society to lift barriers and develop services and activities, in which their children can be full and equal participants. We examine the association between family stigma and Arab parents' perception of participation of children with disabilities.Family stigma is negatively associated with perception of participation of children with disabilities.Social perception of disability moderates the association between family stigma and perception of children's participation.Parents' participation mediates the negative association between family stigma and perception of children's participation.Society is responsible to lift barriers and develop services in which children can be full and equal participants.</t>
  </si>
  <si>
    <t>[Werner, Shirli; Freg, Doaa; Sarsour, Israa Amer] Hebrew Univ Jerusalem, Paul Baerwald Sch Social Work &amp; Social Welf, Jerusalem, Israel</t>
  </si>
  <si>
    <t>Hebrew University of Jerusalem</t>
  </si>
  <si>
    <t>Werner, S (corresponding author), Hebrew Univ Jerusalem, Paul Baerwald Sch Social Work &amp; Social Welf, Jerusalem, Israel.</t>
  </si>
  <si>
    <t>shirli.werner@mail.huji.ac.il</t>
  </si>
  <si>
    <t>1062-1024</t>
  </si>
  <si>
    <t>1573-2843</t>
  </si>
  <si>
    <t>J CHILD FAM STUD</t>
  </si>
  <si>
    <t>J. Child Fam. Stud.</t>
  </si>
  <si>
    <t>10.1007/s10826-023-02674-1</t>
  </si>
  <si>
    <t>Family Studies; Psychology, Developmental; Psychiatry</t>
  </si>
  <si>
    <t>Family Studies; Psychology; Psychiatry</t>
  </si>
  <si>
    <t>R6GU2</t>
  </si>
  <si>
    <t>WOS:001065326900001</t>
  </si>
  <si>
    <t>Adum, P; Agyare, VA; Owusu-Marfo, J; Agyeman, YN</t>
  </si>
  <si>
    <t>Adum, Prince; Agyare, Veronica Adwoa; Owusu-Marfo, Joseph; Agyeman, Yaa Nyarko</t>
  </si>
  <si>
    <t>Knowledge, attitude and practices of malaria preventive measures among mothers with children under five years in a rural setting of Ghana</t>
  </si>
  <si>
    <t>MALARIA JOURNAL</t>
  </si>
  <si>
    <t>Attitude; Children under 5 years; Factors; Knowledge; Malaria; Mothers; Practice; Prevention</t>
  </si>
  <si>
    <t>COIL</t>
  </si>
  <si>
    <t>Background Malaria remains a major public health concern around the world, particularly in resource-constrained countries. Malaria still accounts for 40% of all Out-Patient Department (OPD) cases in Ghana, with children under the age of five being the most vulnerable group. The study assessed the knowledge, attitudes, and practices of malaria preventive measures among mothers with children under 5 years old in a rural setting in Ghana.Methods A cross-sectional study design with a quantitative approach was used in this study. The study was facility based and involved the use of interviewer administered questionnaires to collect data from 281 mothers with children under the age of five. Simple random sampling method was used to select the respondents. The data collected was analysed using the statistical package for the social sciences (SPSS) version 22 and results presented in tables.Results There were 281 mothers, with 59.4% having children at the age of a year. The findings revealed that the majority of participants have a high level of knowledge about malaria's causes, signs, and symptoms. Again, the majority of participants demonstrated a positive attitude toward malaria prevention, such as seeking treatment at a hospital within 24 h of suspecting their children had malaria and demonstrating good knowledge of malaria prevention practices. Despite this, 35.5% of respondents were not actively engaged in malaria prevention practices in a day prior to the interview. Respondents' occupation, level of education, and religion had a statistically significant association with mothers' attitude towards prevention (p-values &lt; 0.05 and 0.01).Conclusion The study's findings clearly demonstrate that the majority of mothers were knowledgeable about the causes, signs and symptoms, and preventive measures of malaria in children under the age of five. There was also statistically significant association between mothers' demographic information, including level of education, occupation, religion, and their attitude towards malaria prevention. A keen interest should be directed toward the consistent application of low-cost preventive measures.</t>
  </si>
  <si>
    <t>[Adum, Prince] Kintampo Municipal Govt Hosp, Kintampo, Bono East Regio, Ghana; [Agyare, Veronica Adwoa] Ghana Coll Nurses &amp; Midw, Kumasi, Ashanti Region, Ghana; [Owusu-Marfo, Joseph] Univ Dev Studies, Sch Publ Hlth, Dept Epidemiol Biostat &amp; Dis Control, Tamale, Northern Region, Ghana; [Agyeman, Yaa Nyarko] Univ Dev Studies, Sch Publ Hlth, Dept Populat &amp; Reprod Hlth, Tamale, Northern Region, Ghana; [Agyare, Veronica Adwoa] SDA Nursing &amp; Midwifery Training Coll Kwadaso, Minist Hlth Training Inst, Kumasi, Ghana</t>
  </si>
  <si>
    <t>University for Development Studies; University for Development Studies</t>
  </si>
  <si>
    <t>Owusu-Marfo, J (corresponding author), Univ Dev Studies, Sch Publ Hlth, Dept Epidemiol Biostat &amp; Dis Control, Tamale, Northern Region, Ghana.</t>
  </si>
  <si>
    <t>omjoseph@uds.edu.gh</t>
  </si>
  <si>
    <t>1475-2875</t>
  </si>
  <si>
    <t>MALARIA J</t>
  </si>
  <si>
    <t>Malar. J.</t>
  </si>
  <si>
    <t>SEP 12</t>
  </si>
  <si>
    <t>10.1186/s12936-023-04702-3</t>
  </si>
  <si>
    <t>Infectious Diseases; Parasitology; Tropical Medicine</t>
  </si>
  <si>
    <t>R8RJ4</t>
  </si>
  <si>
    <t>WOS:001066970400001</t>
  </si>
  <si>
    <t>Bhuiyan, H; Governatori, G; Rakotonirainy, A; Wong, MW; Mahajan, A</t>
  </si>
  <si>
    <t>Bhuiyan, Hanif; Governatori, Guido; Rakotonirainy, Andry; Wong, Meng Weng; Mahajan, Avishkar</t>
  </si>
  <si>
    <t>Driving Decision Making of Autonomous Vehicle According to Queensland Overtaking Traffic Rules</t>
  </si>
  <si>
    <t>REVIEW OF SOCIONETWORK STRATEGIES</t>
  </si>
  <si>
    <t>Autonomous vehicle; Driving decision; Overtaking; Defeasible deontic logic</t>
  </si>
  <si>
    <t>Improving the safety of autonomous vehicles (AVs) by making driving decisions in accordance with traffic rules is a complex task. Traffic rules are often expressed in a way that allows for interpretation and exceptions, making it difficult for AVs to follow them. This paper proposes a novel methodology for driving decision making in AVs based on defeasible deontic logic (DDL). We use DDL to formalize traffic rules and facilitate automated reasoning, allowing for the effective handling of rule exceptions and the resolution of vague terms in rules. To supplement the information provided by traffic rules, we incorporate an ontology for AV driving behaviour and environment information. By applying automated reasoning to formalized traffic rules and ontology-based AV driving information, our methodology enables AVs to make driving decisions in accordance with traffic rules. We present a case study focussing on the overtaking traffic rule to illustrate the usefulness of our methodology. Our evaluation demonstrates the effectiveness of the proposed driving decision-making methodology, highlighting its potential to improve the safety of AVs on the road.</t>
  </si>
  <si>
    <t>[Bhuiyan, Hanif] Monash Univ, Monash Data Futures Inst, Melbourne, Vic, Australia; [Bhuiyan, Hanif; Rakotonirainy, Andry] Queensland Univ Technol, CARRS Q, Brisbane, Qld, Australia; [Governatori, Guido; Wong, Meng Weng; Mahajan, Avishkar] Singapore Management Univ, Ctr Computat Law, Singapore, Singapore</t>
  </si>
  <si>
    <t>Monash University; Queensland University of Technology (QUT); Singapore Management University</t>
  </si>
  <si>
    <t>Bhuiyan, H (corresponding author), Monash Univ, Monash Data Futures Inst, Melbourne, Vic, Australia.;Bhuiyan, H (corresponding author), Queensland Univ Technol, CARRS Q, Brisbane, Qld, Australia.</t>
  </si>
  <si>
    <t>hanif.bhuiyan@monash.edu; gvdgdo@gmail.com; r.andry@qut.edu.au; mwwong@smu.edu.sg; avishkarm@smu.edu.sg</t>
  </si>
  <si>
    <t>This research is supported by the National Research Foundation, Singapore under its Industry Alignment Fund - Pre-positioning (IAF-PP) Funding Initiative. Any opinions, findings and conclusions or recommendations expressed in this material are those of the; National Research Foundation, Singapore under its Industry Alignment Fund - Pre-positioning (IAF-PP) Funding Initiative</t>
  </si>
  <si>
    <t>This research is supported by the National Research Foundation, Singapore under its Industry Alignment Fund - Pre-positioning (IAF-PP) Funding Initiative. Any opinions, findings and conclusions or recommendations expressed in this material are those of the; National Research Foundation, Singapore under its Industry Alignment Fund - Pre-positioning (IAF-PP) Funding Initiative(National Research Foundation of Korea)</t>
  </si>
  <si>
    <t>This research is supported by the National Research Foundation, Singapore under its Industry Alignment Fund - Pre-positioning (IAF-PP) Funding Initiative. Any opinions, findings and conclusions or recommendations expressed in this material are those of the author(s) and do not reflect the views of National Research Foundation, Singapore.</t>
  </si>
  <si>
    <t>2523-3173</t>
  </si>
  <si>
    <t>1867-3236</t>
  </si>
  <si>
    <t>REV SOCIONETWORK STR</t>
  </si>
  <si>
    <t>Rev. Socionetwork Strateg.</t>
  </si>
  <si>
    <t>2023 SEP 12</t>
  </si>
  <si>
    <t>10.1007/s12626-023-00147</t>
  </si>
  <si>
    <t>Computer Science, Information Systems</t>
  </si>
  <si>
    <t>R6KX2</t>
  </si>
  <si>
    <t>WOS:001065436400001</t>
  </si>
  <si>
    <t>De La Fuente, MO; Cabo, C; Roca-Pardinas, J; Loudermilk, EL; Ordonez, C</t>
  </si>
  <si>
    <t>De La Fuente, Manuel Oviedo; Cabo, Carlos; Roca-Pardinas, Javier; Loudermilk, E. Louise; Ordonez, Celestino</t>
  </si>
  <si>
    <t>3D Point Cloud Semantic Segmentation Through Functional Data Analysis</t>
  </si>
  <si>
    <t>JOURNAL OF AGRICULTURAL BIOLOGICAL AND ENVIRONMENTAL STATISTICS</t>
  </si>
  <si>
    <t>Laser scanning; Multiscale analysis; Functional data; Multiclass classification; Variable selection</t>
  </si>
  <si>
    <t>DATA CLASSIFICATION; VARIABLE SELECTION; FEATURES; MACHINE; MODELS</t>
  </si>
  <si>
    <t>Here, we propose a method for the semantic segmentation of 3D point clouds based on functional data analysis. For each point of a training set, a number of handcrafted features representing the local geometry around it are calculated at different scales, that is, varying the spatial extension of the local analysis. Calculating the scales at small intervals allows each feature to be accurately approximated using a smooth function and, for the problem of semantic segmentation, to be tackled using functional data analysis. We also present a step-wise method to select the optimal features to include in the model based on the calculation of the distance correlation between each feature and the response variable. The algorithm showed promising results when applied to simulated data. When applied to the semantic segmentation of a point cloud of a forested plot, the results proved better than when using a standard multiscale semantic segmentation method. The comparison with two popular deep learning models showed that our proposal requires smaller training samples sizes and that it can compete with these methods in terms of prediction.</t>
  </si>
  <si>
    <t>[De La Fuente, Manuel Oviedo] Univ A Coruna, Fac Informat, Dept Math, CITIC, Campus Elvina S-N, La Coruna 15071, Spain; [Cabo, Carlos] Swansea Univ, Fac Sci &amp; Engn, Singleton Campus, Swansea, Wales; [Cabo, Carlos; Ordonez, Celestino] Univ Oviedo, Escuela Politecn Mieres, Dept Min Exploitat &amp; Prospecting, Mieres 33600, Spain; [Roca-Pardinas, Javier] Univ Vigo, Galician Ctr Math Res &amp; Technol CITMAga, Dept Stat, Vigo, Spain; [Loudermilk, E. Louise] US Forest Serv, USDA, Ctr Forest Disturbance Sci, Southern Res Stn, 320 Green St, Athens, GA 30602 USA</t>
  </si>
  <si>
    <t>Universidade da Coruna; Swansea University; University of Oviedo; Universidade de Vigo; United States Department of Agriculture (USDA); United States Forest Service</t>
  </si>
  <si>
    <t>De La Fuente, MO (corresponding author), Univ A Coruna, Fac Informat, Dept Math, CITIC, Campus Elvina S-N, La Coruna 15071, Spain.</t>
  </si>
  <si>
    <t>manuel.oviedo@udc.es</t>
  </si>
  <si>
    <t>MINECO [PID2020-113578RB-I00 MTM2017-82724-R, PID2020-116587GB-I00]; Xunta de Galicia [ED431C-2020-14, ED431G 2019/01]; Consellena de Cultura, Educacion e Universidade of the Xunta de Galicia; US Department of Defense's Strategic Environmental Research and Development Program [RC19-1119]; UK Natural Environment Research Council [NE/T001194/1]; Spanish Government (Ministry of Universities); European Union (NextGenerationEU) [MU21-UP2021-030]; CRUE-CSIC; Springer Nature</t>
  </si>
  <si>
    <t>MINECO(Spanish Government); Xunta de Galicia(Xunta de Galicia); Consellena de Cultura, Educacion e Universidade of the Xunta de Galicia; US Department of Defense's Strategic Environmental Research and Development Program(United States Department of Defense); UK Natural Environment Research Council(UK Research &amp; Innovation (UKRI)Natural Environment Research Council (NERC)); Spanish Government (Ministry of Universities); European Union (NextGenerationEU)(European Union (EU)Marie Curie Actions); CRUE-CSIC; Springer Nature</t>
  </si>
  <si>
    <t>This research/work was supported by MINECO, PID2020-113578RB-I00 MTM2017-82724-R and PID2020-116587GB-I00 grants, and by the Xunta de Galicia (Grupos de Referencia Competitiva ED431C-2020-14 and Centro de Investigacion del Sistema universitario de Galicia ED431G 2019/01), all of them through the ERDF. CITIC, a Research Center accredited by the Galician University System, is funded by the Consellena de Cultura, Educacion e Universidade of the Xunta de Galicia. It was also funded in part by the US Department of Defense's Strategic Environmental Research and Development Program, project no. RC19-1119. We acknowledge Tall Tim-bers Research Station for their support, including Dr. Robertson and Pebble Hill Plantation. The findings and conclusions in this publication are those of the authors and should not be construed to represent any official USDA or US Government determination or policy. Carlos Cabo received funding from the UK Natural Environment Research Council (NE/T001194/1), and from the Spanish Government (Ministry of Universities) and the European Union (NextGenerationEU), within the project MU21-UP2021-030.Open Access funding provided thanks to the CRUE-CSIC agreement with Springer Nature.</t>
  </si>
  <si>
    <t>1085-7117</t>
  </si>
  <si>
    <t>1537-2693</t>
  </si>
  <si>
    <t>J AGR BIOL ENVIR ST</t>
  </si>
  <si>
    <t>J. Agric. Biol. Environ. Stat.</t>
  </si>
  <si>
    <t>10.1007/s13253-023-00567</t>
  </si>
  <si>
    <t>Biology; Mathematical &amp; Computational Biology; Statistics &amp; Probability</t>
  </si>
  <si>
    <t>Life Sciences &amp; Biomedicine - Other Topics; Mathematical &amp; Computational Biology; Mathematics</t>
  </si>
  <si>
    <t>R5KP9</t>
  </si>
  <si>
    <t>WOS:001064742200001</t>
  </si>
  <si>
    <t>De Wet-Billings, N</t>
  </si>
  <si>
    <t>De Wet-Billings, Nicole</t>
  </si>
  <si>
    <t>Perpetuation of household food insecurity during COVID-19 in South Africa</t>
  </si>
  <si>
    <t>JOURNAL OF HEALTH POPULATION AND NUTRITION</t>
  </si>
  <si>
    <t>Food insecurity; COVID-19; South Africa; Inequality; NIDS CRAM survey</t>
  </si>
  <si>
    <t>HEALTH</t>
  </si>
  <si>
    <t>BackgroundPerpetual food insecurity has long-term health and development effects on populations. The global pandemic created sub-populations that were newly food insecure, but there exists sub-populations were food insecure, and COVID-19 held that situation. This study seeks to identify the demographic and socioeconomic characteristics of the perpetually food insecure in South Africa in order to obtain specific evidence of populations to be prioritised in the post-pandemic era.MethodsSecondary data from the South African National Income Dynamics CRAM Survey for rounds (Waves) 1 and 5 are analysed. The study population are those respondents who reported a household member not having enough food to eat in the early stages of the pandemic (1st round) and remained without sufficient food a year later (5th round). The study controls for the demographic and socioeconomic characteristics of the population but also changes to employment status, social grant access and willingness to be vaccinated. Descriptive and analytical statistical tests are used.ResultsA total of 26.15% of respondents were food insecure at the start of the pandemic. Of these, 41.09% remained food insecure a year later. The drivers of perpetual food insecurity during the pandemic include unemployment (OR = 2.09; CI 1.335293-3.265678), still being unemployed (OR = 1.86; CI 1.308032-2.636252), seven or more (&amp; GE; 7) household members (OR = 1.24; CI 1.1611329-1.610126), those with only a primary education (OR = 1.11; CI 1.5051066-2.434695), participants between the ages of 45 and 64 years old (ORs = 1.03 and 1.20; CIs 1.0171956-1.0171956 and 1.1733304-2.144875, respectively) and women (OR = 1.09; CI 1.0745444-1.406035).ConclusionsSouth Africa needs to address socioeconomic challenges and inequalities to assist the perpetually food insecure and to ensure that, should there be a pandemic resurgence, or a new pandemic, individuals and households in the country are in a better financial situation and appropriately supported to avoid food insecurity at all costs.</t>
  </si>
  <si>
    <t>[De Wet-Billings, Nicole] Univ Witwatersrand, Sch Social Sci &amp; Publ Hlth, Demog &amp; Populat Studies, Johannesburg, South Africa</t>
  </si>
  <si>
    <t>University of Witwatersrand</t>
  </si>
  <si>
    <t>De Wet-Billings, N (corresponding author), Univ Witwatersrand, Sch Social Sci &amp; Publ Hlth, Demog &amp; Populat Studies, Johannesburg, South Africa.</t>
  </si>
  <si>
    <t>Nicole.dewet-billings@wits.ac.za</t>
  </si>
  <si>
    <t>Institute for Advanced Studies in the Humanities at the University of Edinburgh for the fellowship opportunity, South African National Research Foundation for a travel grant to make working in Edinburgh possible.; Institute for Advanced Studies in the Humanities at the University of Edinburgh; South African National Research Foundation</t>
  </si>
  <si>
    <t>Institute for Advanced Studies in the Humanities at the University of Edinburgh for the fellowship opportunity, South African National Research Foundation for a travel grant to make working in Edinburgh possible.; Institute for Advanced Studies in the Humanities at the University of Edinburgh; South African National Research Foundation(National Research Foundation - South Africa)</t>
  </si>
  <si>
    <t>Institute for Advanced Studies in the Humanities at the University of Edinburgh for the fellowship opportunity, South African National Research Foundation for a travel grant to make working in Edinburgh possible.</t>
  </si>
  <si>
    <t>1606-0997</t>
  </si>
  <si>
    <t>2072-1315</t>
  </si>
  <si>
    <t>J HEALTH POPUL NUTR</t>
  </si>
  <si>
    <t>J. Heatlh Popul. Nutr.</t>
  </si>
  <si>
    <t>10.1186/s41043-023-00441-y</t>
  </si>
  <si>
    <t>Environmental Sciences; Public, Environmental &amp; Occupational Health</t>
  </si>
  <si>
    <t>Environmental Sciences &amp; Ecology; Public, Environmental &amp; Occupational Health</t>
  </si>
  <si>
    <t>R5CW8</t>
  </si>
  <si>
    <t>WOS:001064538200001</t>
  </si>
  <si>
    <t>Ding, S</t>
  </si>
  <si>
    <t>Ding, Shuai</t>
  </si>
  <si>
    <t>Interesting and useful, extreme and ultimate: an interview with Prof. Huigao Duan</t>
  </si>
  <si>
    <t>LIGHT-SCIENCE &amp; APPLICATIONS</t>
  </si>
  <si>
    <t>He is an explorer in micro-nano manufacturing, an adventurer in interdisciplinary studies, an impassioned educator; an ever-curious reader, a lover of sports, and a coffee connoisseur. In this episode of Light People Interview, we are honored to have Prof. Huigao Duan from Hunan University share his insights on micro-nano manufacturing, planar optics, teaching, nurturing, reading, growing up, and hobbies. A man with a great smile, a good teacher, and an interesting soul are just some of the descriptions that came through my mind during my conversation with him. Today, let's get to know this outstanding scholar who pursues interesting and useful, extreme and ultimate in micro-nano manufacturing and optics. An outstanding scholar who pursues interesting and useful, extreme and ultimate in micro-nano manufacturing and optics.</t>
  </si>
  <si>
    <t>[Ding, Shuai] Chinese Acad Sci, Changchun Inst Opt Fine Mech &amp; Phys, Light Publishing Grp, 3888 Dong Nan Hu Rd, Changchun 130033, Peoples R China</t>
  </si>
  <si>
    <t>Chinese Academy of Sciences; Changchun Institute of Optics, Fine Mechanics &amp; Physics, CAS</t>
  </si>
  <si>
    <t>Ding, S (corresponding author), Chinese Acad Sci, Changchun Inst Opt Fine Mech &amp; Phys, Light Publishing Grp, 3888 Dong Nan Hu Rd, Changchun 130033, Peoples R China.</t>
  </si>
  <si>
    <t>dingshuai@ciomp.ac.cn</t>
  </si>
  <si>
    <t>2095-5545</t>
  </si>
  <si>
    <t>2047-7538</t>
  </si>
  <si>
    <t>LIGHT-SCI APPL</t>
  </si>
  <si>
    <t>Light-Sci. Appl.</t>
  </si>
  <si>
    <t>10.1038/s41377-023-01261-9</t>
  </si>
  <si>
    <t>R5NA5</t>
  </si>
  <si>
    <t>WOS:001064806100001</t>
  </si>
  <si>
    <t>Goyes, DR</t>
  </si>
  <si>
    <t>Goyes, David Rodriguez</t>
  </si>
  <si>
    <t>National legislative adoption of international wildlife law after treaty ratification</t>
  </si>
  <si>
    <t>CRIME LAW AND SOCIAL CHANGE</t>
  </si>
  <si>
    <t>Bern Convention; CITES; Conflict perspective; International wildlife law; Regime effectiveness; Wildlife crime</t>
  </si>
  <si>
    <t>CRIME</t>
  </si>
  <si>
    <t>Since the 1970s, the world has witnessed a proliferation of international treaties championing the protection of wildlife. The effectiveness of those treaties, which together comprise international wildlife law (IWL), depends on their national implementation by individual states rather than on their number. National implementation of IWL ranges from legislative action, to resource allocation, to individual behavioural change. Inadequate IWL implementation can facilitate and even lead to wildlife crime. Therefore, examining how countries operationalise their commitments derived from IWL is important to understand the efficacy (or lack thereof) of wildlife treaties. The main goal of this article is to investigate the dynamics by which nations internalise international wildlife commitments into state law, by using Norway as a case study. The article thus explores the social dynamics that shaped the domestic legal action that Norway undertook after its ratification of the Convention on International Trade in Endangered Species of Wild Fauna and Flora (CITES) and the Convention on the Conservation of European Wildlife and Natural Habitats (Bern Convention). The study is based on historical data documenting Norway's legislative processes derived from the conventions and historical records of the country's environmental conflicts. It applies Chambliss's sociology of law perspective on conflict to interpret the material. While many globalisation scholars hold that globalisation stripped states of legislative sovereignty, this article argues that Norway's wildlife policy is mostly dependent on clashes between national forces, rather than Norway conceding legislative powers to the international community. In other words, the tension between economic growth and ecosystem conservation determines how Norway implements IWL commitments. This article contributes to the literature on environmental regime effectiveness and the domestic impact of treaties.</t>
  </si>
  <si>
    <t>[Goyes, David Rodriguez] Univ Oslo, Dept Criminol &amp; Sociol Law, Oslo, Norway</t>
  </si>
  <si>
    <t>University of Oslo</t>
  </si>
  <si>
    <t>Goyes, DR (corresponding author), Univ Oslo, Dept Criminol &amp; Sociol Law, Oslo, Norway.</t>
  </si>
  <si>
    <t>d.r.goyes@jus.uio.no</t>
  </si>
  <si>
    <t>University of Oslo (incl Oslo University Hospital)</t>
  </si>
  <si>
    <t>Open access funding provided by University of Oslo (incl Oslo University Hospital).</t>
  </si>
  <si>
    <t>0925-4994</t>
  </si>
  <si>
    <t>1573-0751</t>
  </si>
  <si>
    <t>CRIME LAW SOCIAL CH</t>
  </si>
  <si>
    <t>Crime Law Soc. Change</t>
  </si>
  <si>
    <t>10.1007/s10611-023-10117-7</t>
  </si>
  <si>
    <t>Criminology &amp; Penology; Social Sciences, Interdisciplinary</t>
  </si>
  <si>
    <t>Criminology &amp; Penology; Social Sciences - Other Topics</t>
  </si>
  <si>
    <t>R5JH7</t>
  </si>
  <si>
    <t>WOS:001064707900001</t>
  </si>
  <si>
    <t>Gumbatalieva, EE; Dyatlova, YG</t>
  </si>
  <si>
    <t>Gumbatalieva, E. E.; Dyatlova, Ya. G.</t>
  </si>
  <si>
    <t>Aspects of Formation of Hollow Spherical Ceramic Products by Centrifugal Casting</t>
  </si>
  <si>
    <t>REFRACTORIES AND INDUSTRIAL CERAMICS</t>
  </si>
  <si>
    <t>corundum ceramics slip casting; centrifugal casting; and ceramic hollow spheres</t>
  </si>
  <si>
    <t>This study investigates the relationship between the wall thickness of a hollow ceramic raw body, which is produced through hot casting with centrifugal forces, and the casting mode. The phenomenon of the alternating thickening and thinning of the walls on adjacent octants of a spheroid, which is formed through simultaneous rotation around both the vertical and horizontal axes, has been both experimentally observed and theoretically confirmed.</t>
  </si>
  <si>
    <t>[Gumbatalieva, E. E.; Dyatlova, Ya. G.] Virial LLC, St Petersburg, Russia; [Gumbatalieva, E. E.] St Petersburg State Inst Technol, St Petersburg, Russia</t>
  </si>
  <si>
    <t>Saint Petersburg State Institute of Technology</t>
  </si>
  <si>
    <t>Gumbatalieva, EE (corresponding author), Virial LLC, St Petersburg, Russia.;Gumbatalieva, EE (corresponding author), St Petersburg State Inst Technol, St Petersburg, Russia.</t>
  </si>
  <si>
    <t>gumbatalievaee@gmail.com</t>
  </si>
  <si>
    <t>1083-4877</t>
  </si>
  <si>
    <t>1573-9139</t>
  </si>
  <si>
    <t>REFRACT IND CERAM+</t>
  </si>
  <si>
    <t>Refract. Ind. Ceram.</t>
  </si>
  <si>
    <t>10.1007/s11148-023-00759-4</t>
  </si>
  <si>
    <t>R5JF4</t>
  </si>
  <si>
    <t>WOS:001064705500001</t>
  </si>
  <si>
    <t>Heyhat, MM; Changizi, P; Azartakin, S; Targhi, MZ</t>
  </si>
  <si>
    <t>Heyhat, Mohammad Mahdi; Changizi, Paria; Azartakin, Soroush; Targhi, Mohammad Zabetian</t>
  </si>
  <si>
    <t>Hybrid nanofluids for working fluid in a microchannel heat sink; hydrothermal analysis</t>
  </si>
  <si>
    <t>HEAT AND MASS TRANSFER</t>
  </si>
  <si>
    <t>COOLING PERFORMANCE</t>
  </si>
  <si>
    <t>Hybrid nanofluids with superior thermal characteristics can be a new choice of working fluid in enhancing the heat dissipation rate of microchannels heat sink. Therefore, this paper deals with the hydrothermal characteristics of a microchannel heat sink utilizing MWCNT-Al2O3/water hybrid nanofluids. The thermal conductivity and viscosity of mono and hybrid nanofluids were measured and new experiential correlations were derived. The convective tests were carried out in three different composition ratios as well as two volume fractions of hybrid nanofluids at different Reynolds numbers. The results showed that MWCNT-Al2O3/water hybrid nanofluid at composition ratio of (80:20) and 0.05% vol. had the highest performance evaluation criteria value.</t>
  </si>
  <si>
    <t>[Heyhat, Mohammad Mahdi; Changizi, Paria; Azartakin, Soroush; Targhi, Mohammad Zabetian] Tarbiat Modares Univ, Fac Mech Engn, Tehran, Iran</t>
  </si>
  <si>
    <t>Tarbiat Modares University</t>
  </si>
  <si>
    <t>Heyhat, MM (corresponding author), Tarbiat Modares Univ, Fac Mech Engn, Tehran, Iran.</t>
  </si>
  <si>
    <t>mmheyhat@modares.ac.ir</t>
  </si>
  <si>
    <t>The authors gratefully acknowledge Prof. Mohammad Behshad Shafii for providing us with KD2 Pro thermal analyzer from Sharif University of Technology - Tehran.</t>
  </si>
  <si>
    <t>0947-7411</t>
  </si>
  <si>
    <t>1432-1181</t>
  </si>
  <si>
    <t>HEAT MASS TRANSFER</t>
  </si>
  <si>
    <t>Heat Mass Transf.</t>
  </si>
  <si>
    <t>10.1007/s00231-023-03423-2</t>
  </si>
  <si>
    <t>Thermodynamics; Mechanics</t>
  </si>
  <si>
    <t>R5CO2</t>
  </si>
  <si>
    <t>WOS:001064529600001</t>
  </si>
  <si>
    <t>Ibrahim, AF; Weijermars, R</t>
  </si>
  <si>
    <t>Ibrahim, Ahmed Farid; Weijermars, Ruud</t>
  </si>
  <si>
    <t>Estimation of fracture half-length with fast Gaussian pressure transient and RTA methods: Wolfcamp shale formation case study</t>
  </si>
  <si>
    <t>JOURNAL OF PETROLEUM EXPLORATION AND PRODUCTION TECHNOLOGY</t>
  </si>
  <si>
    <t>Fracture half-length; Formation permeability; Gaussian pressure transient; Rate transient analysis</t>
  </si>
  <si>
    <t>GAS</t>
  </si>
  <si>
    <t>Accurate estimation of fracture half-lengths in shale gas and oil reservoirs is critical for optimizing stimulation design, evaluating production potential, monitoring reservoir performance, and making informed economic decisions. Assessing the dimensions of hydraulic fractures and the quality of well completions in shale gas and oil reservoirs typically involves techniques such as chemical tracers, microseismic fiber optics, and production logs, which can be time-consuming and costly. This study demonstrates an alternative approach to estimate fracture half-lengths using the Gaussian pressure transient (GPT) Method, which has recently emerged as a novel technique for quantifying pressure depletion around single wells, multiple wells, and hydraulic fractures. The GPT method is compared to the well-established rate transient analysis (RTA) method to evaluate its effectiveness in estimating fracture parameters. The study used production data from 11 wells at the hydraulic fracture test site 1 in the Midland Basin of West Texas from Upper and Middle Wolfcamp (WC) formations. The data included flow rates and pressure readings, and the fracture half-lengths of the 11 wells were individually estimated by matching the production data to historical records. The GPT method can calculate the fracture half-length from daily production data, given a certain formation permeability. Independently, the traditional RTA method was applied to separately estimate the fracture half-length. The results of the two methods (GPT and RTA) are within an acceptable, small error margin for all 5 of the Middle WC wells studied, and for 5 of the 6 Upper WC wells. The slight deviation in the case of the Upper WC well is due to the different production control and a longer time for the well to reach constant bottomhole pressure. The estimated stimulated surface area for the Middle and Upper WC wells was correlated to the injected proppant volume and the total fluid production. Applying RTA and GPT methods to the historic production data improves the fracture diagnostics accuracy by reducing the uncertainty in the estimation of fracture dimensions, for given formation permeability values of the stimulated rock volume.</t>
  </si>
  <si>
    <t>[Ibrahim, Ahmed Farid; Weijermars, Ruud] King Fahd Univ Petr &amp; Minerals, Coll Petr Engn &amp; Geosci CPG, Dept Petr Engn, KFUPM, Dhahran 31261, Saudi Arabia; [Ibrahim, Ahmed Farid; Weijermars, Ruud] King Fahd Univ Petr &amp; Minerals, Coll Petr Engn &amp; Geosci CPG, Ctr Integrat Petr Res CIPR, KFUPM, Dhahran 31261, Saudi Arabia</t>
  </si>
  <si>
    <t>King Fahd University of Petroleum &amp; Minerals; King Fahd University of Petroleum &amp; Minerals</t>
  </si>
  <si>
    <t>Ibrahim, AF (corresponding author), King Fahd Univ Petr &amp; Minerals, Coll Petr Engn &amp; Geosci CPG, Dept Petr Engn, KFUPM, Dhahran 31261, Saudi Arabia.;Ibrahim, AF (corresponding author), King Fahd Univ Petr &amp; Minerals, Coll Petr Engn &amp; Geosci CPG, Ctr Integrat Petr Res CIPR, KFUPM, Dhahran 31261, Saudi Arabia.</t>
  </si>
  <si>
    <t>ahmed.ibrahim@kfupm.edu.sa</t>
  </si>
  <si>
    <t>Ibrahim, Ahmed Farid/G-1739-2017</t>
  </si>
  <si>
    <t>Ibrahim, Ahmed Farid/0000-0001-7258-8542</t>
  </si>
  <si>
    <t>King Fahd University of Petroleum amp; Minerals (KFUPM)</t>
  </si>
  <si>
    <t>The authors of this article would like to acknowledge the support provided by King Fahd University of Petroleum &amp; amp; Minerals (KFUPM) to publish this work.</t>
  </si>
  <si>
    <t>2190-0558</t>
  </si>
  <si>
    <t>2190-0566</t>
  </si>
  <si>
    <t>J PET EXPLOR PROD TE</t>
  </si>
  <si>
    <t>J. Pet. Explor. Prod. Technol.</t>
  </si>
  <si>
    <t>10.1007/s13202-023-01694-3</t>
  </si>
  <si>
    <t>Energy &amp; Fuels; Engineering, Petroleum; Geosciences, Multidisciplinary</t>
  </si>
  <si>
    <t>R5JQ3</t>
  </si>
  <si>
    <t>WOS:001064716500001</t>
  </si>
  <si>
    <t>Iwai, Y; Behne, MF; Brinkley-Rubinstein, L</t>
  </si>
  <si>
    <t>Iwai, Yoshiko; Behne, Michael Forrest; Brinkley-Rubinstein, Lauren</t>
  </si>
  <si>
    <t>Death in Prison: increasing transparency on next of kin notification and disposition of remains</t>
  </si>
  <si>
    <t>HEALTH &amp; JUSTICE</t>
  </si>
  <si>
    <t>Prisons; Next-of-kin notification; Communication; Death; Prison policies</t>
  </si>
  <si>
    <t>US PRISONS; HEALTH; POLICIES; PEOPLE; CARE</t>
  </si>
  <si>
    <t>BackgroundPolicies for next-of-kin (NOK) notification and disposition of remains surrounding death are unclear across the United States' (US) carceral systems. The goal of this study was to collect data on carceral system policies pertaining to NOK notification and disposition of remains for individuals who are incarcerated. We collected publicly available operational policies for the Federal Bureau of Prisons, Immigration and Customs Enforcement, 50 state prison systems, and the Washington D.C. jail for a total of 53 systems.ResultsApproximately 70% of systems had available policies on NOK notification and disposition of remains. Few systems had information on time constraints for NOK notification, notifying parties or designated contacts person, and ultimate disposition of unclaimed remains. Several systems had no accessible policies.ConclusionsAcross the US, carceral systems vary in policies for notifying NOK after the death of an incarcerated individual and their processes for the disposition of remains. Carceral and health systems should work towards standardization of policies on communication and disposition of remains after death of an individual who is incarcerated to work towards equity.</t>
  </si>
  <si>
    <t>[Iwai, Yoshiko] Univ N Carolina, Sch Med, 340 MacNider Hall Campus, 333 South Columbia St,Bo, Chapel Hill, NC 27599 USA; [Behne, Michael Forrest; Brinkley-Rubinstein, Lauren] Univ N Carolina, Gillings Sch Global Publ Hlth, Chapel Hill, NC USA; [Behne, Michael Forrest] Duke Univ, Dept Populat Hlth Sci, Durham, NC USA</t>
  </si>
  <si>
    <t>University of North Carolina School of Medicine; University of North Carolina; University of North Carolina Chapel Hill; University of North Carolina; University of North Carolina Chapel Hill; Duke University</t>
  </si>
  <si>
    <t>Iwai, Y (corresponding author), Univ N Carolina, Sch Med, 340 MacNider Hall Campus, 333 South Columbia St,Bo, Chapel Hill, NC 27599 USA.</t>
  </si>
  <si>
    <t>yoshiko_iwai@med.unc.edu</t>
  </si>
  <si>
    <t>Iwai, Yoshiko/0000-0001-9759-384X</t>
  </si>
  <si>
    <t>The authors would like to acknowledge the Third City Project and COVID Prison Project for their foundational work in this study. The authors recognize the importance of research engagement and input from individuals who have directly experienced incarcerat; Third City Project</t>
  </si>
  <si>
    <t>The authors would like to acknowledge the Third City Project and COVID Prison Project for their foundational work in this study. The authors recognize the importance of research engagement and input from individuals who have directly experienced incarceration and acknowledge the member(s) of the research team with this essential perspective.</t>
  </si>
  <si>
    <t>2194-7899</t>
  </si>
  <si>
    <t>HEAL JUSTICE</t>
  </si>
  <si>
    <t>Health Justice</t>
  </si>
  <si>
    <t>10.1186/s40352-023-00232-x</t>
  </si>
  <si>
    <t>Criminology &amp; Penology; Public, Environmental &amp; Occupational Health</t>
  </si>
  <si>
    <t>R7DK7</t>
  </si>
  <si>
    <t>WOS:001065919900001</t>
  </si>
  <si>
    <t>Jachowski, A; Marcinkowski, M; Szydlowski, J; Grabarczyk, O; Nogaj, Z; Marcin, L; Plawski, A; Jagodzinski, PP; Slowikowski, BK</t>
  </si>
  <si>
    <t>Jachowski, Andrzej; Marcinkowski, Mikolaj; Szydlowski, Jakub; Grabarczyk, Oskar; Nogaj, Zuzanna; Marcin, Laz; Plawski, Andrzej; Jagodzinski, Pawel Piotr; Slowikowski, Bartosz Kazimierz</t>
  </si>
  <si>
    <t>Modern therapies of nonsmall cell lung cancer</t>
  </si>
  <si>
    <t>JOURNAL OF APPLIED GENETICS</t>
  </si>
  <si>
    <t>Lung cancer; NSCLC; Immunotherapy; Targeted therapy; CRISPR; Nanoparticles</t>
  </si>
  <si>
    <t>ENDOTHELIAL GROWTH-FACTOR; PHASE-II TRIAL; CHEMOTHERAPY-NAIVE PATIENTS; GUIDED RADIATION-THERAPY; SEQUENTIAL CHEMOTHERAPY; COMBINATION CHEMOTHERAPY; CLINICAL-EXPERIENCE; ACQUIRED-RESISTANCE; PLUS CARBOPLATIN; EGFR MUTATION</t>
  </si>
  <si>
    <t>Lung cancer (LC), particularly nonsmall cell lung cancer (NSCLC), is one of the most prevalent types of neoplasia worldwide, regardless of gender, with the highest mortality rates in oncology. Over the years, treatment for NSCLC has evolved from conventional surgery, chemotherapy, and radiotherapy to more tailored and minimally invasive approaches. The use of personalised therapies has increased the expected efficacy of treatment while simultaneously reducing the frequency of severe adverse effects (AEs). In this review, we discuss established modern approaches, including immunotherapy and targeted therapy, as well as experimental molecular methods like clustered regularly interspaced short palindromic repeat (CRISPR) and nanoparticles. These emerging methods offer promising outcomes and shorten the recovery time for various patients. Recent advances in the diagnostic field, including imaging and genetic profiling, have enabled the implementation of these methods. The versatility of these modern therapies allows for multiple treatment options, such as single-agent use, combination with existing conventional treatments, or incorporation into new regimens. As a result, patients can survive even in the advanced stages of NSCLC, leading to increased survival indicators such as overall survival (OS) and progression-free survival (PFS).</t>
  </si>
  <si>
    <t>[Jachowski, Andrzej; Marcinkowski, Mikolaj; Szydlowski, Jakub; Grabarczyk, Oskar; Nogaj, Zuzanna; Marcin, Laz; Jagodzinski, Pawel Piotr; Slowikowski, Bartosz Kazimierz] Poznan Univ Med Sci, Dept Biochem &amp; Mol Biol, Swiecickiego 6 St, PL-60781 Poznan, Poland; [Plawski, Andrzej] Polish Acad Sci, Inst Human Genet, Strzeszynska 32 St, PL-60479 Poznan, Poland</t>
  </si>
  <si>
    <t>Poznan University of Medical Sciences; Polish Academy of Sciences; Institute of Human Genetics of the Polish Academy of Sciences</t>
  </si>
  <si>
    <t>Slowikowski, BK (corresponding author), Poznan Univ Med Sci, Dept Biochem &amp; Mol Biol, Swiecickiego 6 St, PL-60781 Poznan, Poland.</t>
  </si>
  <si>
    <t>slowikowski.bartek@gmail.com</t>
  </si>
  <si>
    <t>1234-1983</t>
  </si>
  <si>
    <t>2190-3883</t>
  </si>
  <si>
    <t>J APPL GENET</t>
  </si>
  <si>
    <t>J. Appl. Genetics</t>
  </si>
  <si>
    <t>10.1007/s13353-023-00786-4</t>
  </si>
  <si>
    <t>Biotechnology &amp; Applied Microbiology; Genetics &amp; Heredity</t>
  </si>
  <si>
    <t>R9LY2</t>
  </si>
  <si>
    <t>WOS:001067506300001</t>
  </si>
  <si>
    <t>Jin, HR; Wang, J; Wang, ZJ; Xi, MJ; Xia, BH; Deng, K; Yang, JL</t>
  </si>
  <si>
    <t>Jin, Hao-Ran; Wang, Jin; Wang, Zi-Jing; Xi, Ming-Jia; Xia, Bi-Han; Deng, Kai; Yang, Jin-Lin</t>
  </si>
  <si>
    <t>Lipid metabolic reprogramming in tumor microenvironment: from mechanisms to therapeutics</t>
  </si>
  <si>
    <t>JOURNAL OF HEMATOLOGY &amp; ONCOLOGY</t>
  </si>
  <si>
    <t>Lipid metabolism; Tumor microenvironment; Cancer progression; Immune response; Targeted therapy</t>
  </si>
  <si>
    <t>FATTY-ACID OXIDATION; BREAST-CANCER CELLS; COA-DESATURASE 1; CHOLINE KINASE-ALPHA; ATP-CITRATE LYASE; CD8(+) T-CELLS; SUPPRESSOR-CELLS; DENDRITIC CELL; LUNG-CANCER; CHOLESTEROL ESTERIFICATION</t>
  </si>
  <si>
    <t>Lipid metabolic reprogramming is an emerging hallmark of cancer. In order to sustain uncontrolled proliferation and survive in unfavorable environments that lack oxygen and nutrients, tumor cells undergo metabolic transformations to exploit various ways of acquiring lipid and increasing lipid oxidation. In addition, stromal cells and immune cells in the tumor microenvironment also undergo lipid metabolic reprogramming, which further affects tumor functional phenotypes and immune responses. Given that lipid metabolism plays a critical role in supporting cancer progression and remodeling the tumor microenvironment, targeting the lipid metabolism pathway could provide a novel approach to cancer treatment. This review seeks to: (1) clarify the overall landscape and mechanisms of lipid metabolic reprogramming in cancer, (2) summarize the lipid metabolic landscapes within stromal cells and immune cells in the tumor microenvironment, and clarify their roles in tumor progression, and (3) summarize potential therapeutic targets for lipid metabolism, and highlight the potential for combining such approaches with other anti-tumor therapies to provide new therapeutic opportunities for cancer patients.</t>
  </si>
  <si>
    <t>[Jin, Hao-Ran; Wang, Jin; Wang, Zi-Jing; Xi, Ming-Jia; Xia, Bi-Han; Deng, Kai; Yang, Jin-Lin] Sichuan Univ, Dept Gastroenterol &amp; Hepatol, West China Hosp, 37 Guoxue Rd, Chengdu 610041, Sichuan, Peoples R China; [Jin, Hao-Ran; Wang, Jin; Wang, Zi-Jing; Xi, Ming-Jia; Xia, Bi-Han; Deng, Kai; Yang, Jin-Lin] Sichuan Univ, Sichuan Univ Univ Oxford Huaxi Joint Ctr Gastroint, West China Hosp, Frontiers Sci Ctr Dis Related Mol Network, Chengdu, Peoples R China</t>
  </si>
  <si>
    <t>Sichuan University; Sichuan University</t>
  </si>
  <si>
    <t>Deng, K; Yang, JL (corresponding author), Sichuan Univ, Dept Gastroenterol &amp; Hepatol, West China Hosp, 37 Guoxue Rd, Chengdu 610041, Sichuan, Peoples R China.;Deng, K; Yang, JL (corresponding author), Sichuan Univ, Sichuan Univ Univ Oxford Huaxi Joint Ctr Gastroint, West China Hosp, Frontiers Sci Ctr Dis Related Mol Network, Chengdu, Peoples R China.</t>
  </si>
  <si>
    <t>dengkai@wchscu.cn; yangjinlin@wchscu.cn</t>
  </si>
  <si>
    <t>Jin, Haoran/JEF-9236-2023</t>
  </si>
  <si>
    <t>Jin, Haoran/0009-0000-8106-3684</t>
  </si>
  <si>
    <t>1756-8722</t>
  </si>
  <si>
    <t>J HEMATOL ONCOL</t>
  </si>
  <si>
    <t>J. Hematol. Oncol.</t>
  </si>
  <si>
    <t>10.1186/s13045-023-01498-2</t>
  </si>
  <si>
    <t>R5CY0</t>
  </si>
  <si>
    <t>WOS:001064539400001</t>
  </si>
  <si>
    <t>Kako, N; Waugh, CE; Mcrae, K</t>
  </si>
  <si>
    <t>Kako, Nadia; Waugh, Christian E.; Mcrae, Kateri</t>
  </si>
  <si>
    <t>The Future of Immersive Mood Induction in Affective Science: Using Virtual Reality to Test Effects of Mood Context on Task Performance</t>
  </si>
  <si>
    <t>AFFECTIVE SCIENCE</t>
  </si>
  <si>
    <t>Emotion; Virtual reality; Mood induction; Context; Cognitive reappraisal</t>
  </si>
  <si>
    <t>COGNITIVE REAPPRAISAL; POSITIVE EMOTIONS; EXPERIENCE; RESPONSES; METAANALYSIS; JUDGMENT; BROADEN; MEMORY</t>
  </si>
  <si>
    <t>A fundamental premise of affective and clinical science is that fluctuations in mood drive meaningful changes in cognition and behavior. These theories are often tested via laboratory mood induction procedures followed by performing an established task. Despite advances in understanding the temporal dynamics of emotions, it is still unclear whether it is the enduring mood that impacts subsequent task performance. Additionally, this design requires task switching, which may limit the impact of mood and affect task performance. We suggest that virtual reality (VR) offers a more powerful, immersive alternative to traditional mood induction methods and effectively addresses these limitations because it can be used to create mood contexts that occur simultaneously with task performance. VR creates an immersive, real-world experience while benefiting from a well-controlled laboratory setting (Diniz Bernardo et al., 2021). We first summarize the literature on mood induction methodologies, including evidence that VR creates a more immersive environment, leading to mood inductions that are greater in magnitude than other methods. We then report a novel empirical study on the feasibility of utilizing VR to create a mood context that occurs simultaneously with a gold-standard emotion regulation task. Our results indicate that VR was a powerful and enduring positive mood induction tool, resulting in immediate changes in mood and greater trial-by-trial positivity ratings during the concurrent task. Portions of this study were pre-registered on August 3, 2020, on the Clinical Trials website (project citation: https://clinicaltrials.gov/ct2/show/NCT04496258).</t>
  </si>
  <si>
    <t>[Kako, Nadia; Mcrae, Kateri] Univ Denver, Dept Psychol, 2155 S Race St, Denver, CO 80210 USA; [Waugh, Christian E.] Wake Forest Univ, Dept Psychol, 1834 Wake Forest Rd, Winston Salem, NC 27109 USA</t>
  </si>
  <si>
    <t>University of Denver; Wake Forest University</t>
  </si>
  <si>
    <t>Kako, N (corresponding author), Univ Denver, Dept Psychol, 2155 S Race St, Denver, CO 80210 USA.</t>
  </si>
  <si>
    <t>Nadia.Kako@du.edu</t>
  </si>
  <si>
    <t>Waugh, Christian/F-8613-2015</t>
  </si>
  <si>
    <t>Waugh, Christian/0000-0002-7871-5845; Kako, Nadia/0000-0002-0471-3935</t>
  </si>
  <si>
    <t>National Institutes of Health [MH106928]</t>
  </si>
  <si>
    <t>National Institutes of Health(United States Department of Health &amp; Human ServicesNational Institutes of Health (NIH) - USA)</t>
  </si>
  <si>
    <t>We would like to thank Eric Purrington, Steven Flaxman, Alyssa Asmar, John Powers, Andrew Mellor, Megan Burnham, and Hannah Friedman for their contributions to this project. We would also like to acknowledge the funding source, the National Institutes of Health (MH106928), to Kateri McRae and Christian Waugh.</t>
  </si>
  <si>
    <t>2662-2041</t>
  </si>
  <si>
    <t>2662-205X</t>
  </si>
  <si>
    <t>AFFECT SCI</t>
  </si>
  <si>
    <t>Affect. Sci.</t>
  </si>
  <si>
    <t>10.1007/s42761-023-00213-1</t>
  </si>
  <si>
    <t>Psychology; Psychology, Experimental</t>
  </si>
  <si>
    <t>R6KT6</t>
  </si>
  <si>
    <t>WOS:001065432800001</t>
  </si>
  <si>
    <t>Lazecka, M; Kolodziejek, B; Mielniczuk, J</t>
  </si>
  <si>
    <t>Lazecka, Malgorzata; Kolodziejek, Bartosz; Mielniczuk, Jan</t>
  </si>
  <si>
    <t>Analysis of conditional randomisation and permutation schemes with application to conditional independence testing</t>
  </si>
  <si>
    <t>TEST</t>
  </si>
  <si>
    <t>Conditional independence; Conditional mutual information; Kullback-Leibler divergence; Conditional randomisation and permutation</t>
  </si>
  <si>
    <t>We study properties of two resampling scenarios: Conditional Randomisation and Conditional Permutation schemes, which are relevant for testing conditional independence of discrete random variables X and Y given a random variable Z. Namely, we investigate asymptotic behaviour of estimates of a vector of probabilities in such settings, establish their asymptotic normality and ordering between asymptotic covariance matrices. The results are used to derive asymptotic distributions of the empirical Conditional Mutual Information in those set-ups. Somewhat unexpectedly, the distributions coincide for the two scenarios, despite differences in the asymptotic distributions of the estimates of probabilities. We also prove validity of permutation p-values for the Conditional Permutation scheme. The above results justify consideration of conditional independence tests based on resampled p-values and on the asymptotic chi-square distribution with an adjusted number of degrees of freedom. We show in numerical experiments that when the ratio of the sample size to the number of possible values of the triple exceeds 0.5, the test based on the asymptotic distribution with the adjustment made on a limited number of permutations is a viable alternative to the exact test for both the Conditional Permutation and the Conditional Randomisation scenarios. Moreover, there is no significant difference between the performance of exact tests for Conditional Permutation and Randomisation schemes, the latter requiring knowledge of conditional distribution of X given Z, and the same conclusion is true for both adaptive tests.</t>
  </si>
  <si>
    <t>[Lazecka, Malgorzata; Kolodziejek, Bartosz; Mielniczuk, Jan] Warsaw Univ Technol, Fac Math &amp; Informat Sci, Koszykowa 75, PL-00662 Warsaw, Poland; [Lazecka, Malgorzata; Mielniczuk, Jan] Inst Comp Sci, Polish Acad Sci, Jana Kazimierza 5, PL-01248 Warsaw, Poland; [Lazecka, Malgorzata] Univ Warsaw, Fac Math Informat &amp; Mech, Banacha 2, PL-02097 Warsaw, Poland</t>
  </si>
  <si>
    <t>Warsaw University of Technology; Polish Academy of Sciences; Institute of Computer Science of the Polish Academy of Sciences; University of Warsaw</t>
  </si>
  <si>
    <t>Lazecka, M (corresponding author), Warsaw Univ Technol, Fac Math &amp; Informat Sci, Koszykowa 75, PL-00662 Warsaw, Poland.;Lazecka, M (corresponding author), Inst Comp Sci, Polish Acad Sci, Jana Kazimierza 5, PL-01248 Warsaw, Poland.;Lazecka, M (corresponding author), Univ Warsaw, Fac Math Informat &amp; Mech, Banacha 2, PL-02097 Warsaw, Poland.</t>
  </si>
  <si>
    <t>m.lazecka@ipipan.waw.pl; bartosz.kolodziejek@pw.edu.pl; jan.mielniczuk@ipipan.waw.pl</t>
  </si>
  <si>
    <t>NCN Grant [UMO-2022/45/B/ST1/00545]</t>
  </si>
  <si>
    <t>NCN Grant</t>
  </si>
  <si>
    <t>B. Kolodziejek was partially supported by the NCN Grant UMO-2022/45/B/ST1/00545.</t>
  </si>
  <si>
    <t>1133-0686</t>
  </si>
  <si>
    <t>1863-8260</t>
  </si>
  <si>
    <t>TEST-SPAIN</t>
  </si>
  <si>
    <t>Test</t>
  </si>
  <si>
    <t>10.1007/s11749-023-00878-7</t>
  </si>
  <si>
    <t>Statistics &amp; Probability</t>
  </si>
  <si>
    <t>R5CP9</t>
  </si>
  <si>
    <t>WOS:001064531300001</t>
  </si>
  <si>
    <t>Le Brun, C; Benbouriche, M; Tibbels, S</t>
  </si>
  <si>
    <t>Le Brun, Caroline; Benbouriche, Massil; Tibbels, Sarah</t>
  </si>
  <si>
    <t>A Study of Empathy Towards Male Victims of Sexual Violence: The Effects of Gender and Sexism</t>
  </si>
  <si>
    <t>SEXUALITY &amp; CULTURE-AN INTERDISCIPLINARY JOURNAL</t>
  </si>
  <si>
    <t>Empathy; Gender; Disclosure; Sexism; Sexual violence</t>
  </si>
  <si>
    <t>AMBIVALENT SEXISM; DIFFERENTIATING HOSTILE; PARTNER VIOLENCE; RAPE; MEN; PERCEPTIONS; BENEVOLENT; INVENTORY; ATTITUDES; ASSAULT</t>
  </si>
  <si>
    <t>Sexual violence is a major social phenomenon that has serious deleterious consequences on victims, regardless of their gender. However, the disclosure of sexual violence, met with empathy, could help to alleviate the victim's pain by having a positive impact on their psychological wellbeing. Empathy could also reduce harmful attitudes and promote more favorable attitudes towards the victim. Thus, since empathy appears to be essential when listening to the disclosure of sexual violence, it is necessary to study the determinants of these empathetic responses. The current research contributes to the literature by studying empathy towards male victims of sexual violence depending on factors relating to gender and sexism. Both the perpetrator's and participant's gender are taken into account as well as participants' levels of hostile and benevolent sexism towards men. Hostile sexism towards men refers to the antipathy towards men and their domination whereas benevolent sexism can be characterized by a traditional admiration for men's role as protectors. With this objective in mind, 174 participants from the general population were recruited on social networking sites and completed a questionnaire on the LimeSurvey platform. Statistical analyses showed relatively high levels of empathy overall towards male victims of sexual violence. The gender of the perpetrator as well as the gender of the participant do not appear to have a predictive effect on empathy. However, the results do show an impact of hostile and benevolent sexism on empathy; benevolent sexism predicted less empathy whereas hostile sexism predicted more empathy towards male victims of sexual violence in female participants. These findings provide avenues for future research as well as new perspectives for the development of programmes aiming to promote empathy in order to increase positive responses to victims of sexual violence.</t>
  </si>
  <si>
    <t>[Le Brun, Caroline; Benbouriche, Massil; Tibbels, Sarah] Univ Lille, PSITEC Psychologie Interact Temps Emot Cognit, ULR 4072, F-59000 Lille, France; [Le Brun, Caroline] Ctr Educat Ferme, Bergerac, Aquitaine, France; [Benbouriche, Massil] Natl Inst Forens Psychiat Philippe Pinel, Res Ctr, Montreal, PQ, Canada; [Benbouriche, Massil] Domaine Pont Bois, Rue Barreau, F-59650 Villeneuve dAscq, France</t>
  </si>
  <si>
    <t>Universite de Lille - ISITE; Universite de Lille</t>
  </si>
  <si>
    <t>Benbouriche, M (corresponding author), Univ Lille, PSITEC Psychologie Interact Temps Emot Cognit, ULR 4072, F-59000 Lille, France.;Benbouriche, M (corresponding author), Natl Inst Forens Psychiat Philippe Pinel, Res Ctr, Montreal, PQ, Canada.;Benbouriche, M (corresponding author), Domaine Pont Bois, Rue Barreau, F-59650 Villeneuve dAscq, France.</t>
  </si>
  <si>
    <t>massil.benbouriche@univ-lille.fr</t>
  </si>
  <si>
    <t>1095-5143</t>
  </si>
  <si>
    <t>1936-4822</t>
  </si>
  <si>
    <t>SEX CULT</t>
  </si>
  <si>
    <t>Sex. Cult.</t>
  </si>
  <si>
    <t>10.1007/s12119-023-10138-3</t>
  </si>
  <si>
    <t>R5KG3</t>
  </si>
  <si>
    <t>WOS:001064732500001</t>
  </si>
  <si>
    <t>Li, HQ; Wang, ZC; Wang, L; Tan, Y; Chen, F</t>
  </si>
  <si>
    <t>Li, Huiqi; Wang, Zhaocong; Wang, Lei; Tan, Yang; Chen, Feng</t>
  </si>
  <si>
    <t>Optically pumped Milliwatt Whispering-Gallery microcavity laser</t>
  </si>
  <si>
    <t>WAVE; GENERATION; OPERATION; EMISSION; CLAD; NM</t>
  </si>
  <si>
    <t>Whispering-gallery-mode microcavity lasers possess remarkable characteristics such as high Q factors and compact geometries, making them an essential element in the evolution of microlasers. However, solid-state whispering-gallery-mode lasers have previously suffered from low output power and limited optical conversion efficiency, hindering their applications. Here, we present the achievement of milliwatt laser emissions at a wavelength of 1.06 &amp; mu;m from a solid-state whispering-gallery-mode laser. To accomplish this, we construct a whispering-gallery-mode microcavity (with a diameter of 30 &amp; mu;m) using a crystalline Nd: YAG thin film obtained through carbon-implantation enhanced etching of a Nd: YAG crystal. This microcavity laser demonstrates a maximum output power of 1.12 mW and an optical conversion efficiency of 12.4%. Moreover, our unique eccentric microcavity design enables efficient coupling of free-space pump light, facilitating integration with a waveguide. This integration allowed for single-wavelength laser emission from the waveguide, achieving an output power of 0.5 mW and an optical conversion efficiency of 6.18%. Our work opens up new possibilities for advancing solid-state whispering-gallery-mode lasers, providing a viable option for compact photonic sources. We achieve milliwatt laser emissions at 1.06 &amp; mu;m wavelength from a 30 &amp; mu;m solid-state whispering-gallery-mode laser, constructed using Nd:YAG thin films obtained through carbon-implantation enhanced etching of a Nd:YAG crystal.</t>
  </si>
  <si>
    <t>[Li, Huiqi; Wang, Zhaocong; Wang, Lei; Tan, Yang; Chen, Feng] Shandong Univ, Sch Phys, State Key Lab Crystal Mat, Jinan, Peoples R China</t>
  </si>
  <si>
    <t>Shandong University</t>
  </si>
  <si>
    <t>Tan, Y; Chen, F (corresponding author), Shandong Univ, Sch Phys, State Key Lab Crystal Mat, Jinan, Peoples R China.</t>
  </si>
  <si>
    <t>tanyang@sdu.edu.cn; drfchen@sdu.edu.cn</t>
  </si>
  <si>
    <t>National Natural Science Foundation of China [12122508]</t>
  </si>
  <si>
    <t>National Natural Science Foundation of China(National Natural Science Foundation of China (NSFC))</t>
  </si>
  <si>
    <t>This work is supported by the National Natural Science Foundation of China (No. 12122508).</t>
  </si>
  <si>
    <t>10.1038/s41377-023-01264-6</t>
  </si>
  <si>
    <t>R4PI7</t>
  </si>
  <si>
    <t>Green Accepted, gold</t>
  </si>
  <si>
    <t>WOS:001064177700005</t>
  </si>
  <si>
    <t>Ma, H; Zhang, YM; Zhao, XW</t>
  </si>
  <si>
    <t>Ma, Hui; Zhang, Yuanmin; Zhao, Xiaowei</t>
  </si>
  <si>
    <t>Letter to the Editor regarding the article, Short-term outcomes of anterior cruciate ligament reconstruction with or without lateral tenodesis or anterolateral ligament reconstruction: a retrospective cohort</t>
  </si>
  <si>
    <t>INTERNATIONAL ORTHOPAEDICS</t>
  </si>
  <si>
    <t>[Ma, Hui; Zhang, Yuanmin; Zhao, Xiaowei] Jining Med Univ, Affiliated Hosp, Dept Joint Surg &amp; Sports Med, Jining 272029, Shandong, Peoples R China</t>
  </si>
  <si>
    <t>Jining Medical University</t>
  </si>
  <si>
    <t>Zhao, XW (corresponding author), Jining Med Univ, Affiliated Hosp, Dept Joint Surg &amp; Sports Med, Jining 272029, Shandong, Peoples R China.</t>
  </si>
  <si>
    <t>18678766708@163.com</t>
  </si>
  <si>
    <t>0341-2695</t>
  </si>
  <si>
    <t>1432-5195</t>
  </si>
  <si>
    <t>INT ORTHOP</t>
  </si>
  <si>
    <t>Int. Orthop.</t>
  </si>
  <si>
    <t>10.1007/s00264-023-05978-5</t>
  </si>
  <si>
    <t>R7VD6</t>
  </si>
  <si>
    <t>WOS:001066387200001</t>
  </si>
  <si>
    <t>Prasad, M; Brar, B; Bala, K; Singh, N</t>
  </si>
  <si>
    <t>Prasad, Minakshi; Brar, Basanti; Bala, Kiran; Singh, Namita</t>
  </si>
  <si>
    <t>Emerging Microbial Technologies</t>
  </si>
  <si>
    <t>INDIAN JOURNAL OF MICROBIOLOGY</t>
  </si>
  <si>
    <t>[Prasad, Minakshi] Natl Res Ctr Equines, ICAR, Hisar, India; [Brar, Basanti; Bala, Kiran] Om Sterling Global Univ Hisar, Hisar, India; [Singh, Namita] Guru Jambheshwar Univ Sci &amp; Technol, Dept Bio &amp; Nano Technol, Microbial Biotechnol Lab, Hisar 125001, India</t>
  </si>
  <si>
    <t>Indian Council of Agricultural Research (ICAR); ICAR - National Research Centre on Equines; Guru Jambheshwar University of Science &amp; Technology</t>
  </si>
  <si>
    <t>Prasad, M (corresponding author), Natl Res Ctr Equines, ICAR, Hisar, India.</t>
  </si>
  <si>
    <t>eic.ami2023@gmail.com</t>
  </si>
  <si>
    <t>0046-8991</t>
  </si>
  <si>
    <t>0973-7715</t>
  </si>
  <si>
    <t>INDIAN J MICROBIOL</t>
  </si>
  <si>
    <t>Indian J. Microbiol.</t>
  </si>
  <si>
    <t>10.1007/s12088-023-01103-7</t>
  </si>
  <si>
    <t>Biotechnology &amp; Applied Microbiology; Microbiology</t>
  </si>
  <si>
    <t>R8QN1</t>
  </si>
  <si>
    <t>WOS:001066948000001</t>
  </si>
  <si>
    <t>Rossi, KA; Almenara, CCP; Simoes, RP; Mulher, LCCS; Krause, M; Carneiro, MTWD; Padilha, AS</t>
  </si>
  <si>
    <t>Rossi, Karoline Alves; Almenara, Camila Cruz Pereira; Simoes, Rakel Passos; Mulher, Lorraine Christiny Costa Sepulchro; Krause, Maiara; Carneiro, Maria Tereza W. D.; Padilha, Alessandra Simao</t>
  </si>
  <si>
    <t>Short-term Effects of Cadmium Exposure on Blood Pressure and Vascular Function in Wistar Rats</t>
  </si>
  <si>
    <t>Cadmium; Oxidative stress; Blood pressure; Vascular dysfunction; Potassium channel</t>
  </si>
  <si>
    <t>NITRIC-OXIDE SYNTHASE; ENDOTHELIAL DYSFUNCTION; OXIDATIVE STRESS; ANGIOTENSIN-II; HYPERTENSION; MECHANISMS; EXPRESSION; CATALASE; BIOLOGY; KIDNEY</t>
  </si>
  <si>
    <t>Chronic cadmium exposure is known to be associated with vascular changes and increased blood pressure, but its short-term effects on the cardiovascular system remain poorly understood. This study aimed to investigate the pressoric and vascular effects of a 7-day exposure to CdCl2 in Wistar rats. The rats were divided in control group (Ct), which received tap water, and the Cd group, which received a 100 mg/L CdCl2 solution via drinking water for 7 days. We analyzed body weight, plasma Cadmium concentration, systolic blood pressure (SBP), and vascular responses. Despite relatively low plasma Cadmium concentration, the Cd group exhibited elevated SBP and increased contractile response to phenylephrine. Endothelium removal and NOS inhibition increased contractions in both groups. In the Cd group's aorta, we observed enhanced levels of phospho-eNOS (Ser1177) and basal NO release. Cd group showed reduced Catalase expression and increased basal release of H2O2, with catalase reducing the contractile response. In arteries pre-contracted with phenylephrine, Cd group showed impaired endothelium-dependent (Acetylcholine) and independent (sodium nitroprussiate-SNP) relaxation responses. However, responses to SNP were similar after pre-contraction with KCl in both groups. These data suggest early effects of Cadmium on blood pressure and aortic function, indicating impaired H2O2-scavenging by catalase. Increased H2O2 due to Cadmium exposure might explain heightened responses to phenylephrine and weakened relaxation responses mediated by the NO-K+-channels pathway. Our findings shed light on Cadmium's short-term impact on the cardiovascular system, providing insights into potential mechanisms underlying its effects on blood pressure regulation and vascular function.</t>
  </si>
  <si>
    <t>[Rossi, Karoline Alves; Simoes, Rakel Passos; Mulher, Lorraine Christiny Costa Sepulchro; Padilha, Alessandra Simao] Univ Fed Espirito Santo, Physiol Sci Postgrad Program, Vitoria, ES, Brazil; [Almenara, Camila Cruz Pereira] Fed Univ Western Bahia, Ctr Biol &amp; Hlth Sci, Barreiras, BA, Brazil; [Krause, Maiara; Carneiro, Maria Tereza W. D.] Univ Fed Espirito Santo, Dept Chem, Vitoria, ES, Brazil; [Padilha, Alessandra Simao] UFES, Programa Posgrad Ciencias Fisiol, CCS, Ave Marechal Campos 1468, BR-29043900 MaruipeVitoria, ES, Brazil</t>
  </si>
  <si>
    <t>Universidade Federal do Espirito Santo; Universidade Federal do Oeste da Bahia; Universidade Federal do Espirito Santo; Universidade Federal do Espirito Santo</t>
  </si>
  <si>
    <t>Padilha, AS (corresponding author), Univ Fed Espirito Santo, Physiol Sci Postgrad Program, Vitoria, ES, Brazil.;Padilha, AS (corresponding author), UFES, Programa Posgrad Ciencias Fisiol, CCS, Ave Marechal Campos 1468, BR-29043900 MaruipeVitoria, ES, Brazil.</t>
  </si>
  <si>
    <t>karolrossi.fisio@gmail.com; camila.almenara@ufob.edu.br; rakelpassossimoes@gmail.com; lorrainesepulchro@gmail.com; maiarakrause@gmail.com; mariacarneiro@hotmail.com; alessandra.padilha@ufes.br</t>
  </si>
  <si>
    <t>CARNEIRO, MARIA TEREZA/C-6116-2012</t>
  </si>
  <si>
    <t>CARNEIRO, MARIA TEREZA/0000-0002-8731-5093; Passos Simoes, Rakel/0000-0003-0027-8128; Alves Rossi, Karoline/0000-0001-7458-2558; Almenara Cruz Pereira, Camila/0000-0001-7889-4161; Costa Sepulchro Mulher, Lorraine Christiny/0000-0002-6964-0810</t>
  </si>
  <si>
    <t>Coordenacao de Aperfeicoamento de Pessoal de Nivel Superior (CAPES) [001]; Conselho Nacional de Desenvolvimento Cientifico e Tecnologico [CNPq-307742/2021-0]; Fundacao de Amparo a Pesquisa do Espirito Santo [FAPES -EDITAL PRONEM 20/2022]</t>
  </si>
  <si>
    <t>Coordenacao de Aperfeicoamento de Pessoal de Nivel Superior (CAPES)(Coordenacao de Aperfeicoamento de Pessoal de Nivel Superior (CAPES)); Conselho Nacional de Desenvolvimento Cientifico e Tecnologico(Conselho Nacional de Desenvolvimento Cientifico e Tecnologico (CNPQ)); Fundacao de Amparo a Pesquisa do Espirito Santo</t>
  </si>
  <si>
    <t>This study was supported by grants from Coordenacao de Aperfeicoamento de Pessoal de Nivel Superior (CAPES - Financing code 001); Conselho Nacional de Desenvolvimento Cientifico e Tecnologico (CNPq-307742/2021-0) and Fundacao de Amparo a Pesquisa do Espirito Santo (FAPES -EDITAL PRONEM 20/2022). The funders had no role in the study design, data collection, data analysis, decision to publish, or preparation of the manuscript.</t>
  </si>
  <si>
    <t>10.1007/s12011-023-03851-5</t>
  </si>
  <si>
    <t>R3KQ0</t>
  </si>
  <si>
    <t>WOS:001063378000001</t>
  </si>
  <si>
    <t>Sandbhor, A; Jain, S; Deshmukh, P; Gaurkar, S; Murali, M; Hande, V; Dash, M</t>
  </si>
  <si>
    <t>Sandbhor, Ajinkya; Jain, Shraddha; Deshmukh, Prasad; Gaurkar, Sagar; Murali, Mithula; Hande, Vaidehi; Dash, Manisha</t>
  </si>
  <si>
    <t>Pattern and Severity of Allergic Rhinitis Correlated with Patient Characteristics: A Rural Hospital-Based Cross-Sectional Study</t>
  </si>
  <si>
    <t>Allergic rhinitis; Demography; Allergen; Mites; Genetic; Epigenomics; Pollen</t>
  </si>
  <si>
    <t>ASTHMA; RISK</t>
  </si>
  <si>
    <t>Allergic Rhinitis (AR) is rising in incidence in both developed and developing countries. Genetics and epigenetics have a potential role to play. The pattern and severity of AR have implications with regard to choice of treatment, which itself could be related to patient specific genetic and epigenetic factors. Hence, the present study was undertaken to correlate the patient characteristics with AR pattern and severity, in order to understand the pathophysiology of AR. The study also aimed to find out the allergen sensitivity pattern among patients attending a tertiary care centre of rural central India, where climatic variations make it a high prevalence zone. Prospective Observational study on 90 patients with clinically diagnosed Allergic Rhinitis confirmed by Skin Prick Tests. Patient characteristics like demographic data, data relevant to allergen exposure, occupation, family history of atopy and gender; and Disease characteristics like severity (mild, mod-severe), pattern (continuous/ intermittent), type of disease (seasonal/perennial) were noted, analysed and correlation studied. Majority of the patients with AR were in the age group of 15-40 years. Medical students (52%) suffered from moderate to severe type of Allergic Rhinitis, with Persistent disease in approximately 80%. Similarly, 70.59% of farmers had moderate to severe type of the disease, with persistent disease in 70%. In the present study, in clinically diagnosed allergic rhinitis patients, Mite was the commonest allergen found on Skin Prick Test overall and in Medical students, whereas Pollen sensitivity was more common among farmers. 56.66% of the patients had negative family history of atopy. Severity and type of AR depend on allergen exposure. In farmers and medical professionals, persistent and moderate to severe type of disease was more common, as they were persistently exposed to different type of allergens, mites in case of medical professionals and pollens in farmers. Hence, the Disease characteristics, as defined by ARIA guidelines, should not be taken in isolation and management should consider the Patient characteristics for deciding and devising protocols. In the present study, more than 50% patients were without family history of atopy. Hence, the role of various environmental factors, leading to epigenetic changes could be a major contributor in the increase in incidence of allergic rhinitis in recent times. Occurrence of perennial moderate to severe form of disease, in majority of farmers, defies the phenomenon of Hygiene Hypothesis, focusing on the role of epigenetic changes and various outdoor allergens in the development of allergic rhinitis in them.</t>
  </si>
  <si>
    <t>[Sandbhor, Ajinkya; Jain, Shraddha] Symbiosis Med Coll Women, Dept Otorhinolaryngol, Pune 412115, Maharashtra, India; [Jain, Shraddha; Deshmukh, Prasad; Gaurkar, Sagar; Murali, Mithula; Hande, Vaidehi; Dash, Manisha] Datta Meghe Inst Higher Educ &amp; Res, Jawahar Lal Nehru Med Coll, Dept Otorhinolaryngol, Wardha 442005, Maharashtra, India</t>
  </si>
  <si>
    <t>Symbiosis International University; Symbiosis Medical College for Women; Datta Meghe Institute of Higher Education &amp; Research (Deemed to be University); Jawaharlal Nehru Medical College Wardha</t>
  </si>
  <si>
    <t>Jain, S (corresponding author), Symbiosis Med Coll Women, Dept Otorhinolaryngol, Pune 412115, Maharashtra, India.;Jain, S (corresponding author), Datta Meghe Inst Higher Educ &amp; Res, Jawahar Lal Nehru Med Coll, Dept Otorhinolaryngol, Wardha 442005, Maharashtra, India.</t>
  </si>
  <si>
    <t>sandbhor.ajinkya180@gmail.com; sjain_med@yahoo.co.in; Pra_desh@rediffmail.com; shaggy6486@gmail.com; mithulamurali18@gmail.com; handevaidehi96@gmail.com; manishaadash@gmail.com</t>
  </si>
  <si>
    <t>10.1007/s12070-023-04198</t>
  </si>
  <si>
    <t>R8OA1</t>
  </si>
  <si>
    <t>WOS:001066883000002</t>
  </si>
  <si>
    <t>Sola-Sevilla, N; Mesa-Lombardo, A; Aleixo, M; Exposito, S; Diaz-Perdigon, T; Azqueta, A; Zamani, F; Suzuki, T; Maioli, S; Eroli, F; Matton, A; Ramirez, MJ; Solas, M; Tordera, RM; Martin, ED; Puerta, E</t>
  </si>
  <si>
    <t>Sola-Sevilla, Noemi; Mesa-Lombardo, Alberto; Aleixo, Mikel; Exposito, Sara; Diaz-Perdigon, Teresa; Azqueta, Amaya; Zamani, Farzad; Suzuki, Takayoshi; Maioli, Silvia; Eroli, Francesca; Matton, Anna; Ramirez, Maria J.; Solas, Maite; Tordera, Rosa M.; Martin, Eduardo D.; Puerta, Elena</t>
  </si>
  <si>
    <t>SIRT2 Inhibition Rescues Neurodegenerative Pathology but Increases Systemic Inflammation in a Transgenic Mouse Model of Alzheimer's Disease</t>
  </si>
  <si>
    <t>JOURNAL OF NEUROIMMUNE PHARMACOLOGY</t>
  </si>
  <si>
    <t>Alzheimer's disease; Inflammation; Neurodegenerative diseases; Neuroinflammation; Sirtuin 2</t>
  </si>
  <si>
    <t>BRAIN-INJURY; DEACETYLASE; ACETYLATION; NEUROINFLAMMATION; ACTIVATION; PROTEIN; ROLES</t>
  </si>
  <si>
    <t>Sirtuin 2 (SIRT2) has been proposed to have a central role on aging, inflammation, cancer and neurodegenerative diseases; however, its specific function remains controversial. Recent studies propose SIRT2 pharmacological inhibition as a therapeutic strategy for several neurodegenerative diseases including Alzheimer's disease (AD). Surprisingly, none of these published studies regarding the potential interest of SIRT2 inhibition has assessed the peripheral adverse side consequences of this treatment. In this study, we demonstrate that the specific SIRT2 inhibitor, the compound 33i, does not exhibit genotoxic or mutagenic properties. Moreover, pharmacological treatment with 33i, improved cognitive dysfunction and long-term potentiation, reducing amyloid pathology and neuroinflammation in the APP/PS1 AD mouse model. However, this treatment increased peripheral levels of the inflammatory cytokines IL-1 &amp; beta;, TNF, IL-6 and MCP-1. Accordingly, peripheral SIRT2 inhibition with the blood brain barrier impermeable compound AGK-2, worsened the cognitive capacities and increased systemic inflammation. The analysis of human samples revealed that SIRT2 is increased in the brain but not in the serum of AD patients. These results suggest that, although SIRT2 pharmacological inhibition may have beneficial consequences in neurodegenerative diseases, its pharmacological inhibition at the periphery would not be recommended and the systemic adverse side effects should be considered. This information is essential to maximize the therapeutic potential of SIRT2 inhibition not only for AD but also for other neurodegenerative diseases.</t>
  </si>
  <si>
    <t>[Sola-Sevilla, Noemi; Mesa-Lombardo, Alberto; Aleixo, Mikel; Diaz-Perdigon, Teresa; Azqueta, Amaya; Ramirez, Maria J.; Solas, Maite; Tordera, Rosa M.; Puerta, Elena] Univ Navarra, Navarra Inst Hlth Res IdiSNA, Dept Pharmacol &amp; Toxicol, C Irunlarrea 1, Pamplona 31008, Spain; [Mesa-Lombardo, Alberto] Univ Autonoma Madrid, Med Sch, Dept Anat Histol &amp; Neurosci, Madrid 28029, Spain; [Exposito, Sara; Martin, Eduardo D.] CSIC, Lab Neurophysiol &amp; Synapt Plast, Inst Cajal, Madrid, Spain; [Zamani, Farzad; Suzuki, Takayoshi] Osaka Univ, SANKEN, Ibaraki, Osaka 5670047, Japan; [Maioli, Silvia; Eroli, Francesca; Matton, Anna] Karolinska Inst, Div Neurogeriatr, Ctr Alzheimer Res, Dept Neurobiol Care Sci &amp; Soc, Stockholm, Sweden</t>
  </si>
  <si>
    <t>University of Navarra; Autonomous University of Madrid; Consejo Superior de Investigaciones Cientificas (CSIC); CSIC - Instituto Cajal (IC); Osaka University; Karolinska Institutet</t>
  </si>
  <si>
    <t>Puerta, E (corresponding author), Univ Navarra, Navarra Inst Hlth Res IdiSNA, Dept Pharmacol &amp; Toxicol, C Irunlarrea 1, Pamplona 31008, Spain.</t>
  </si>
  <si>
    <t>epuerta@unav.es</t>
  </si>
  <si>
    <t>; Puerta, Elena/B-1114-2017</t>
  </si>
  <si>
    <t>Sola Sevilla, Noemi/0000-0001-8437-9828; Puerta, Elena/0000-0001-5695-5787</t>
  </si>
  <si>
    <t>We thank all members of our labs for their helpful comments on the manuscript. The authors are grateful to Sandra Lizaso for her excellent technical assistance. We would also like to thank Amigos de la Universidad de Navarra and the Spanish Ministry of U; Amigos de la Universidad de Navarra; Spanish Ministry of Universities</t>
  </si>
  <si>
    <t>We thank all members of our labs for their helpful comments on the manuscript. The authors are grateful to Sandra Lizaso for her excellent technical assistance. We would also like to thank Amigos de la Universidad de Navarra and the Spanish Ministry of U; Amigos de la Universidad de Navarra; Spanish Ministry of Universities(Spanish Government)</t>
  </si>
  <si>
    <t>We thank all members of our labs for their helpful comments on the manuscript. The authors are grateful to Sandra Lizaso for her excellent technical assistance. We would also like to thank Amigos de la Universidad de Navarra and the Spanish Ministry of Universities for a fellowship to N.S-S.</t>
  </si>
  <si>
    <t>1557-1890</t>
  </si>
  <si>
    <t>1557-1904</t>
  </si>
  <si>
    <t>J NEUROIMMUNE PHARM</t>
  </si>
  <si>
    <t>J. Neuroimmune Pharm.</t>
  </si>
  <si>
    <t>10.1007/s11481-023-10084-9</t>
  </si>
  <si>
    <t>Neurosciences; Pharmacology &amp; Pharmacy</t>
  </si>
  <si>
    <t>Neurosciences &amp; Neurology; Pharmacology &amp; Pharmacy</t>
  </si>
  <si>
    <t>R5BY1</t>
  </si>
  <si>
    <t>WOS:001064513500001</t>
  </si>
  <si>
    <t>Soleimani, A; Abbaspour-Fard, MH; Rohani, A; Aghkhani, MH</t>
  </si>
  <si>
    <t>Soleimani, Afsaneh; Abbaspour-Fard, Mohammad Hossein; Rohani, Abbas; Aghkhani, Mohammad Hossein</t>
  </si>
  <si>
    <t>Designing and modeling the power transmission mechanism for existing walking tractors to facilitate their guidance and turning</t>
  </si>
  <si>
    <t>INTERNATIONAL JOURNAL OF INTERACTIVE DESIGN AND MANUFACTURING - IJIDEM</t>
  </si>
  <si>
    <t>Two-wheel tractor; Multi-criteria decision-making method; Static and dynamic analysis; CATIA V5 software; Finite-element analysis</t>
  </si>
  <si>
    <t>TILLER</t>
  </si>
  <si>
    <t>Small plots of less than two hectares are prevalent in developing countries, and most agricultural activities are carried out using walking two-wheel tractors, commonly known as tillers. However, guiding these tillers during work can be challenging due to their lack of a steering mechanism and having only one clutch for power transmission to the gearbox. To address this issue, the multi-criteria decision-making method (MCDM) was used to find the most suitable mechanism for the problem under consideration. Based on the MCDM, a mechanism that uses a cone clutch was chosen. Three-dimensional models of the cone clutch were generated using CATIA V5 software, and finite-element analysis was employed to compare the yield strength of the cone clutch material with the maximum stress and strain. The finite-element model was theoretically validated through a comparison between numerical and theoretical normal stresses at the cone clutch components, with a maximum absolute difference of 5.8%. The maximum stresses on the frictional surface of the cone clutch were within the elastic range of the material, with values of 22 and 91 MPa in static and dynamic analysis, respectively. For manufacturing the cone clutch components, ASTM-A572 and AISI-1045 steel were selected. The safety factor of the cone clutch components was found to be greater than 1, and the slippage during clutch engagement did not impact its performance. Therefore, the stress analysis presented in this research can pave the way for the design and manufacturing of a cone clutch for the rotary axle of two-wheel tractors.</t>
  </si>
  <si>
    <t>[Soleimani, Afsaneh; Abbaspour-Fard, Mohammad Hossein; Rohani, Abbas; Aghkhani, Mohammad Hossein] Ferdowsi Univ Mashhad, Fac Agr, Dept Biosyst Engn, Mashhad, Iran</t>
  </si>
  <si>
    <t>Ferdowsi University Mashhad</t>
  </si>
  <si>
    <t>Abbaspour-Fard, MH; Rohani, A (corresponding author), Ferdowsi Univ Mashhad, Fac Agr, Dept Biosyst Engn, Mashhad, Iran.</t>
  </si>
  <si>
    <t>a.soleimani98@mail.um.ac.ir; abaspour@um.ac.ir; arohani@um.ac.ir; aghkhani@um.ac.ir</t>
  </si>
  <si>
    <t>Rohani, Abbas/A-6247-2018</t>
  </si>
  <si>
    <t>Rohani, Abbas/0000-0002-4494-7058</t>
  </si>
  <si>
    <t>Ferdowsi University of Mashhad, Iran [54393]</t>
  </si>
  <si>
    <t>Ferdowsi University of Mashhad, Iran</t>
  </si>
  <si>
    <t>The authors acknowledge and appreciate the funding and technical support provided by the Ferdowsi University of Mashhad, Iran, for this project (Grant No. 54393).</t>
  </si>
  <si>
    <t>1955-2513</t>
  </si>
  <si>
    <t>1955-2505</t>
  </si>
  <si>
    <t>INT J INTERACT DES M</t>
  </si>
  <si>
    <t>Int. J. Interact. Des. Manuf.-IJIDeM</t>
  </si>
  <si>
    <t>10.1007/s12008-023-01516-0</t>
  </si>
  <si>
    <t>Engineering, Manufacturing</t>
  </si>
  <si>
    <t>R5KH6</t>
  </si>
  <si>
    <t>WOS:001064733800007</t>
  </si>
  <si>
    <t>Tsoneva, K; Chechko, N; Losse, E; Nehls, S; Habel, U; Shymanskaya, A</t>
  </si>
  <si>
    <t>Tsoneva, K.; Chechko, N.; Losse, E.; Nehls, S.; Habel, U.; Shymanskaya, A.</t>
  </si>
  <si>
    <t>Pandemic-induced increase in adjustment disorders among postpartum women in Germany</t>
  </si>
  <si>
    <t>BMC WOMENS HEALTH</t>
  </si>
  <si>
    <t>Postpartum adjustment disorder; Postpartum depression; Postpartum period; COVID-19</t>
  </si>
  <si>
    <t>PSYCHIATRIC-DISORDERS; POSTNATAL DEPRESSION; MENTAL-DISORDERS; POPULATION; COVID-19; PREVALENCE; MOTHERS; ANXIETY; GENDER; PREDICTORS</t>
  </si>
  <si>
    <t>BackgroundThe current paper analyzed the effect of the pandemic-induced lockdown on maternal mental health during the first 12 postpartum weeks in Germany.MethodsIn this cohort study, we compared the participants' anamnestic backgrounds and the results of psychological tests, measuring stress levels, depressive symptoms and attachment. The 327 participants were divided into two groups with one representing the pre-COVID sample and the other the lockdown sample. We performed multiple comparisons, investigating the distribution of diagnoses and the correlating risk profiles between the two cohorts.ResultsOur analysis showed a significant difference between the two cohorts, with a 13.2% increase in the prevalence of adjustment disorders (AD), but not postpartum depression (PPD), in the first 12 weeks postpartum. However, during the pandemic, women with AD had fewer risk factors compared to their pre-pandemic counterparts. In the lockdown cohort, a tendency toward higher stress and lower mother-child attachment was observed in AD.ConclusionsIn sum, we observed some negative impact of the pandemic on maternal mental health. The lockdown might have contributed to an increase in the number of cases involving AD in the postpartum period. The prevalence of PPD (ca. 6-10%), on the other hand, was not affected by the lockdown. Thus, the effect of COVID-19 on maternal mental health might not, after all, have been as severe as assumed at the beginning of the pandemic.</t>
  </si>
  <si>
    <t>[Tsoneva, K.; Chechko, N.; Losse, E.; Nehls, S.; Habel, U.; Shymanskaya, A.] Rhein Westfal TH Aachen, Fac Med, Dept Psychiat Psychotherapy &amp; Psychosomat, Pauwelsstr 30, D-52074 Aachen, Germany; [Chechko, N.; Nehls, S.; Habel, U.; Shymanskaya, A.] Julich Res Ctr, Inst Neurosci &amp; Med, JARA BRAIN Inst Brain Struct &amp; Funct, INM 10, Julich, Germany; [Chechko, N.] Res Ctr Julich, Inst Neurosci &amp; Med Brain &amp; Behav INM 7, Julich, Germany</t>
  </si>
  <si>
    <t>RWTH Aachen University; Helmholtz Association; Research Center Julich; Helmholtz Association; Research Center Julich</t>
  </si>
  <si>
    <t>Chechko, N; Shymanskaya, A (corresponding author), Rhein Westfal TH Aachen, Fac Med, Dept Psychiat Psychotherapy &amp; Psychosomat, Pauwelsstr 30, D-52074 Aachen, Germany.;Chechko, N; Shymanskaya, A (corresponding author), Julich Res Ctr, Inst Neurosci &amp; Med, JARA BRAIN Inst Brain Struct &amp; Funct, INM 10, Julich, Germany.;Chechko, N (corresponding author), Res Ctr Julich, Inst Neurosci &amp; Med Brain &amp; Behav INM 7, Julich, Germany.</t>
  </si>
  <si>
    <t>nchechko@ukaachen.de; aliaksandra.shymanskaya@rwth-aachen.de</t>
  </si>
  <si>
    <t>We would like to thank all participants for their collaboration in the project.</t>
  </si>
  <si>
    <t>1472-6874</t>
  </si>
  <si>
    <t>BMC Womens Health</t>
  </si>
  <si>
    <t>10.1186/s12905-023-02638-z</t>
  </si>
  <si>
    <t>Public, Environmental &amp; Occupational Health; Obstetrics &amp; Gynecology</t>
  </si>
  <si>
    <t>R8LQ8</t>
  </si>
  <si>
    <t>WOS:001066821200002</t>
  </si>
  <si>
    <t>Wang, XM; Wang, EM; Xing, J; Zhou, WY</t>
  </si>
  <si>
    <t>Wang, Xiaoming; Wang, Enmei; Xing, Jian; Zhou, Wenya</t>
  </si>
  <si>
    <t>A novel vibration-reduction motion planning method for fast moving mass traveling along flexible structures</t>
  </si>
  <si>
    <t>Moving mass system; Flexible structure; Motion planning; Spline curve; Kriging model; Vibration reduction</t>
  </si>
  <si>
    <t>DYNAMIC-RESPONSE; SPACE ELEVATOR; TAUT STRINGS; BEAM; OPTIMIZATION; FOUNDATION; SATELLITE; BEHAVIOR; PARADOX; CRANES</t>
  </si>
  <si>
    <t>This study concerns dynamic behaviors and vibration reduction of the flexible structure subjected to a moving mass traveling on it. The mathematical model of a simply supported beam carrying a moving particle mass is derived according to the Hamilton's principle. Dynamic responses of the substrate flexible beam under various traveling profiles are analyzed and implied that the moving mass would induce evident motion-induced dynamic deflection and residual vibration, and such effects highly depend on the motion profiles. The key novelty of this paper is proposing a data-driven, high-efficiency vibration-reduction motion planning approach to the moving mass. Such a motion planning approach is imposed by quintic spline curves and Kriging surrogate model-based optimization algorithm combined with the expected improvement infilling-sampling criterion. The optimization results reveal that a favorable motion profile can be found by using only 2 waypoints and within approximately 100 samplings. In the case of minimization of the transient deflection amplitude, lower transient deflection, which is even lower than the static value, can be obtained using the optimized motion profile. In the case of minimization of residual vibration energy, a smooth deformation history of the substrate beam can be produced, while the vibration energy has also been significantly reduced. Using the minimization of residual vibration energy as the objective function is primarily recommended in the motion planning issue. Improved motion profiles with varied terminal times could also be obtained and proved the robustness of the proposed optimization approach. The proposed data-driven optimization approach could provide a feasible and high-efficiency way to design a favorable traveling profile for a moving mass system from the perspective of structural vibration reduction.</t>
  </si>
  <si>
    <t>[Wang, Xiaoming] Guangzhou Univ, Sch Mech &amp; Elect Engn, Guangzhou 510006, Peoples R China; [Wang, Enmei] Beihang Univ, Hangzhou Innovat Inst, Hangzhou 310051, Peoples R China; [Xing, Jian] Hangzhou Normal Univ, Sch Engn, Hangzhou 310018, Peoples R China; [Zhou, Wenya] Dalian Univ Technol, Sch Aeronaut &amp; Astronaut, Liaoning Prov Key Lab Aerosp Adv Technol, Dalian 116024, Peoples R China</t>
  </si>
  <si>
    <t>Guangzhou University; Beihang University; Hangzhou Normal University; Dalian University of Technology</t>
  </si>
  <si>
    <t>Wang, XM (corresponding author), Guangzhou Univ, Sch Mech &amp; Elect Engn, Guangzhou 510006, Peoples R China.</t>
  </si>
  <si>
    <t>wangxm@gzhu.edu.cn</t>
  </si>
  <si>
    <t>National Natural Science Foundation of China [12102096, 62203033]; Guangdong Basic and Applied Basic Research Foundation [2022A1515011885]; Natural Science Foundation of Zhejiang Province [62203033]; Project of Guangzhou Science and Technology Plan [202102020313, 202201010390]</t>
  </si>
  <si>
    <t>National Natural Science Foundation of China(National Natural Science Foundation of China (NSFC)); Guangdong Basic and Applied Basic Research Foundation; Natural Science Foundation of Zhejiang Province(Natural Science Foundation of Zhejiang Province); Project of Guangzhou Science and Technology Plan</t>
  </si>
  <si>
    <t>This work was supported by the National Natural Science Foundation of China (12102096, 62203033), Guangdong Basic and Applied Basic Research Foundation (2022A1515011885), Natural Science Foundation of Zhejiang Province (62203033), and Project of Guangzhou Science and Technology Plan (202102020313, 202201010390).</t>
  </si>
  <si>
    <t>10.1007/s11071-023-08890-0</t>
  </si>
  <si>
    <t>R5KL4</t>
  </si>
  <si>
    <t>WOS:001064737600004</t>
  </si>
  <si>
    <t>Wang, YY; Liu, L; Sun, MQ; Huang, J; Huang, YF; Liang, XL; Tan, W; He, HP; Zhu, JX</t>
  </si>
  <si>
    <t>Wang, Yuanyuan; Liu, Liu; Sun, Mingqi; Huang, Jian; Huang, Yufeng; Liang, Xiaoliang; Tan, Wei; He, Hongping; Zhu, Jianxi</t>
  </si>
  <si>
    <t>Distribution and Fractionation of Rare Earth Elements (REE) in the Ion Adsorption-type REE Deposit (IAD) at Maofeng Mountain, Guangzhou, China</t>
  </si>
  <si>
    <t>CLAYS AND CLAY MINERALS</t>
  </si>
  <si>
    <t>Ion adsorption-type rare earth deposits; Rare earth elements; REE enrichment; REE fractionation</t>
  </si>
  <si>
    <t>CLAY-MINERALS; SOUTH CHINA; REGOLITH; GENESIS; SORPTION; GEOCHEMISTRY; GRANITES; MINERALIZATION; COMPLEXATION; MOBILIZATION</t>
  </si>
  <si>
    <t>Ion adsorption-type rare earth deposits (IADs) are developed via prolonged weathering of REE-rich volcanic and metamorphic rocks. Intense magmatic activity which occurred during the Yanshanian (199.6-65.5 Ma) and Caledonian periods (542-359.2 Ma) provided an abundant material basis for the formation of IADs in South China. High concentrations of REE and the high proportion of ion-exchangeable REE were found in the Maofeng Mountain regolith, Guangzhou city. However, the geochemical patterns and mechanisms of REE enrichment in the regolith were still poorly understood. The present study investigated the regolith profile (0-8 m) developed in Maofeng Mountain based on metallogenic and geochemical characteristics, sequential extraction, and physical and chemical parameters of the regolith profile. The bedrock contained abundant REE resources (245-287 mg kg-1) and the chondrite-normalized REE patterns showed the enrichment of light REE (LREE) and negative cerium (Ce) and europium (Eu) anomalies. The distribution patterns of REE in the bedrock were inherited by the regolith. REE enrichment of the regolith occurred mainly in the completely weathered layer (B1, B2, and B3 horizons), particularly in the depth range 2.5-4.5 m (849-2391 mg kg-1). The position of REE enrichment was controlled by the soil pH (5.52-6.02), by the amount of kaolinite and halloysite, and by the permeability of the metamorphic rock. In the REE-enriched horizon (2-8 m), the REE were hosted mainly in ion-exchangeable fractions (75-2158 mg kg-1), representing 79% of the total REE. Given the pH of 4.73-6.02, REE fractionation driven by the adsorption of kaolinite was limited. Fe-Mn (oxyhydr)oxides played an important role in REE enrichment and the reducible fraction holds up to 21% (139 mg kg-1) of the total REE. The enrichment of LREE was observed in the reducible fraction potentially because of the preferential release of LREE from the LREE-bearing minerals (monazite) and then scavenged by Fe-Mn (oxyhydr)oxides. Positive Ce anomalies (Ce/Ce*: 10) were found in the reducible fraction because trivalent Ce was oxidized by Fe-Mn (oxyhydr)oxides to cerianite (CeO2). The present study helps to understand the enrichment and fractionation of REE in the IADs of South China.</t>
  </si>
  <si>
    <t>[Wang, Yuanyuan; Sun, Mingqi; Huang, Jian; Huang, Yufeng; Liang, Xiaoliang; Tan, Wei; He, Hongping; Zhu, Jianxi] Chinese Acad Sci, Guangzhou Inst Geochem, CAS Key Lab Mineral &amp; Metallogeny, Guangdong Prov Key Lab Mineral Phys &amp; Mat, Guangzhou 510640, Peoples R China; [Wang, Yuanyuan; Sun, Mingqi; Huang, Jian; Huang, Yufeng; Liang, Xiaoliang; Tan, Wei; He, Hongping; Zhu, Jianxi] Chinese Acad Sci, Ctr Excellence Deep Earth Sci, Guangzhou 510640, Peoples R China; [Wang, Yuanyuan; Sun, Mingqi; Huang, Jian; Huang, Yufeng; Liang, Xiaoliang; Tan, Wei; He, Hongping; Zhu, Jianxi] Univ Chinese Acad Sci, Beijing 100049, Peoples R China; [Liu, Liu] Guangdong Nonferrous Met Geol Explorat Inst, Guangzhou 510080, Peoples R China</t>
  </si>
  <si>
    <t>Chinese Academy of Sciences; Guangzhou Institute of Geochemistry, CAS; Chinese Academy of Sciences; Chinese Academy of Sciences; University of Chinese Academy of Sciences, CAS</t>
  </si>
  <si>
    <t>Zhu, JX (corresponding author), Chinese Acad Sci, Guangzhou Inst Geochem, CAS Key Lab Mineral &amp; Metallogeny, Guangdong Prov Key Lab Mineral Phys &amp; Mat, Guangzhou 510640, Peoples R China.;Zhu, JX (corresponding author), Chinese Acad Sci, Ctr Excellence Deep Earth Sci, Guangzhou 510640, Peoples R China.;Zhu, JX (corresponding author), Univ Chinese Acad Sci, Beijing 100049, Peoples R China.</t>
  </si>
  <si>
    <t>zhujx@gig.ac.cn</t>
  </si>
  <si>
    <t>Guangdong Major Project of Basic and Applied Basic Research [2019B030302013]; National Natural Science Foundation of China [41825003, 41921003]; Key Research Program of the Institute of Geology and Geophysics; CAS [IGGCAS-201901]; Guangdong Special Support Program [2019TX05L169]; Science and Technology Planning of Guangdong Province, China [2020B1212060055]; China Scholarship Council (CSC) Grant [202104910284]</t>
  </si>
  <si>
    <t>Guangdong Major Project of Basic and Applied Basic Research; National Natural Science Foundation of China(National Natural Science Foundation of China (NSFC)); Key Research Program of the Institute of Geology and Geophysics; CAS(Chinese Academy of Sciences); Guangdong Special Support Program; Science and Technology Planning of Guangdong Province, China; China Scholarship Council (CSC) Grant(China Scholarship Council)</t>
  </si>
  <si>
    <t>The authors~express~their sincere gratitude to the Editor, Associate Editor, and reviewers for their valuable comments and constructive suggestions, which greatly improved the quality of this manuscript. The insightful feedback and attention to detail have been instrumental in shaping the final version of the research. They thank Dr Wenshuai Li and Dr. Heng Wang for fruitful discussions and constructive comments on the manuscript. This work was supported by the Guangdong Major Project of Basic and Applied Basic Research [grant number 2019B030302013]; National Natural Science Foundation of China [grant numbers 41825003, 41921003]; Key Research Program of the Institute of Geology and Geophysics; CAS [grant number IGGCAS-201901]; Guangdong Special Support Program [grant number 2019TX05L169]; Science and Technology Planning of Guangdong Province, China [grant number 2020B1212060055]; and China Scholarship Council (CSC) Grant [grant number 202104910284].</t>
  </si>
  <si>
    <t>0009-8604</t>
  </si>
  <si>
    <t>1552-8367</t>
  </si>
  <si>
    <t>CLAY CLAY MINER</t>
  </si>
  <si>
    <t>Clay Clay Min.</t>
  </si>
  <si>
    <t>JUN</t>
  </si>
  <si>
    <t>SI</t>
  </si>
  <si>
    <t>10.1007/s42860-023-00251-7</t>
  </si>
  <si>
    <t>Chemistry, Physical; Geosciences, Multidisciplinary; Mineralogy; Soil Science</t>
  </si>
  <si>
    <t>Chemistry; Geology; Mineralogy; Agriculture</t>
  </si>
  <si>
    <t>S4MX8</t>
  </si>
  <si>
    <t>WOS:001064530200001</t>
  </si>
  <si>
    <t>Wesche, JS; Handke, L; Pahl, B; Diering, LE; Junger, AJ; Gieselmann, LRL</t>
  </si>
  <si>
    <t>Wesche, Jenny S.; Handke, Lisa; Pahl, Burkhard; Diering, Lotte-Eleonora; Junger, Adrian J.; Gieselmann, Louis R. L.</t>
  </si>
  <si>
    <t>Digitization and automation of training and development in organizations: chances, challenges, and application examples</t>
  </si>
  <si>
    <t>GIO-GRUPPE-INTERAKTION-ORGANISATION-ZEITSCHRIFT FUER ANGEWANDTE ORGANISATIONSPSYCHOLOGIE</t>
  </si>
  <si>
    <t>Personnel development; Training; e-HRM; Digitization; Automation</t>
  </si>
  <si>
    <t>TECHNOLOGY</t>
  </si>
  <si>
    <t>This article in the journal Gruppe. Interaktion. Organisation. (GIO) provides an overview of the manifold digitization and automation possibilities that current technological developments provide for training and development and discusses the opportunities and risks of their use.To remain competitive, efficient, and productive, organizations need to ensure that their employees continue to learn and develop. However, training all employees in all necessary competencies requires a lot of resources. To be able to use these resources optimally, the developmental needs of the employees must be determined continuously and accurately so that these can be addressed in a targeted and adequate manner through suitable training and development activities. These administrative processes of training and development are also resource-intensive. For this reason, organizations made use of a variety of technologies in the past to make training and development and the associated administrative processes more efficient and manageable through digitization (e.g., by providing digital learning materials). In this article, we highlight the diverse digitization and automation possibilities that current technological developments offer and illustrate them-structured along the process of personnel development-with examples from research and practice.</t>
  </si>
  <si>
    <t>[Wesche, Jenny S.] Fernuniv, Wirtschaftspsychol, Forsch Schwerpunkt Arbeit Bildung Digitalisierung, Hagen, Germany; [Handke, Lisa; Pahl, Burkhard; Diering, Lotte-Eleonora; Junger, Adrian J.; Gieselmann, Louis R. L.] Free Univ Berlin, Sozial Org &amp; Wirtschaftspsychol, Berlin, Germany</t>
  </si>
  <si>
    <t>Fern University Hagen; Free University of Berlin</t>
  </si>
  <si>
    <t>Wesche, JS (corresponding author), Fernuniv, Wirtschaftspsychol, Forsch Schwerpunkt Arbeit Bildung Digitalisierung, Hagen, Germany.</t>
  </si>
  <si>
    <t>jenny.wesche@fernuni-hagen.de</t>
  </si>
  <si>
    <t>Wesche, Prof. Dr. Jenny S./HCH-6744-2022</t>
  </si>
  <si>
    <t>Wesche, Prof. Dr. Jenny S./0000-0002-2681-4542</t>
  </si>
  <si>
    <t>SPRINGER VIEWEG-SPRINGER FACHMEDIEN WIESBADEN GMBH</t>
  </si>
  <si>
    <t>WIESBADEN</t>
  </si>
  <si>
    <t>ABRAHAM-LINCOLN STASSE 46, WIESBADEN, 65189, GERMANY</t>
  </si>
  <si>
    <t>2366-6145</t>
  </si>
  <si>
    <t>2366-6218</t>
  </si>
  <si>
    <t>GIO-GRUP-INTERAKT-OR</t>
  </si>
  <si>
    <t>GIO-Grup.-Interakt.-Organ.-Z. Angew. Organ.</t>
  </si>
  <si>
    <t>10.1007/s11612-023-00705-5</t>
  </si>
  <si>
    <t>Psychology, Social</t>
  </si>
  <si>
    <t>R8QN8</t>
  </si>
  <si>
    <t>WOS:001066948700001</t>
  </si>
  <si>
    <t>Yan, ZY; Yang, YA</t>
  </si>
  <si>
    <t>Yan, Zhiyu; Yang, Yanan</t>
  </si>
  <si>
    <t>Deep learning-based fault location using PMU in tapped four-circuit transmission lines</t>
  </si>
  <si>
    <t>INTERNATIONAL JOURNAL OF DYNAMICS AND CONTROL</t>
  </si>
  <si>
    <t>Fault location; Deep learning; Four-circuit transmission lines; Tapped lines; Phasor measurement units</t>
  </si>
  <si>
    <t>ALGORITHM</t>
  </si>
  <si>
    <t>The use of four-circuit transmission lines in power systems is increasing due to their advantages. On the other hand, quick and accurate fault location is of particular importance to speed up the repair of the fault in four circuit lines. Due to the mutual induction between the circuits, the usual fault location methods are not exploitable. This problem will be more complicated when four circuit lines are tapped lines. In this paper, in order to overcome the existing complexities and shortcomings of the previous methods, a fault location algorithm has been proposed based on deep learning (CNN-LSTM) and phasor measurement units. In order to increase the accuracy of the proposed algorithm, the input data are obtained from both terminals' PMUs. The features of the proposed method include no need to know the parameters of the line, low sensitivity to fault conditions (fault inception, fault resistance, etc.), the ability to implement on transposed, untransposed, and tapped lines, and reduction in computational complexity. The algorithm evaluation indicates a high accuracy so that the maximum average error of the proposed method is 3%.</t>
  </si>
  <si>
    <t>[Yan, Zhiyu; Yang, Yanan] Yellow River Conservancy Tech Inst, Coll Elect Engn, Kaifeng 475004, Henan, Peoples R China</t>
  </si>
  <si>
    <t>Yellow River Conservancy Technical Institute</t>
  </si>
  <si>
    <t>Yan, ZY (corresponding author), Yellow River Conservancy Tech Inst, Coll Elect Engn, Kaifeng 475004, Henan, Peoples R China.</t>
  </si>
  <si>
    <t>zyan87231@gmail.com</t>
  </si>
  <si>
    <t>2195-268X</t>
  </si>
  <si>
    <t>2195-2698</t>
  </si>
  <si>
    <t>INT J DYNAM CONTROL</t>
  </si>
  <si>
    <t>Int. J. Dyn. Control</t>
  </si>
  <si>
    <t>10.1007/s40435-023-01296-1</t>
  </si>
  <si>
    <t>Automation &amp; Control Systems; Engineering, Mechanical; Mathematics, Applied</t>
  </si>
  <si>
    <t>Automation &amp; Control Systems; Engineering; Mathematics</t>
  </si>
  <si>
    <t>R5JP3</t>
  </si>
  <si>
    <t>WOS:001064715500002</t>
  </si>
  <si>
    <t>Aghajanzadeh, MS; Imani, R; Nazarpak, MH</t>
  </si>
  <si>
    <t>Aghajanzadeh, Mohamad Sadegh; Imani, Rana; Nazarpak, Masoumeh Haghbin</t>
  </si>
  <si>
    <t>In situ forming aldehyde-modified xanthan/gelatin hydrogel for tissue engineering applications: synthesis, characterization, and optimization</t>
  </si>
  <si>
    <t>JOURNAL OF MATERIALS SCIENCE</t>
  </si>
  <si>
    <t>SELF-HEALING HYDROGEL; XANTHAN GUM; INJECTABLE HYDROGEL; CHITOSAN; DELIVERY; SCAFFOLDS; OXIDATION; POROSITY; ALGINATE; BEHAVIOR</t>
  </si>
  <si>
    <t>Injectable hydrogels have attracted considerable attention in regenerative medicine since their controllable properties. However, there are quite a few challenges in regulating an ideal hydrogel's features for target tissue; overcoming them needs reliable fabrication techniques. In the present work, a novel in situ forming hydrogel based on aldehyde-modified xanthan gum (AXG) and gelatin (Gel) has been developed by taking advantage of Schiff's base reaction and optimized for the tissue engineering applications. First, the AXG with three different oxidation degrees has been successfully synthesized using sodium periodate. Later on, AXG and Gel were blended with different volume ratios. The prepared scaffolds were characterized by FTIR, SEM, rheometer, and compression analysis. In addition, the hydrogels gelation time, injectability, self-healing, and swelling ratios were studied. The results indicated that all hydrogels exhibited suitable morphological as well as physical characteristics for biomedical applications. Because of its high compression strength and modulus, high storage modulus, and suitable swelling behavior, the X1/G2 hydrogel sample was selected as the optimal scaffold. In vitro cell viability shows &amp; GE; 90% cell viability, and MG-63 cells lingered at the surface of the hydrogel, indicating that hydrogels can provide a suitable substrate for cell viability and cell adhesion by in vitro cell culture assay. This study illustrated that the synthesized hydrogels could be reputable scaffolds for biomedical and tissue engineering applications; however, more studies are needed.Graphical abstractNovel polysaccharide-based hydrogels formed by Schiff's base reaction of aldehyde and amine groups, displaying suitable physicomechanical and biological properties for biomedical and tissue engineering applications.</t>
  </si>
  <si>
    <t>[Aghajanzadeh, Mohamad Sadegh; Imani, Rana] Amirkabir Univ Technol, Tehran Polytech, Dept Biomed Engn, Tehran, Iran; [Nazarpak, Masoumeh Haghbin] Amirkabir Univ Technol, Tehran Polytech, New Technol Res Ctr, Tehran, Iran</t>
  </si>
  <si>
    <t>Amirkabir University of Technology; Amirkabir University of Technology</t>
  </si>
  <si>
    <t>Imani, R (corresponding author), Amirkabir Univ Technol, Tehran Polytech, Dept Biomed Engn, Tehran, Iran.</t>
  </si>
  <si>
    <t>r.imani@aut.ac.ir</t>
  </si>
  <si>
    <t>imani, rana/0000-0002-1832-0163</t>
  </si>
  <si>
    <t>Iran National Science Foundation (INSF) [4013250]</t>
  </si>
  <si>
    <t>Iran National Science Foundation (INSF)(Iran National Science Foundation (INSF))</t>
  </si>
  <si>
    <t>This research was financially supported by a grant from Iran National Science Foundation (INSF) (no. 4013250) which is greatly appreciated. The authors would also like to warmly appreciate Dr. Sajedeh Khorshodi, Dr. Reza Karimi, Mr. Amir Hossein Rasooli, and Mr. Yaghoub shavehei from the Amirkabir University of Technology for their scientific consults. Also, the authors declare no potential conflicts of interest.</t>
  </si>
  <si>
    <t>0022-2461</t>
  </si>
  <si>
    <t>1573-4803</t>
  </si>
  <si>
    <t>J MATER SCI</t>
  </si>
  <si>
    <t>J. Mater. Sci.</t>
  </si>
  <si>
    <t>2023 SEP 11</t>
  </si>
  <si>
    <t>10.1007/s10853-023-08878-6</t>
  </si>
  <si>
    <t>Materials Science, Multidisciplinary</t>
  </si>
  <si>
    <t>R7XM0</t>
  </si>
  <si>
    <t>WOS:001066448200001</t>
  </si>
  <si>
    <t>Ansari, MA; Chauhan, W; Shoaib, S; Alyahya, SA; Ali, M; Ashraf, H; Alomary, MN; Al-Suhaimi, EA</t>
  </si>
  <si>
    <t>Ansari, Mohammad Azam; Chauhan, Waseem; Shoaib, Shoaib; Alyahya, Sami A.; Ali, Mubashshir; Ashraf, Hamid; Alomary, Mohammad N.; Al-Suhaimi, Ebtesam A.</t>
  </si>
  <si>
    <t>Emerging therapeutic options in the management of diabetes: recent trends, challenges and future directions</t>
  </si>
  <si>
    <t>INTERNATIONAL JOURNAL OF OBESITY</t>
  </si>
  <si>
    <t>DIPEPTIDYL-PEPTIDASE-IV; GLUCOSIDASE INHIBITORY PEPTIDES; ALPHA-GLUCOSIDASE; BIOACTIVE PEPTIDES; INSULIN-RESISTANCE; IN-VITRO; ANTIMICROBIAL PEPTIDES; GENETIC ARCHITECTURE; ARTIFICIAL-INTELLIGENCE; TYROSINE-PHOSPHATASE</t>
  </si>
  <si>
    <t>Diabetes is a serious health issue that causes a progressive dysregulation of carbohydrate metabolism due to insufficient insulin hormone, leading to consistently high blood glucose levels. According to the epidemiological data, the prevalence of diabetes has been increasing globally, affecting millions of individuals. It is a long-term condition that increases the risk of various diseases caused by damage to small and large blood vessels. There are two main subtypes of diabetes: type 1 and type 2, with type 2 being the most prevalent. Genetic and molecular studies have identified several genetic variants and metabolic pathways that contribute to the development and progression of diabetes. Current treatments include gene therapy, stem cell therapy, statin therapy, and other drugs. Moreover, recent advancements in therapeutics have also focused on developing novel drugs targeting these pathways, including incretin mimetics, SGLT2 inhibitors, and GLP-1 receptor agonists, which have shown promising results in improving glycemic control and reducing the risk of complications. However, these treatments are often expensive, inaccessible to patients in underdeveloped countries, and can have severe side effects. Peptides, such as glucose-dependent insulinotropic polypeptide (GIP) and glucagon-like peptide-1 (GLP-1), are being explored as a potential therapy for diabetes. These peptides are postprandial glucose-dependent pancreatic beta-cell insulin secretagogues and have received much attention as a possible treatment option. Despite these advances, diabetes remains a major health challenge, and further research is needed to develop effective treatments and prevent its complications. This review covers various aspects of diabetes, including epidemiology, genetic and molecular basis, and recent advancements in therapeutics including herbal and synthetic peptides.</t>
  </si>
  <si>
    <t>[Ansari, Mohammad Azam] Imam Abdulrahman Bin Faisal Univ, Inst Res &amp; Med Consultat IRMC, Dept Epidem Dis Res, POB 1982, Dammam 31441, Saudi Arabia; [Chauhan, Waseem] Duke Univ, Dept Hematol, Durham, NC 27710 USA; [Shoaib, Shoaib] Aligarh Muslim Univ, Fac Med, Dept Biochem, Aligarh, Uttar Pradesh, India; [Alyahya, Sami A.] King Abdulaziz City Sci &amp; Technol KACST, Wellness &amp; Prevent Med Inst, Riyadh 11442, Saudi Arabia; [Ali, Mubashshir] USF Hlth Byrd Alzheimers Ctr, Dept Mol Med, Tampa, FL USA; [Ali, Mubashshir] Neurosci Inst, Dept Mol Med, Tampa, FL USA; [Ashraf, Hamid] Aligarh Muslim Univ, Fac Med, Rajiv Gandhi Ctr Diabet &amp; Endocrinol, Aligarh, Uttar Pradesh, India; [Alomary, Mohammad N.] King Abdulaziz City Sci &amp; Technol KACST, Adv Diagnost &amp; Therapeut Inst, Riyadh 11442, Saudi Arabia; [Al-Suhaimi, Ebtesam A.] King Abdulaziz &amp; His Compan Fdn Giftedness &amp; Creat, Riyadh, Saudi Arabia</t>
  </si>
  <si>
    <t>Imam Abdulrahman Bin Faisal University; Duke University; Aligarh Muslim University; Aligarh Muslim University</t>
  </si>
  <si>
    <t>Ansari, MA (corresponding author), Imam Abdulrahman Bin Faisal Univ, Inst Res &amp; Med Consultat IRMC, Dept Epidem Dis Res, POB 1982, Dammam 31441, Saudi Arabia.;Alomary, MN (corresponding author), King Abdulaziz City Sci &amp; Technol KACST, Adv Diagnost &amp; Therapeut Inst, Riyadh 11442, Saudi Arabia.;Al-Suhaimi, EA (corresponding author), King Abdulaziz &amp; His Compan Fdn Giftedness &amp; Creat, Riyadh, Saudi Arabia.</t>
  </si>
  <si>
    <t>maansari@iau.edu.sa; malomary@kacst.edu.sa; ealsuhaimi@iau.edu.sa</t>
  </si>
  <si>
    <t>ANSARI, MOHAMMAD AZAM/R-3143-2017</t>
  </si>
  <si>
    <t>ANSARI, MOHAMMAD AZAM/0000-0002-6122-5479</t>
  </si>
  <si>
    <t>WC and SS are thankful to Indian Council of Medical Research (ICMR), New Delhi and Council of Scientific and Industrial Research (CSIR), New Delhi for providing senior research fellowship, respectively.; Indian Council of Medical Research (ICMR), New Delhi; Council of Scientific and Industrial Research (CSIR), New Delhi</t>
  </si>
  <si>
    <t>WC and SS are thankful to Indian Council of Medical Research (ICMR), New Delhi and Council of Scientific and Industrial Research (CSIR), New Delhi for providing senior research fellowship, respectively.; Indian Council of Medical Research (ICMR), New Delhi(Indian Council of Medical Research (ICMR)); Council of Scientific and Industrial Research (CSIR), New Delhi(Council of Scientific &amp; Industrial Research (CSIR) - India)</t>
  </si>
  <si>
    <t>WC and SS are thankful to Indian Council of Medical Research (ICMR), New Delhi and Council of Scientific and Industrial Research (CSIR), New Delhi for providing senior research fellowship, respectively.</t>
  </si>
  <si>
    <t>0307-0565</t>
  </si>
  <si>
    <t>1476-5497</t>
  </si>
  <si>
    <t>INT J OBESITY</t>
  </si>
  <si>
    <t>Int. J. Obes.</t>
  </si>
  <si>
    <t>10.1038/s41366-023-01369-3</t>
  </si>
  <si>
    <t>Endocrinology &amp; Metabolism; Nutrition &amp; Dietetics</t>
  </si>
  <si>
    <t>R3KC4</t>
  </si>
  <si>
    <t>WOS:001063364400003</t>
  </si>
  <si>
    <t>Bhattacharya, S; Tada, H</t>
  </si>
  <si>
    <t>Bhattacharya, Shatabda; Tada, Hirokazu</t>
  </si>
  <si>
    <t>Magnetic field induced cooperativity tuning in a Fe(II)-based hybrid spin crossover network grown on 2D surfaces</t>
  </si>
  <si>
    <t>MRS ADVANCES</t>
  </si>
  <si>
    <t>THERMAL HYSTERESIS; COMPLEXES; MEMORY; POLYMERS</t>
  </si>
  <si>
    <t>Hybrid nanostructures which are made of 2D architecture have potential applicability in many fields. While spin crossover (SCO) materials have bistability in spin states, their application is limited due to structural delicacy. Combining the flatness of 2D template and unique spin state transition property of SCO, we prepared a hybrid nanocomposite that can detect molecular spin transition at elevated temperatures. We choose chemically synthesized reduced graphene oxide (rGO) due to its plethora of available functional groups on the surface to bind SCO nanoparticle networks. Triazole ligand-based (Trz) Fe(II) SCO network is used due to its versatility. By tuning the coverage area of SCO nanoparticle's network, 4 to 15 nm thickness variation is observed. The hybrid's magnetic characterization reveals a field induced excited spin state transition with large thermal hysteresis (similar to 40K) at high temperature. Due to interfacial substrate interaction, interchain coupling has enhanced, and ferromagnetic ordering is found in the heterostructure.</t>
  </si>
  <si>
    <t>[Bhattacharya, Shatabda; Tada, Hirokazu] Osaka Univ, Grad Sch Engn Sci, Dept Mat Engn Sci, Toyonaka 5608531, Japan; [Tada, Hirokazu] Osaka Univ, Ctr Spintron Res Network, Toyonaka 5608531, Japan; [Tada, Hirokazu] Osaka Univ, Inst Open &amp; Transdisciplinary Res Initiat, Spintron Res Network Div, Toyonaka 5608531, Japan</t>
  </si>
  <si>
    <t>Osaka University; Osaka University; Osaka University</t>
  </si>
  <si>
    <t>Bhattacharya, S; Tada, H (corresponding author), Osaka Univ, Grad Sch Engn Sci, Dept Mat Engn Sci, Toyonaka 5608531, Japan.;Tada, H (corresponding author), Osaka Univ, Ctr Spintron Res Network, Toyonaka 5608531, Japan.;Tada, H (corresponding author), Osaka Univ, Inst Open &amp; Transdisciplinary Res Initiat, Spintron Res Network Div, Toyonaka 5608531, Japan.</t>
  </si>
  <si>
    <t>shatabda.mpes@osaka-u.ac.jp; tada.hirokazu.es@osaka-u.ac.jp</t>
  </si>
  <si>
    <t>Japan Society for the Promotion of Science for providing JSPS International Postdoctoral Fellowship [P20070]; JSPS KAKENHI [22H00315, 22F20070]</t>
  </si>
  <si>
    <t>Japan Society for the Promotion of Science for providing JSPS International Postdoctoral Fellowship(Ministry of Education, Culture, Sports, Science and Technology, Japan (MEXT)Japan Society for the Promotion of Science); JSPS KAKENHI(Ministry of Education, Culture, Sports, Science and Technology, Japan (MEXT)Japan Society for the Promotion of ScienceGrants-in-Aid for Scientific Research (KAKENHI))</t>
  </si>
  <si>
    <t>S.B. acknowledges Japan Society for the Promotion of Science for providing JSPS International Postdoctoral Fellowship (ID P20070) during this work. H. T acknowledges Grant-in-aid for Scientific Research from JSPS KAKENHI (Project Numbers 22H00315 and 22F20070) for financial support during this work.</t>
  </si>
  <si>
    <t>2731-5894</t>
  </si>
  <si>
    <t>2059-8521</t>
  </si>
  <si>
    <t>MRS ADV</t>
  </si>
  <si>
    <t>MRS Adv.</t>
  </si>
  <si>
    <t>10.1557/s43580-023-00639-6</t>
  </si>
  <si>
    <t>R6XQ5</t>
  </si>
  <si>
    <t>WOS:001065769600001</t>
  </si>
  <si>
    <t>Bruno, RR; Hernandez, G; Wollborn, J; Saugel, B; Jung, C; DAMIS Study Grp</t>
  </si>
  <si>
    <t>Bruno, Raphael Romano; Hernandez, Glenn; Wollborn, Jakob; Saugel, Bernd; Jung, Christian; DAMIS Study Grp</t>
  </si>
  <si>
    <t>Microcirculation information in clinical decision making: Rome wasn't built in a day</t>
  </si>
  <si>
    <t>INTENSIVE CARE MEDICINE</t>
  </si>
  <si>
    <t>[Bruno, Raphael Romano; Jung, Christian] Heinrich Heine Univ Duesseldorf, Med Fac, Dept Cardiol Pulmonol &amp; Vasc Med, Moorenstr 5, D-40225 Dusseldorf, Germany; [Hernandez, Glenn] Pontificia Univ Catolica Chile, Fac Med, Dept Med Intens, Santiago, Chile; [Wollborn, Jakob] Harvard Med Sch, Brigham &amp; Womens Hosp, Dept Anesthesiol Perioperat &amp; Pain Med, Boston, MA USA; [Saugel, Bernd] Univ Med Ctr Hamburg Eppendorf, Ctr Anesthesiol &amp; Intens Care Med, Dept Anesthesiol, Hamburg, Germany; [Jung, Christian] CARID Cardiovasc Res Inst Duesseldorf, Dusseldorf, Germany</t>
  </si>
  <si>
    <t>Heinrich Heine University Dusseldorf; Pontificia Universidad Catolica de Chile; Harvard University; Harvard Medical School; Brigham &amp; Women's Hospital; University of Hamburg; University Medical Center Hamburg-Eppendorf</t>
  </si>
  <si>
    <t>Jung, C (corresponding author), Heinrich Heine Univ Duesseldorf, Med Fac, Dept Cardiol Pulmonol &amp; Vasc Med, Moorenstr 5, D-40225 Dusseldorf, Germany.;Jung, C (corresponding author), CARID Cardiovasc Res Inst Duesseldorf, Dusseldorf, Germany.</t>
  </si>
  <si>
    <t>christian.jung@med.uni-duesseldorf.de</t>
  </si>
  <si>
    <t>Projekt DEAL; Forschungskommission of the Medical Faculty of the Heinrich-Heine-University Dusseldorf [2020-21]; German Research Council [SFB 1116]; State of North Rhine Westphalia (Giga for Health: 5GMedizincampus. NRW) [005-2008-0055, PROFILNRW-2020-107-A,TP4]</t>
  </si>
  <si>
    <t>Projekt DEAL; Forschungskommission of the Medical Faculty of the Heinrich-Heine-University Dusseldorf; German Research Council(German Research Foundation (DFG)); State of North Rhine Westphalia (Giga for Health: 5GMedizincampus. NRW)</t>
  </si>
  <si>
    <t>Open Access funding enabled and organized by Projekt DEAL.This work was supported by the Forschungskommission of the Medical Faculty of the Heinrich-Heine-University Dusseldorf No. 2020-21 to RRB for a Clinician Scientist Track. Furthermore, institutional support has been received by the German Research Council (SFB 1116, B06) as well as the State of North Rhine Westphalia (Giga for Health: 5GMedizincampus. NRW, Project number 005-2008-0055 and PROFILNRW-2020-107-A,TP4). No (industry) sponsorship has been received for this investigator-initiated study.</t>
  </si>
  <si>
    <t>0342-4642</t>
  </si>
  <si>
    <t>1432-1238</t>
  </si>
  <si>
    <t>INTENS CARE MED</t>
  </si>
  <si>
    <t>Intensive Care Med.</t>
  </si>
  <si>
    <t>10.1007/s00134-023-07216-3</t>
  </si>
  <si>
    <t>R9HJ4</t>
  </si>
  <si>
    <t>WOS:001067386900002</t>
  </si>
  <si>
    <t>Chatterjee, S; Brockmeyer, D; Zaman, SKU; Roy, R</t>
  </si>
  <si>
    <t>Chatterjee, Sandip; Brockmeyer, Douglas; Zaman, Syed Khizar Uz; Roy, Rohan</t>
  </si>
  <si>
    <t>Pediatric spinal instrumentation</t>
  </si>
  <si>
    <t>CHILDS NERVOUS SYSTEM</t>
  </si>
  <si>
    <t>Pediatric spine; Instrumentation; Future spine</t>
  </si>
  <si>
    <t>ADOLESCENT IDIOPATHIC SCOLIOSIS; TRANSARTICULAR SCREW FIXATION; RIGID INTERNAL-FIXATION; CORD TUMORS; SCHEUERMANNS-DISEASE; FUSION; CHILDREN; STABILIZATION; FRACTURES; ACHONDROPLASIA</t>
  </si>
  <si>
    <t>This article reviews the evolution of spinal instrumentation in the pediatric age group, starting with the cervical spine and atlantoaxial area and ending with the lower spine. The congenital and the acquired conditions which require instrumentation are described. The technical details regarding pediatric instrumentation are alluded to, and finally an attempt is made to predict the future of spinal instrumentation in this age group.</t>
  </si>
  <si>
    <t>[Chatterjee, Sandip; Zaman, Syed Khizar Uz; Roy, Rohan] Pk Clin, Kolkata, India; [Brockmeyer, Douglas] Utah Dept Hlth, Salt Lake City, UT USA</t>
  </si>
  <si>
    <t>Chatterjee, S (corresponding author), Pk Clin, Kolkata, India.</t>
  </si>
  <si>
    <t>sandipchat@gmail.com</t>
  </si>
  <si>
    <t>0256-7040</t>
  </si>
  <si>
    <t>1433-0350</t>
  </si>
  <si>
    <t>CHILD NERV SYST</t>
  </si>
  <si>
    <t>Childs Nerv. Syst.</t>
  </si>
  <si>
    <t>10.1007/s00381-023-06142-5</t>
  </si>
  <si>
    <t>Clinical Neurology; Pediatrics; Surgery</t>
  </si>
  <si>
    <t>Neurosciences &amp; Neurology; Pediatrics; Surgery</t>
  </si>
  <si>
    <t>R2GY1</t>
  </si>
  <si>
    <t>WOS:001062591900001</t>
  </si>
  <si>
    <t>Chen, QC; Li, BK; Yin, LC; Zheng, JY; Duan, ZY; Liu, YQ</t>
  </si>
  <si>
    <t>Chen, Qichao; Li, Bingkun; Yin, Laicheng; Zheng, Junyuan; Duan, Zhaoyu; Liu, Yiqi</t>
  </si>
  <si>
    <t>Hybrid DC circuit breaker with reduced fault isolation time and current limiting capability</t>
  </si>
  <si>
    <t>JOURNAL OF POWER ELECTRONICS</t>
  </si>
  <si>
    <t>HVDC; DC line fault; Fault current limiter; Energy dissipation circuit; Fault isolation</t>
  </si>
  <si>
    <t>DC circuit breakers (DCCBs) are key pieces of equipment to ensure the safe and stable operation of DC grids. However, current DCCB schemes generally have problems such as a slow fault clearing speed and a poor current limiting effect. This paper proposes a current-limited hybrid DC circuit breaker (CLHCB) that limits fault current and has fast fault isolation, which reduces the capacity requirements. The current limiting inductor in the fault current limiter (FCL) provides the current limiting capability. In addition, the energy dissipation circuit (EDC) is in parallel to reduce the energy dissipation in metal oxide arresters (MOAs) and to decrease the fault isolation time (FIT), which can reduce the thermal effects of MOAs and improve their reliability. Simulation results verify the working principle and advantages of the proposed CLHCB. When compared to an ABB HCB under the same simulation parameters, the CLHCB enables fault current limiting and faster fault isolation. Finally, experiments have verified the effectiveness of the proposed CLHCB.</t>
  </si>
  <si>
    <t>[Chen, Qichao] State Grid Econ &amp; Technol Res Inst Co LTD, Beijing, Peoples R China; [Li, Bingkun; Yin, Laicheng; Zheng, Junyuan; Duan, Zhaoyu; Liu, Yiqi] Northeast Forestry Univ, Coll Mech &amp; Elect Engn, Harbin, Peoples R China</t>
  </si>
  <si>
    <t>Liu, YQ (corresponding author), Northeast Forestry Univ, Coll Mech &amp; Elect Engn, Harbin, Peoples R China.</t>
  </si>
  <si>
    <t>liuyq0925@126.com</t>
  </si>
  <si>
    <t>Zheng, Junyuan/0009-0009-8641-7547</t>
  </si>
  <si>
    <t>National Natural Science Foundation of China [52277171]</t>
  </si>
  <si>
    <t>This work was supported in part by the National Natural Science Foundation of China (52277171).</t>
  </si>
  <si>
    <t>1598-2092</t>
  </si>
  <si>
    <t>2093-4718</t>
  </si>
  <si>
    <t>J POWER ELECTRON</t>
  </si>
  <si>
    <t>J. Power Electron.</t>
  </si>
  <si>
    <t>10.1007/s43236-023-00690-4</t>
  </si>
  <si>
    <t>R3BQ4</t>
  </si>
  <si>
    <t>WOS:001063140100001</t>
  </si>
  <si>
    <t>Cui, H; Feng, ZQ; Tian, JL; Kong, DH; Xia, ZS; Li, WN</t>
  </si>
  <si>
    <t>Cui, Hong; Feng, Zhiquan; Tian, Jinglan; Kong, Dehui; Xia, Zishuo; Li, Weina</t>
  </si>
  <si>
    <t>MAG: a smart gloves system based on multimodal fusion perception</t>
  </si>
  <si>
    <t>CCF TRANSACTIONS ON PERVASIVE COMPUTING AND INTERACTION</t>
  </si>
  <si>
    <t>Virtual reality; Smart glove; Multimodal fusion; MR experiment</t>
  </si>
  <si>
    <t>The value and significance of intelligent experiments have gained widespread consensus and formed an industry chain in the education field. However, the interaction issues in such systems have severely constrained their extensive application. These issues manifest in weak operational feedback, problems with traditional interactive devices such as obstructed views and inability to observe subtle experimental phenomena at close range. The most prominent challenge is the inability of existing virtual experiments to accurately perceive user intentions. Therefore, in response to the aforementioned challenging problems in intelligent experiment interaction tools, this paper proposes an overall approach to design a multimodal fusion perception-based Smart gloves system for middle school experiments. It adopts a combination of virtual and real experiments, utilizing the Smart gloves to facilitate the experiment process. The paper designs the hardware structure of the Smart gloves and proposes the YSA algorithm and ICAM algorithm to capture user multimodal intentions, constructing the MAG algorithm to achieve multimodal fusion comprehension of user intentions at the decision-making level. This enhances the system's ability to accurately comprehend and analyze user intentions, thereby strengthening the Smart gloves's intent understanding capability. Experimental results demonstrate that the designed Smart gloves can promptly infer users' experimental intentions and provide corresponding feedback. The experiments further indicate that the developed Smart gloves interaction tool exhibits unique advantages in addressing challenging technical issues faced by existing intelligent experiment tools and traditional data gloves, offering encouraging potential application prospects.</t>
  </si>
  <si>
    <t>[Cui, Hong; Feng, Zhiquan; Tian, Jinglan; Kong, Dehui; Xia, Zishuo; Li, Weina] Univ Jinan, Sch Informat Sci &amp; Engn, Jinan 250022, Peoples R China; [Cui, Hong; Feng, Zhiquan; Tian, Jinglan; Kong, Dehui; Xia, Zishuo; Li, Weina] Univ Jinan, Shandong Prov Key Lab Network Based Intelligent Co, Jinan 250022, Peoples R China</t>
  </si>
  <si>
    <t>University of Jinan; University of Jinan</t>
  </si>
  <si>
    <t>Feng, ZQ (corresponding author), Univ Jinan, Sch Informat Sci &amp; Engn, Jinan 250022, Peoples R China.;Feng, ZQ (corresponding author), Univ Jinan, Shandong Prov Key Lab Network Based Intelligent Co, Jinan 250022, Peoples R China.</t>
  </si>
  <si>
    <t>2293171892@qq.com; ise_fengzq@ujn.edu.cn</t>
  </si>
  <si>
    <t>I would like to thank those who helped me in the preparation of my thesis.</t>
  </si>
  <si>
    <t>2524-521X</t>
  </si>
  <si>
    <t>2524-5228</t>
  </si>
  <si>
    <t>CCF T PERVAS COMPUT</t>
  </si>
  <si>
    <t>CCF Trans. Pervas. Comput. Interact.</t>
  </si>
  <si>
    <t>10.1007/s42486-023-00138-5</t>
  </si>
  <si>
    <t>Computer Science, Artificial Intelligence; Computer Science, Cybernetics; Computer Science, Information Systems; Computer Science, Interdisciplinary Applications</t>
  </si>
  <si>
    <t>R3BU2</t>
  </si>
  <si>
    <t>WOS:001063143900001</t>
  </si>
  <si>
    <t>Ebrahimi, K; Pourkermani, M; Almasian, M; Bouzari, S</t>
  </si>
  <si>
    <t>Ebrahimi, Karamat; Pourkermani, Mohsen; Almasian, Mahmud; Bouzari, Soheila</t>
  </si>
  <si>
    <t>Assessment of Active Tectonics Using Morphometric Indices for the Zarrindasht Area, South of Iran</t>
  </si>
  <si>
    <t>DOKLADY EARTH SCIENCES</t>
  </si>
  <si>
    <t>morphometric indices; neotectonics; the Zarrindast area; South of Iran</t>
  </si>
  <si>
    <t>ZAGROS</t>
  </si>
  <si>
    <t>Zarrindasht County is a county in Fars Province in the south of Iran. This county is located between the folded parts of Zagros. In this area, there are many anticlines and synclines. The present study was performed to assess active tectonic using morphometric indices for the Zarrindasht area (South of Iran). In these studies, the topographic map of the Zarrindasht area, scale 1 : 50 000 and different satellite images were utilized to evaluate the morphometric features of the study area and to measure morphometric indices. Also, information related to lithology, faults, and other geological parameters was obtained from the geological map of the Zarrindasht area, scale 1 : 100 000. A total of 4 geomorphic indices such as the Mountain-front sinuosity index (Smf), drainage basin shape index (Bs), hypsometric integral index (Hi), and the ratio of valley-floor width to valley height (Vf) were studied in the selected locations. The results of these studies showed that most regions of the study area are moderate in terms of tectonic activity. So, in all of these basins, tectonic activity is more than erosion. The final result of the analysis of geomorphic indices showed that in the basins that have high and moderate tectonic movements, there are fault valleys, alluvial fans of the fault mountain front, fault escarpments, etc. Also, the formation of these shapes is affected by the active tectonics in the region.</t>
  </si>
  <si>
    <t>[Ebrahimi, Karamat; Pourkermani, Mohsen; Almasian, Mahmud; Bouzari, Soheila] Islamic Azad Univ, North Tehran Branch, Tehran, Iran</t>
  </si>
  <si>
    <t>Ebrahimi, K (corresponding author), Islamic Azad Univ, North Tehran Branch, Tehran, Iran.</t>
  </si>
  <si>
    <t>karamat.ebrahimi@yahoo.com</t>
  </si>
  <si>
    <t>MAIK NAUKA/INTERPERIODICA/SPRINGER</t>
  </si>
  <si>
    <t>233 SPRING ST, NEW YORK, NY 10013-1578 USA</t>
  </si>
  <si>
    <t>1028-334X</t>
  </si>
  <si>
    <t>1531-8354</t>
  </si>
  <si>
    <t>DOKL EARTH SCI</t>
  </si>
  <si>
    <t>Dokl. Earth Sci.</t>
  </si>
  <si>
    <t>10.1134/S1028334X23600755</t>
  </si>
  <si>
    <t>Geosciences, Multidisciplinary</t>
  </si>
  <si>
    <t>Geology</t>
  </si>
  <si>
    <t>R7XL6</t>
  </si>
  <si>
    <t>WOS:001066447800012</t>
  </si>
  <si>
    <t>Fan, Y; Wang, J; Wu, HD; Dai, LL; Wang, L; Gu, LB</t>
  </si>
  <si>
    <t>Fan, Yao; Wang, Juan; Wu, Haidi; Dai, Lingli; Wang, Lan; Gu, Liubao</t>
  </si>
  <si>
    <t>Effect of statin treatment on mortality in elderly patients with type 2 diabetes mellitus patients: a retrospective cohort study</t>
  </si>
  <si>
    <t>Type 2 diabetes mellitus; Statins; Cohort study; Mortality; Elderly</t>
  </si>
  <si>
    <t>PRIMARY PREVENTION; CARDIOVASCULAR-DISEASE; PARTICIPANTS; METAANALYSIS; MANAGEMENT; EFFICACY; THERAPY; SAFETY; RISK</t>
  </si>
  <si>
    <t>BackgroundThe effects of statins on the reduction of mortality in individuals aged 75 years or older remain controversial. We conducted this study to investigate whether there is an association between statin therapy and mortality in patients with type 2 diabetes mellitus (T2DM) who are over the age of 75 years.MethodsThe present study used data from the Staged Diabetes Targeting Management Study, which began in 2005. A total of 518 T2DM patients older than 75 years were included. Cox regression analyses were used to evaluate the association between statins and specific causes of death in patients with T2DM.ResultsAfter a follow-up period of 6.09 years (interquartile range 3.94-8.81 years), 111 out of 518 patients died. The results of Cox regression analyses showed that there was no significant association between statin use and all-cause mortality (HR 0.75; 95% CI 0.47, 1.19) after adjustment for all potential confounders. Subgroup analysis indicated that statins had no association with the risk of all-cause mortality or deaths caused by ischemic cardiovascular diseases in T2DM patients with or without coronary heart disease.ConclusionsOur study found no significant association between all-cause mortality and statin use in T2DM patients over the age of 75 years. More evidence is needed to support the use of statins in the elderly T2DM patients.</t>
  </si>
  <si>
    <t>[Fan, Yao; Gu, Liubao] Nanjing Med Univ, Div Clin Epidemiol, Geriatr Hosp, Nanjing, Peoples R China; [Wang, Juan; Gu, Liubao] Nanjing Med Univ, Clin Trial Ctr, Geriatr Hosp, Nanjing, Peoples R China; [Wu, Haidi; Dai, Lingli] Nanjing Med Univ, Dept Endocrinol &amp; Metab, Geriatr Hosp, Nanjing, Peoples R China; [Wang, Lan] Nanjing Med Univ, Dept Cardiovasc Med, Geriatr Hosp, Nanjing, Peoples R China</t>
  </si>
  <si>
    <t>Nanjing Medical University; Nanjing Medical University; Nanjing Medical University; Nanjing Medical University</t>
  </si>
  <si>
    <t>Gu, LB (corresponding author), Nanjing Med Univ, Div Clin Epidemiol, Geriatr Hosp, Nanjing, Peoples R China.;Gu, LB (corresponding author), Nanjing Med Univ, Clin Trial Ctr, Geriatr Hosp, Nanjing, Peoples R China.;Wang, L (corresponding author), Nanjing Med Univ, Dept Cardiovasc Med, Geriatr Hosp, Nanjing, Peoples R China.</t>
  </si>
  <si>
    <t>wanglan04@126.com; abobgu@126.com</t>
  </si>
  <si>
    <t>SEP 11</t>
  </si>
  <si>
    <t>10.1186/s12877-023-04252-y</t>
  </si>
  <si>
    <t>R3DZ8</t>
  </si>
  <si>
    <t>WOS:001063202600002</t>
  </si>
  <si>
    <t>Goker, H; Tosun, M</t>
  </si>
  <si>
    <t>Goker, Hanife; Tosun, Mustafa</t>
  </si>
  <si>
    <t>Fast Walsh-Hadamard transform and deep learning approach for diagnosing psychiatric diseases from electroencephalography (EEG) signals</t>
  </si>
  <si>
    <t>NEURAL COMPUTING &amp; APPLICATIONS</t>
  </si>
  <si>
    <t>Deep learning; Signal processing; FWHT; Psychiatric diseases; EEG</t>
  </si>
  <si>
    <t>ALZHEIMERS-DISEASE; AUTOMATIC DETECTION; SCHIZOPHRENIA; CLASSIFICATION; COMPLEXITY; NETWORK; IMAGES</t>
  </si>
  <si>
    <t>Psychiatric diseases are very common worldwide, including schizophrenia (SZ) and Alzheimer's disease (AD). Early diagnosis is very important for medical intervention. Proper diagnosis of these diseases requires long-term observations and extensive testing to recognize their clinical features. These observations and tests may be subjective, expensive, incomplete, or inaccurate. EEG is a strong candidate for the diagnosis of diseases with the advantages of being noninvasive, based on findings, less costly and getting results in a short time. In this paper, we proposed an EEG-based solution for the diagnosis of psychiatric diseases using a fast Walsh-Hadamard transform (FWHT) and deep learning approach. Two different publicly available datasets were combined. SZ, AD and healthy controls (HC) were automatically multi-classified in experiment 1 and SZ and AD groups were classified in experiment 2. Features were extracted using the FWHT. The performances of support vector machine, decision tree, k-nearest neighbour, and bidirectional long-short-term memory (BLSTM) algorithms were compared for each experiment using the extracted features. In the experiments, the BLSTM algorithm displayed the best performance. The BLSTM algorithm demonstrated promising results with 91.05% overall accuracy, 0.86 kappa statistics in experiment 1, and with 98.38% overall accuracy, 0.96 kappa statistics in experiment 2. The results of the experiment provided evidence that people with different psychiatric diseases have different EEG signals. Moreover, it is a rare attempt that SZ, AD and HC groups can be classified automatically and effectively from EEG signals using deep learning model and accuracy was higher than related literature studies.</t>
  </si>
  <si>
    <t>[Goker, Hanife] Gazi Univ, Hlth Serv Vocat Coll, TR-06830 Ankara, Turkiye; [Tosun, Mustafa] Kutahya Dumlupinar Univ, Fac Simav Technol, Dept Elect Elect Engn, TR-43500 Kutahya, Turkiye</t>
  </si>
  <si>
    <t>Gazi University; Dumlupinar University</t>
  </si>
  <si>
    <t>Tosun, M (corresponding author), Kutahya Dumlupinar Univ, Fac Simav Technol, Dept Elect Elect Engn, TR-43500 Kutahya, Turkiye.</t>
  </si>
  <si>
    <t>gokerhanife@gazi.edu.tr; mustafa.tosun@dpu.edu.tr</t>
  </si>
  <si>
    <t>GÖKER, Hanife/HPD-1608-2023</t>
  </si>
  <si>
    <t>GÖKER, Hanife/0000-0003-0396-7885</t>
  </si>
  <si>
    <t>0941-0643</t>
  </si>
  <si>
    <t>1433-3058</t>
  </si>
  <si>
    <t>NEURAL COMPUT APPL</t>
  </si>
  <si>
    <t>Neural Comput. Appl.</t>
  </si>
  <si>
    <t>10.1007/s00521-023-08971-6</t>
  </si>
  <si>
    <t>Computer Science, Artificial Intelligence</t>
  </si>
  <si>
    <t>R3KS7</t>
  </si>
  <si>
    <t>WOS:001063380700001</t>
  </si>
  <si>
    <t>Haider, Z; Saeed, MH; Zaheer, MEU; Alvi, ZA; Ilyas, M; Nasreen, T; Imran, M; Ul Islam, R; Ikram, M</t>
  </si>
  <si>
    <t>Haider, Zeshan; Saeed, Muhammad Haroon; Zaheer, Muhammad Ehsan-ul-Haq; Alvi, Zeeshan Ahmed; Ilyas, Muhammad; Nasreen, Tahira; Imran, Muhammad; Ul Islam, Rameez; Ikram, Manzoor</t>
  </si>
  <si>
    <t>Quantum Random Number Generator (QRNG): theoretical and experimental investigations</t>
  </si>
  <si>
    <t>EUROPEAN PHYSICAL JOURNAL PLUS</t>
  </si>
  <si>
    <t>RANDOM BIT GENERATION; KEY DISTRIBUTION; PHASE</t>
  </si>
  <si>
    <t>Quantum Random Number Generators (QRNGs) emerged as a promising solution for generating truly random numbers. In the present article, we give an overview of QRNGs highlighting the merits and demerits of various strategies briefly. Then opting for the best-case scenario, we present the in-depth experimental explorations for building and characterizing QRNG using the homodyne detection technique to measure the quadrature amplitude of quantum vacuum fluctuations. Since entropy assessment plays a fundamental role in authenticating the true randomness, a comprehensive description of entropy and how it evaluates the quality of randomness of the source is illustrated. Our experimental setup, apart from the hardware, includes a diverse set of testing techniques including NIST statistical/entropy suites, Dieharder tests battery, and autocorrelation coefficient to verify the randomness and statistical properties of the generated random numbers. We believe that our experimental investigations provide a valuable resource for building QRNGs for a wide range of applications.</t>
  </si>
  <si>
    <t>[Haider, Zeshan; Saeed, Muhammad Haroon; Zaheer, Muhammad Ehsan-ul-Haq; Alvi, Zeeshan Ahmed; Ilyas, Muhammad; Nasreen, Tahira; Imran, Muhammad; Ul Islam, Rameez; Ikram, Manzoor] Pakistan Inst Engn &amp; Appl Sci, Natl Inst Lasers &amp; Optron Coll, Islamabad 45650, Pakistan</t>
  </si>
  <si>
    <t>Pakistan Institute of Engineering &amp; Applied Science</t>
  </si>
  <si>
    <t>Haider, Z (corresponding author), Pakistan Inst Engn &amp; Appl Sci, Natl Inst Lasers &amp; Optron Coll, Islamabad 45650, Pakistan.</t>
  </si>
  <si>
    <t>shani12441@gmail.com</t>
  </si>
  <si>
    <t>Haider, Zeshan/0000-0002-7263-2264</t>
  </si>
  <si>
    <t>2190-5444</t>
  </si>
  <si>
    <t>EUR PHYS J PLUS</t>
  </si>
  <si>
    <t>Eur. Phys. J. Plus</t>
  </si>
  <si>
    <t>10.1140/epjp/s13360-023-04421-3</t>
  </si>
  <si>
    <t>R2BE8</t>
  </si>
  <si>
    <t>WOS:001062436400001</t>
  </si>
  <si>
    <t>Iwamoto, A; Fujita, M; Luong, DQ; Anh, J; Chiu, BYW; Choi, J; Chiou, HY; Hayashi, R; Kobayashi, J</t>
  </si>
  <si>
    <t>Iwamoto, Azusa; Fujita, Masami; Luong, Dang Quang; Anh, Jongsoh; Chiu, Betty Ya-Wen; Choi, Jaewook; Chiou, Hung-Yi; Hayashi, Reiko; Kobayashi, Jun</t>
  </si>
  <si>
    <t>Health of migrants and other vulnerable populations across Asian countries: Build Forward Better beyond the COVID-19 pandemic</t>
  </si>
  <si>
    <t>TROPICAL MEDICINE AND HEALTH</t>
  </si>
  <si>
    <t>Asia; Health security; Migration and health; Network; Public health emergency; Vulnerable populations; Integration</t>
  </si>
  <si>
    <t>Global migration has been increasing since before the COVID-19 pandemic. The pandemic has clearly shown a lack of preparedness for the next public health emergency when it comes to vulnerable populations including migrants. To include the issues of migration and health in the current global health agenda, it is important to establish/strengthen a network for collaboration among various stakeholders from both the migrant-sending and host countries of migrants especially in the Asian-Pacific region. As the initial step for networking in Asia, in March 2023, a hybrid style international symposium was held in Japan and agreed on a goal and five pillars: surveillance and monitoring, risk communications, community engagement, access to health and social protection services, and supportive environments. Considering the transition of context from the COVID-19 crisis to 'Build Forward Better', through the Asian network, we will envisage the better world, where vulnerable populations including migrants will not be left behind from health security.</t>
  </si>
  <si>
    <t>[Iwamoto, Azusa; Fujita, Masami] Natl Ctr Global Hlth &amp; Med, Bur Int Hlth Cooperat, 1-21-1 Toyama,Shinjuku Ku, Tokyo 1628655, Japan; [Luong, Dang Quang] Minist Hlth, Personnel Dept, Gen Off Populat &amp; Family Planning, Secretariat Migrant Hlth Working Grp, Hanoi, Vietnam; [Anh, Jongsoh] Korea Fdn Int Healthcare, Global Cooperat Ctr, Humanitarian Dev &amp; Migrant Hlth Team, Soul, South Korea; [Chiu, Betty Ya-Wen] Kaohsiung Med Univ, Inst Publ Hlth, Dept Publ Hlth, Kaohsiung, Taiwan; [Choi, Jaewook] Korea Univ, Dept Prevent Med, Soul, South Korea; [Chiou, Hung-Yi] Natl Hlth Res Inst, Inst Populat Hlth Sci, Miaoli, Taiwan; [Hayashi, Reiko] Natl Inst Populat &amp; Social Secur Res, Tokyo, Japan; [Kobayashi, Jun] Univ Ryukyus, Grad Sch Hlth Sci, Okinawa, Japan</t>
  </si>
  <si>
    <t>National Center for Global Health &amp; Medicine - Japan; Kaohsiung Medical University; Korea University; National Health Research Institutes - Taiwan; University of the Ryukyus</t>
  </si>
  <si>
    <t>Iwamoto, A (corresponding author), Natl Ctr Global Hlth &amp; Med, Bur Int Hlth Cooperat, 1-21-1 Toyama,Shinjuku Ku, Tokyo 1628655, Japan.</t>
  </si>
  <si>
    <t>iwamoto@it.ncgm.go.jp</t>
  </si>
  <si>
    <t>The authors would like to express their sincere gratitude to Dr. Kiyoshi Kita and Dr. Yasuhiko Kamiya, School of Tropical Medicine and Global Health (TMGH), Nagasaki University. We also thank the contributions from the members of Migrant Neighbors' Network</t>
  </si>
  <si>
    <t>The authors would like to express their sincere gratitude to Dr. Kiyoshi Kita and Dr. Yasuhiko Kamiya, School of Tropical Medicine and Global Health (TMGH), Nagasaki University. We also thank the contributions from the members of Migrant Neighbors' Network &amp; amp; Action (MINNA); Dr. Noh Jinwon; Dr. SoYoon Kim; Hung-tzu Wang; Dr. James Wu; Dr. Aiko Kaji and all the participants in the consultation workshop and the symposium.</t>
  </si>
  <si>
    <t>1348-8945</t>
  </si>
  <si>
    <t>1349-4147</t>
  </si>
  <si>
    <t>TROP MED HEALTH</t>
  </si>
  <si>
    <t>Trop. Med. Health</t>
  </si>
  <si>
    <t>10.1186/s41182-023-00543-7</t>
  </si>
  <si>
    <t>Tropical Medicine</t>
  </si>
  <si>
    <t>R7ED5</t>
  </si>
  <si>
    <t>WOS:001065938900001</t>
  </si>
  <si>
    <t>Mo, WX; Sun, F; Han, TX; Mao, HW</t>
  </si>
  <si>
    <t>Mo, Wenxiu; Sun, Fei; Han, Tongxin; Mao, Huawei</t>
  </si>
  <si>
    <t>Panniculitis with late onset enthesitis-related arthritis: a case report</t>
  </si>
  <si>
    <t>PEDIATRIC RHEUMATOLOGY</t>
  </si>
  <si>
    <t>Panniculitis; Enthesitis-related arthritis; Extra-articular manifestation; Anti-TNF-alpha</t>
  </si>
  <si>
    <t>JUVENILE IDIOPATHIC ARTHRITIS; LOBULAR PANNICULITIS</t>
  </si>
  <si>
    <t>Background Panniculitis, a type of inflammation of subcutaneous fat, is a relatively uncommon condition that usually presents as inflammatory nodules or plaques, with various proposed etiologic factors. The association between panniculitis and enthesitis-related arthritis has not been described previously. Case presentation Herein, we describe a case of a 11-year-old girl who presented with recurrent fever and painful subcutaneous nodules on her extremities and buttocks. Histological examination of the skin biopsy specimen revealed lobular panniculitis. Despite the use of prednisone and mycophenolate mofetil for several months, the patient experienced a relapse of skin lesions and additional symptoms of peripheral joint swelling and inflammatory lumbar pain. She was diagnosed with enthesitis-related arthritis after confirmation by imaging. The panniculitis demonstrated a sustained response when a tumor necrosis factor alpha inhibitor was used for enthesitis-related arthritis. At 2-year follow-up, her skin lesions and arthritis remained stable. Conclusions Although rare, panniculitis can be considered an unusual extra-articular manifestation of enthesitis-related arthritis based on clinical and pathological insights.</t>
  </si>
  <si>
    <t>[Mo, Wenxiu; Sun, Fei; Han, Tongxin; Mao, Huawei] Capital Med Univ, Beijing Childrens Hosp, Natl Ctr Childrens Hlth, Dept Immunol,Minist Educ,Key Lab Major Dis Childre, 56 South Lishi Rd, Beijing, Peoples R China</t>
  </si>
  <si>
    <t>Capital Medical University</t>
  </si>
  <si>
    <t>Mao, HW (corresponding author), Capital Med Univ, Beijing Childrens Hosp, Natl Ctr Childrens Hlth, Dept Immunol,Minist Educ,Key Lab Major Dis Childre, 56 South Lishi Rd, Beijing, Peoples R China.</t>
  </si>
  <si>
    <t>maohwei@qq.com</t>
  </si>
  <si>
    <t>We would like to thank the patient and her family.</t>
  </si>
  <si>
    <t>1546-0096</t>
  </si>
  <si>
    <t>PEDIATR RHEUMATOL</t>
  </si>
  <si>
    <t>Pediatr. Rheumatol.</t>
  </si>
  <si>
    <t>10.1186/s12969-023-00888-7</t>
  </si>
  <si>
    <t>Pediatrics; Rheumatology</t>
  </si>
  <si>
    <t>R6ZB6</t>
  </si>
  <si>
    <t>WOS:001065806700001</t>
  </si>
  <si>
    <t>Neri, I; Pascale, MM; Bianco, G; Frongillo, F; Agnes, S; Giovinazzo, F</t>
  </si>
  <si>
    <t>Neri, Ilaria; Pascale, Marco Maria; Bianco, Giuseppe; Frongillo, Francesco; Agnes, Salvatore; Giovinazzo, Francesco</t>
  </si>
  <si>
    <t>Age and liver graft: a systematic review with meta-regression</t>
  </si>
  <si>
    <t>UPDATES IN SURGERY</t>
  </si>
  <si>
    <t>Liver transplantation; Extended criteria donors; Elderly donors</t>
  </si>
  <si>
    <t>DONORS OLDER; MACHINE PERFUSION; ELDERLY DONORS; TRANSPLANTATION; DONATION; METAANALYSIS; OUTCOMES; BIAS</t>
  </si>
  <si>
    <t>Increasing organ shortage results in extended criteria donors (ECD) being used to face the growing demand for liver grafts. The demographic change leads to greater use of elderly donors for liver transplantation, historically considered marginal donors. Age is still considered amongst ECD in liver transplantation as it could affect transplant outcomes. However, what is the cutoff for donor age is still unclear and debated. A search of PubMed, Scopus and Cochrane Library was performed. The primary outcome was 1-year graft survival (GS). The secondary outcome was overall biliary complications and 3-5 years of graft and overall survival. A meta-regression model was used to analyse the temporal trend relation in the survival outcome. The meta-analysis included 11 studies. Hazard ratios for 1-year (age cutoff of 70 and 80,) and 5-year GS (I2:0%) were similar irrespectively of the age group. The meta-regression analysis showed a significant correlation between the 1-year graft survival and the year of publication. (coef. 0.00027, 95% CI - 0.0001 to - 0.0003 p = 0.0009). Advanced-age donors showed an increased risk of overall biliary complications with an odd ratio (OR) of 1.89 (95% CI 1-3.65). Liver grafts potentially discharged because of high-risk failure show encouraging results, and GS in ECD has progressively improved with a temporal trend. Currently, the criteria of marginality vary amongst centres. Age alone cannot be considered amongst the extended criteria. First of all, because of the positive results in terms of septuagenarian graft survival. Moreover, the potential elderly donor-related adjunctive risk can be balanced by reducing other risk factors. A prospective multicentre study should investigate a multi-factorial model based on donor criteria, recipient features and new functional biomarkers to predict graft outcome, as proper donor-recipient matching seems to be the critical point for good outcomes.</t>
  </si>
  <si>
    <t>[Neri, Ilaria; Pascale, Marco Maria; Bianco, Giuseppe; Frongillo, Francesco; Agnes, Salvatore; Giovinazzo, Francesco] Fdn Policlin Univ Agostino Gemelli IRCCS, Gen Surg &amp; Liver Transplant Unit, Rome, Italy</t>
  </si>
  <si>
    <t>Catholic University of the Sacred Heart; IRCCS Policlinico Gemelli</t>
  </si>
  <si>
    <t>Giovinazzo, F (corresponding author), Fdn Policlin Univ Agostino Gemelli IRCCS, Gen Surg &amp; Liver Transplant Unit, Rome, Italy.</t>
  </si>
  <si>
    <t>giovinazzo_francesco@live.com</t>
  </si>
  <si>
    <t>Giovinazzo, Francesco/G-2028-2011</t>
  </si>
  <si>
    <t>Giovinazzo, Francesco/0000-0002-3392-9292</t>
  </si>
  <si>
    <t>Universita Cattolica del Sacro Cuore within the CRUI-CARE Agreement</t>
  </si>
  <si>
    <t>Open access funding provided by Universita Cattolica del Sacro Cuore within the CRUI-CARE Agreement.</t>
  </si>
  <si>
    <t>2038-131X</t>
  </si>
  <si>
    <t>2038-3312</t>
  </si>
  <si>
    <t>UPDATES SURG</t>
  </si>
  <si>
    <t>Updates Surg.</t>
  </si>
  <si>
    <t>10.1007/s13304-023-01641-1</t>
  </si>
  <si>
    <t>R3KT0</t>
  </si>
  <si>
    <t>WOS:001063381000001</t>
  </si>
  <si>
    <t>Parker, RA</t>
  </si>
  <si>
    <t>Parker, Richard A.</t>
  </si>
  <si>
    <t>The unblinding of statisticians in clinical trials: commentary on Iflaifel et al., Trials 2023</t>
  </si>
  <si>
    <t>TRIALS</t>
  </si>
  <si>
    <t>Clinical trials; RCT; Blinding; Statisticians; Clinical trials unit</t>
  </si>
  <si>
    <t>Recently, the Blinding of Trial Statisticians research team, Iflaifel and colleagues, have produced detailed guidance regarding the blinding or unblinding of statisticians in clinical trials, based on substantial mixed-methods work. I wish to comment on the research findings. In particular, I argue that open-label trials, non-drug trials, or non-inferiority trials should not be treated any differently from blinded superiority trials with regards to the risk of bias assessment. Prevention of bias should be the priority for definitive randomised controlled trials, regardless of the precise study design.</t>
  </si>
  <si>
    <t>[Parker, Richard A.] Univ Edinburgh, Usher Inst, Edinburgh Clin Trials Unit, Edinburgh, Scotland</t>
  </si>
  <si>
    <t>University of Edinburgh</t>
  </si>
  <si>
    <t>Parker, RA (corresponding author), Univ Edinburgh, Usher Inst, Edinburgh Clin Trials Unit, Edinburgh, Scotland.</t>
  </si>
  <si>
    <t>Richard.Parker@ed.ac.uk</t>
  </si>
  <si>
    <t>The author would like to thank the Editor for his comments, which have improved this article.</t>
  </si>
  <si>
    <t>For the purpose of open access, the authors have applied a Creative Commons Attribution (CC-BY) licence to any Author Accepted Manuscript version arising from this submission.r The author would like to thank the Editor for his comments, which have improved this article.</t>
  </si>
  <si>
    <t>1745-6215</t>
  </si>
  <si>
    <t>Trials</t>
  </si>
  <si>
    <t>10.1186/s13063-023-07623-3</t>
  </si>
  <si>
    <t>R5VO1</t>
  </si>
  <si>
    <t>WOS:001065030100001</t>
  </si>
  <si>
    <t>Shapiro, A; Anderson, W; Mironov, D; Bou-Zeid, E; Grachev, A</t>
  </si>
  <si>
    <t>Shapiro, Alan; Anderson, William; Mironov, Dmitrii; Bou-Zeid, Elie; Grachev, Andrey</t>
  </si>
  <si>
    <t>Celebrating the Career of Evgeni Fedorovich: Explorer of the Boundary-Layer Realm and Ambassador for the Community</t>
  </si>
  <si>
    <t>BOUNDARY-LAYER METEOROLOGY</t>
  </si>
  <si>
    <t>[Shapiro, Alan] Univ Oklahoma, Sch Meteorol, Norman, OK 73072 USA; [Anderson, William] Univ Texas Dallas, Dept Mech Engn, Richardson, TX USA; [Mironov, Dmitrii] Deutsch Wetterdienst, Offenbach, Germany; [Bou-Zeid, Elie] Princeton Univ, Dept Civil &amp; Environm Engn, Princeton, NJ USA; [Grachev, Andrey] DEVCOM Army Res Lab, Atmospher Dynam &amp; Analyt Branch, Las Cruces, NM USA</t>
  </si>
  <si>
    <t>University of Oklahoma System; University of Oklahoma - Norman; University of Texas System; University of Texas Dallas; Princeton University</t>
  </si>
  <si>
    <t>Shapiro, A (corresponding author), Univ Oklahoma, Sch Meteorol, Norman, OK 73072 USA.</t>
  </si>
  <si>
    <t>ashapiro@ou.edu</t>
  </si>
  <si>
    <t>0006-8314</t>
  </si>
  <si>
    <t>1573-1472</t>
  </si>
  <si>
    <t>BOUND-LAY METEOROL</t>
  </si>
  <si>
    <t>Bound.-Layer Meteor.</t>
  </si>
  <si>
    <t>10.1007/s10546-023-00828-8</t>
  </si>
  <si>
    <t>Meteorology &amp; Atmospheric Sciences</t>
  </si>
  <si>
    <t>R9HA3</t>
  </si>
  <si>
    <t>WOS:001067377700001</t>
  </si>
  <si>
    <t>Sun, LM; Hao, DY; Fan, X; Cao, J; Cang, ZQ; He, YX; Song, BQ; Peng, P; Liu, CH</t>
  </si>
  <si>
    <t>Sun, Li-Ming; Hao, Dong-Yue; Fan, Xiao; Cao, Jiao; Cang, Zheng-Qiang; He, Yun-Xia; Song, Bao-Qiang; Peng, Pai; Liu, Chao-Hua</t>
  </si>
  <si>
    <t>Tape Eyelid Closure: An Effective Solution for Nocturnal Lagophthalmos in Patients with Ptosis and Poor Bell's Phenomenon</t>
  </si>
  <si>
    <t>AESTHETIC PLASTIC SURGERY</t>
  </si>
  <si>
    <t>Ptosis; Poor Bell's phenomenon; Nocturnal lagophthalmos; Contraindication</t>
  </si>
  <si>
    <t>BLEPHAROPTOSIS; BLEPHAROPLASTY</t>
  </si>
  <si>
    <t>BackgroundPoor Bell's phenomenon is often considered a relative contraindication for ptosis surgery, as it increases the risk of corneal exposure and dry eye symptoms after surgery. However, the Bell's phenomenon may vary in different individuals and sleep stages, making it inaccurate to predict the position of the eye during sleep based on awake examination. This study aimed to investigate the role of Bell's phenomenon in ptosis surgery and the management of nocturnal lagophthalmos.MethodsWe conducted a retrospective case series of 23 patients with ptosis and poor Bell's phenomenon who underwent different surgical techniques at Xijing Hospital from April 2020 to June 2021. We assessed Bell's phenomenon at different stages of sleep and collected data on ptosis degree, surgical approach, lagophthalmos, complications, and outcomes.ResultsOf the total 23 patients originally considered for study, 9 with frontalis muscle advancement technique, 8 with conjoint fascial sheath suspension, 4 with levator resection technique, and 2 with levator aponeurosis plication technique. All patients achieved satisfactory correction of ptosis. One patient had prolonged lagophthalmos and underwent reoperation to lower the eyelid height. Other complications were minor and resolved with conservative treatment.ConclusionWe conclude that poor Bell's phenomenon is not a relative contraindication for ptosis surgery. Nocturnal lagophthalmos should be monitored after ptosis surgery regardless of the Bell's phenomenon results. Tape eyelid closure can be an effective solution to protect the corneal surface during nocturnal lagophthalmos.Level of Evidence IVThis journal requires that authors assign a level of evidence to each article. For a full description of these Evidence-Based Medicine ratings, please refer to Table of Contents or the online Instructions to Authors www.springer.com/00266.</t>
  </si>
  <si>
    <t>[Sun, Li-Ming; Hao, Dong-Yue; Fan, Xiao; Cao, Jiao; Cang, Zheng-Qiang; He, Yun-Xia; Song, Bao-Qiang; Peng, Pai; Liu, Chao-Hua] Forth Mil Med Univ, Xijing Hosp, Dept Plast &amp; Reconstruct Surg, 127 Changle West Rd, Xian 710032, Shaanxi, Peoples R China</t>
  </si>
  <si>
    <t>Song, BQ; Peng, P; Liu, CH (corresponding author), Forth Mil Med Univ, Xijing Hosp, Dept Plast &amp; Reconstruct Surg, 127 Changle West Rd, Xian 710032, Shaanxi, Peoples R China.</t>
  </si>
  <si>
    <t>sunliming119@fmmu.edu.cn; dianahollis@163.com; songbq2012@163.com; pengpai@fmmu.edu.cn; lchua1123@163.com</t>
  </si>
  <si>
    <t>0364-216X</t>
  </si>
  <si>
    <t>1432-5241</t>
  </si>
  <si>
    <t>AESTHET PLAST SURG</t>
  </si>
  <si>
    <t>Aesthet. Plast. Surg.</t>
  </si>
  <si>
    <t>10.1007/s00266-023-03645</t>
  </si>
  <si>
    <t>R7VD4</t>
  </si>
  <si>
    <t>WOS:001066387000004</t>
  </si>
  <si>
    <t>Wedgwood, R</t>
  </si>
  <si>
    <t>Wedgwood, Ralph</t>
  </si>
  <si>
    <t>Can our reasons determine what it is rational for us to believe?</t>
  </si>
  <si>
    <t>Reasons; Rationality; Normative invariance; Evidence; Epistemology</t>
  </si>
  <si>
    <t>This is a discussion of Mark Schroeder's book Reasons First. In this book, Schroeder defends the following thesis: for every believer and every time, it is the reasons that the believer has at that time that determine what it is rational for the believer to believe at that time. It is argued here that this thesis is false, since it conflicts with the plausible principle of normative invariance: what a believer ought to believe at a time cannot depend on what the believer actually believes at that time. Schroeder's thesis conflicts with this principle because Schroeder accepts that what reasons a believer has at a time always depends, at least in part, on the beliefs that the believer has at the time. The conclusion to be drawn is that, if this principle of normative invariance is correct, the notions of reasons and evidence should be banished from fundamental epistemology.</t>
  </si>
  <si>
    <t>[Wedgwood, Ralph] Univ Southern Calif, Sch Philosophy, 3709 Trousdale Pkwy, Los Angeles, CA 90089 USA</t>
  </si>
  <si>
    <t>University of Southern California</t>
  </si>
  <si>
    <t>Wedgwood, R (corresponding author), Univ Southern Calif, Sch Philosophy, 3709 Trousdale Pkwy, Los Angeles, CA 90089 USA.</t>
  </si>
  <si>
    <t>wedgwood@usc.edu</t>
  </si>
  <si>
    <t>10.1007/s11098-023-02034-1</t>
  </si>
  <si>
    <t>R7XB7</t>
  </si>
  <si>
    <t>WOS:001066437900003</t>
  </si>
  <si>
    <t>Xie, YS; Zhang, XH</t>
  </si>
  <si>
    <t>Xie, Yishan; Zhang, Xinhua</t>
  </si>
  <si>
    <t>Research on the design and implementation of primary school STEM project based on VR coursewares</t>
  </si>
  <si>
    <t>INTERNATIONAL JOURNAL OF TECHNOLOGY AND DESIGN EDUCATION</t>
  </si>
  <si>
    <t>Virtual reality; VR Coursewares; STEM Projects; 5E learning model; Understanding and application of scientific knowledge</t>
  </si>
  <si>
    <t>VIRTUAL-REALITY</t>
  </si>
  <si>
    <t>STEM education is widely recognized as a powerful means of cultivating well-rounded future talent. However, challenges such as difficulties in observation, declining learning interests, and the lack of teaching resources present obstacles to the implementation of STEM education in China. Virtual Reality (VR), with its immersive, interactive, and imaginative capabilities, has the potential to enhance STEM learning by expanding the boundaries of the physical classroom. In light of these considerations and the fact that STEM activities frequently involve project-based learning (PBL), this research conducted a VR-integrated STEM PBL course entitled Bird Feeder at a primary school in Guangzhou. The main goal of this research was to investigate how the VR + STEM course affected students' comprehension of scientific knowledge, students' design and the acceptance of teacher and students. Twenty-seven Grade 6 students (aged 11-12) participated in the course which comprised four lessons. Two VR coursewares with specific content were developed and used as interventions during the course. Data was collected through pre- and post-tests of scientific knowledge, analysis of students' design drafts, observation of VR learning activities, and interviews. Results from the Wilcoxon matched-pairs signed-rank test (p = 0.000) and content analysis indicated that the VR + STEM course significantly improved students' understanding of scientific concepts, enhanced their design skills, and was well-received by both teachers and students. These findings suggest that VR-based STEM project in primary schools is both feasible and effective in addressing the challenges facing STEM education.</t>
  </si>
  <si>
    <t>[Xie, Yishan; Zhang, Xinhua] Guangdong Hong Kong Macao Greater Bay Area STEM Ed, Guangzhou, Peoples R China; [Xie, Yishan] Educ Univ Hong Kong, Hong Kong, Peoples R China; [Zhang, Xinhua] South China Normal Univ, Guangzhou, Peoples R China</t>
  </si>
  <si>
    <t>Education University of Hong Kong (EdUHK); South China Normal University</t>
  </si>
  <si>
    <t>Xie, YS (corresponding author), Guangdong Hong Kong Macao Greater Bay Area STEM Ed, Guangzhou, Peoples R China.;Xie, YS (corresponding author), Educ Univ Hong Kong, Hong Kong, Peoples R China.</t>
  </si>
  <si>
    <t>ellenxie1111@gmail.com</t>
  </si>
  <si>
    <t>0957-7572</t>
  </si>
  <si>
    <t>1573-1804</t>
  </si>
  <si>
    <t>INT J TECHNOL DES ED</t>
  </si>
  <si>
    <t>Int. J. Technol. Des. Educ.</t>
  </si>
  <si>
    <t>10.1007/s10798-023-09848-4</t>
  </si>
  <si>
    <t>Education &amp; Educational Research; Education, Scientific Disciplines; Engineering, Multidisciplinary</t>
  </si>
  <si>
    <t>Education &amp; Educational Research; Engineering</t>
  </si>
  <si>
    <t>R3KC6</t>
  </si>
  <si>
    <t>WOS:001063364600001</t>
  </si>
  <si>
    <t>[Anonymous]</t>
  </si>
  <si>
    <t>Selected Abstracts from the joint Meeting of 16th Congress of the European Association of Clinical Anatomy (EACA) and the XII Meeting of the International Symposium of Clinical and Applied Anatomy (ISCAA) Padova, Italy, held remotely via zoom platform, Date 14th to 16th September 2021-Abstracts</t>
  </si>
  <si>
    <t>SURGICAL AND RADIOLOGIC ANATOMY</t>
  </si>
  <si>
    <t>Meeting</t>
  </si>
  <si>
    <t>SPRINGER FRANCE</t>
  </si>
  <si>
    <t>PARIS</t>
  </si>
  <si>
    <t>22 RUE DE PALESTRO, PARIS, 75002, FRANCE</t>
  </si>
  <si>
    <t>0930-1038</t>
  </si>
  <si>
    <t>1279-8517</t>
  </si>
  <si>
    <t>SURG RADIOL ANAT</t>
  </si>
  <si>
    <t>Surg. Radiol. Anat.</t>
  </si>
  <si>
    <t>10.1007/s00276-023-03224-6</t>
  </si>
  <si>
    <t>Anatomy &amp; Morphology; Radiology, Nuclear Medicine &amp; Medical Imaging; Surgery</t>
  </si>
  <si>
    <t>S1KS8</t>
  </si>
  <si>
    <t>WOS:001068833300001</t>
  </si>
  <si>
    <t>Botelho, F; Tshimula, JM; Poenaru, D</t>
  </si>
  <si>
    <t>Botelho, Fabio; Tshimula, Jean Marie; Poenaru, Dan</t>
  </si>
  <si>
    <t>Leveraging ChatGPT to Democratize and Decolonize Global Surgery: Large Language Models for Small Healthcare Budgets</t>
  </si>
  <si>
    <t>WORLD JOURNAL OF SURGERY</t>
  </si>
  <si>
    <t>[Botelho, Fabio; Tshimula, Jean Marie; Poenaru, Dan] McGill Univ, Dept Pediat Surg &amp; Surg &amp; Intervent Sci, Montreal, PQ, Canada</t>
  </si>
  <si>
    <t>McGill University</t>
  </si>
  <si>
    <t>Poenaru, D (corresponding author), McGill Univ, Dept Pediat Surg &amp; Surg &amp; Intervent Sci, Montreal, PQ, Canada.</t>
  </si>
  <si>
    <t>dan.poenaru@mcgill.ca</t>
  </si>
  <si>
    <t>Poenaru, Dan/S-2562-2017</t>
  </si>
  <si>
    <t>Poenaru, Dan/0000-0002-6267-6140</t>
  </si>
  <si>
    <t>0364-2313</t>
  </si>
  <si>
    <t>1432-2323</t>
  </si>
  <si>
    <t>WORLD J SURG</t>
  </si>
  <si>
    <t>World J.Surg.</t>
  </si>
  <si>
    <t>2023 SEP 10</t>
  </si>
  <si>
    <t>10.1007/s00268-023-07167-2</t>
  </si>
  <si>
    <t>R5TY0</t>
  </si>
  <si>
    <t>WOS:001064987600002</t>
  </si>
  <si>
    <t>Holloway-Kew, KL; Anderson, KB; Rufus-Membere, P; Tembo, MC; Sui, SX; Hyde, NK; Kotowicz, MA; Gwini, SM; Yang, J; Diez-Perez, A; Henneberg, M; Liao, WH; Pasco, JA</t>
  </si>
  <si>
    <t>Holloway-Kew, Kara L.; Anderson, Kara B.; Rufus-Membere, Pamela; Tembo, Monica C.; Sui, Sophia X.; Hyde, Natalie K.; Kotowicz, Mark A.; Gwini, Stella M.; Yang, Jun; Diez-Perez, Adolfo; Henneberg, Maciej; Liao, Wan-Hui; Pasco, Julie A.</t>
  </si>
  <si>
    <t>Associations Between Aldosterone-Renin-Ratio and Bone Parameters Derived from Peripheral Quantitative Computed Tomography and Impact Microindentation in Men</t>
  </si>
  <si>
    <t>CALCIFIED TISSUE INTERNATIONAL</t>
  </si>
  <si>
    <t>Aldosterone-renin-ratio; Primary aldosteronism; Impact microindentation; Bone material strength index; Peripheral quantitative computed tomography; Males</t>
  </si>
  <si>
    <t>TRABECULAR BONE; SCORE</t>
  </si>
  <si>
    <t>Components of the renin-angiotensin-aldosterone system (RAAS) are present on bone cells. One measure of RAAS activity, the aldosterone-renin-ratio (ARR), is used to screen for primary aldosteronism. Associations between ARR and bone mineral density are conflicting. This study investigated associations between ARR and peripheral quantitative computed tomography (pQCT) and impact microindentation (IMI). Male participants (n = 431) were from the Geelong Osteoporosis Study. Likely primary aldosteronism was defined as ARR =70 pmol/mIU. Another group, possible primary aldosteronism, was defined as either ARR = 70 pmol/mIU or taking a medication that affects the RAAS, but not a beta blocker, and renin &lt; 15 mU/L. Using pQCT, images at 4% and 66% of radial (n = 365) and tibial (n = 356) length were obtained. Using IMI measurements, bone material strength index (BMSi; n = 332) was determined. Associations between ARR or likely/possible primary aldosteronism and IMI or pQCT-derived bone parameters were tested using median regression. ARR and aldosterone values were not associated with any of the pQCT-derived bone variables in either unadjusted or adjusted analyses. Men with likely primary aldosteronism (n = 16), had lower adjusted total bone area (radial 66% site, - 12.5%). No associations were observed for men with possible primary aldosteronism (unadjusted or adjusted). No associations with BMSi were observed (p &gt; 0.05). There were no associations between ARR or aldosterone and pQCT-derived bone parameters. Men with likely primary aldosteronism had lower bone area, suggesting clinically high levels of ARR may have a negative impact on bone health.</t>
  </si>
  <si>
    <t>[Holloway-Kew, Kara L.; Anderson, Kara B.; Rufus-Membere, Pamela; Tembo, Monica C.; Sui, Sophia X.; Hyde, Natalie K.; Kotowicz, Mark A.; Gwini, Stella M.; Pasco, Julie A.] Deakin Univ, Sch Med, IMPACT Inst Mental &amp; Phys Hlth &amp; Clin Translat, Geelong, Vic, Australia; [Kotowicz, Mark A.; Gwini, Stella M.; Pasco, Julie A.] Barwon Hlth, Geelong, Vic, Australia; [Kotowicz, Mark A.; Pasco, Julie A.] Univ Melbourne, Dept Med Western Hlth, St Albans, Australia; [Gwini, Stella M.; Yang, Jun] Hudson Inst Med Res, Ctr Endocrinol &amp; Metab, Clayton, Vic, Australia; [Gwini, Stella M.; Pasco, Julie A.] Monash Univ, Sch Publ Hlth &amp; Prevent Med, Prahran, Vic, Australia; [Yang, Jun] Monash Univ, Dept Med, Clayton, Vic, Australia; [Diez-Perez, Adolfo] Autonomous Univ Barcelona, Inst Carlos III, Hosp del Mar IMIM, Barcelona Dept Internal Med, Barcelona, Spain; [Diez-Perez, Adolfo] CIBERFES, Barcelona, Spain; [Henneberg, Maciej] Univ Adelaide, Sch Biomed, Biol Anthropol &amp; Comparat Anat Res Unit, Adelaide, SA, Australia; [Henneberg, Maciej] Univ Zurich, Inst Evolutionary Med, Zurich, Switzerland; [Liao, Wan-Hui] Taipei City Hosp, Yangming Branch, Dept Internal Med, Taipei, Taiwan</t>
  </si>
  <si>
    <t>Deakin University; University of Melbourne; Hudson Institute of Medical Research; Monash University; Monash University; Hospital del Mar Research Institute; Hospital del Mar; Autonomous University of Barcelona; CIBER - Centro de Investigacion Biomedica en Red; CIBERFES; University of Adelaide; University of Zurich; Taipei City Hospital</t>
  </si>
  <si>
    <t>Holloway-Kew, KL (corresponding author), Deakin Univ, Sch Med, IMPACT Inst Mental &amp; Phys Hlth &amp; Clin Translat, Geelong, Vic, Australia.</t>
  </si>
  <si>
    <t>k.holloway@deakin.edu.au</t>
  </si>
  <si>
    <t>Yang, Jun/0000-0003-4620-4976; Anderson, Kara/0000-0002-7798-180X; Kotowicz, Mark/0000-0002-8094-1411; Holloway-Kew, Kara/0000-0001-5064-2990</t>
  </si>
  <si>
    <t>CAUL; Amgen Inc.; National Health and Medical Research Council [251638]; Julie A Pasco [299831, 628582]; Alfred Deakin Postdoctoral Research Fellowship; Australian Government Research Training Program Scholarship; Deakin University Postgraduate Industry Research Scholarship; Deakin Postgraduate Scholarship; Dean's Research Postdoctoral Fellowship (Deakin University); Institute for Mental and Physical Health and Clinical Translation Seed Funding Grant; Victorian Government Operational Infrastructure Scheme</t>
  </si>
  <si>
    <t>CAUL; Amgen Inc.(Amgen); National Health and Medical Research Council(National Health and Medical Research Council (NHMRC) of Australia); Julie A Pasco; Alfred Deakin Postdoctoral Research Fellowship; Australian Government Research Training Program Scholarship(Australian GovernmentDepartment of Industry, Innovation and Science); Deakin University Postgraduate Industry Research Scholarship; Deakin Postgraduate Scholarship; Dean's Research Postdoctoral Fellowship (Deakin University); Institute for Mental and Physical Health and Clinical Translation Seed Funding Grant; Victorian Government Operational Infrastructure Scheme</t>
  </si>
  <si>
    <t>Open Access funding enabled and organized by CAUL and its Member Institutions. Amgen Inc., National Health and Medical Research Council, 251638, Julie A Pasco, 299831, Julie A Pasco, 628582, Julie A Pasco, Alfred Deakin Postdoctoral Research Fellowship, Australian Government Research Training Program Scholarship, Deakin University Postgraduate Industry Research Scholarship, Deakin Postgraduate Scholarship, Dean's Research Postdoctoral Fellowship (Deakin University), Institute for Mental and Physical Health and Clinical Translation Seed Funding Grant, Victorian Government Operational Infrastructure Scheme.</t>
  </si>
  <si>
    <t>0171-967X</t>
  </si>
  <si>
    <t>1432-0827</t>
  </si>
  <si>
    <t>CALCIFIED TISSUE INT</t>
  </si>
  <si>
    <t>Calcif. Tissue Int.</t>
  </si>
  <si>
    <t>10.1007/s00223-023-01131-x</t>
  </si>
  <si>
    <t>Endocrinology &amp; Metabolism</t>
  </si>
  <si>
    <t>R6BZ6</t>
  </si>
  <si>
    <t>WOS:001065199000001</t>
  </si>
  <si>
    <t>Mojirsheibani, M; Pouliot, W; Shakhbandaryan, A</t>
  </si>
  <si>
    <t>Mojirsheibani, Majid; Pouliot, William; Shakhbandaryan, Andre</t>
  </si>
  <si>
    <t>On regression and classification with possibly missing response variables in the data</t>
  </si>
  <si>
    <t>METRIKA</t>
  </si>
  <si>
    <t>Regression; Partially observed data; Kernel; Convergence; Classification; Margin condition</t>
  </si>
  <si>
    <t>LINEAR-REGRESSION; CONVERGENCE; MARGIN; MODELS</t>
  </si>
  <si>
    <t>This paper considers the problem of kernel regression and classification with possibly unobservable response variables in the data, where the mechanism that causes the absence of information can depend on both predictors and the response variables. Our proposed approach involves two steps: First we construct a family of models (possibly infinite dimensional) indexed by the unknown parameter of the missing probability mechanism. In the second step, a search is carried out to find the empirically optimal member of an appropriate cover (or subclass) of the underlying family in the sense of minimizing the mean squared prediction error. The main focus of the paper is to look into some of the theoretical properties of these estimators. The issue of identifiability is also addressed. Our methods use a data-splitting approach which is quite easy to implement. We also derive exponential bounds on the performance of the resulting Destimators in terms of their deviations from the true regression curve in general L-p norms, where we allow the size of the cover or subclass to diverge as the sample size n increases. These bounds immediately yield various strong convergence results for the proposed estimators. As an application of our findings, we consider the problem of statistical classification based on the proposed regression estimators and also look into their rates of convergence under different settings. Although this work is mainly stated for kernel-type estimators, it can also be extended to other popular local-averaging methods such as nearest-neighbor and histogram estimators.</t>
  </si>
  <si>
    <t>[Mojirsheibani, Majid; Shakhbandaryan, Andre] Calif State Univ Northridge, Dept Math, Northridge, CA 91330 USA; [Pouliot, William] Univ Birmingham, Dept Econ, Birmingham, England</t>
  </si>
  <si>
    <t>California State University System; California State University Northridge; University of Birmingham</t>
  </si>
  <si>
    <t>Mojirsheibani, M (corresponding author), Calif State Univ Northridge, Dept Math, Northridge, CA 91330 USA.</t>
  </si>
  <si>
    <t>majid.mojirsheibani@csun.edu</t>
  </si>
  <si>
    <t>National Science Foundation [DMS-1916161]</t>
  </si>
  <si>
    <t>This work was supported by the National Science Foundation Grant DMS-1916161 of Majid Mojirsheibani.</t>
  </si>
  <si>
    <t>0026-1335</t>
  </si>
  <si>
    <t>1435-926X</t>
  </si>
  <si>
    <t>Metrika</t>
  </si>
  <si>
    <t>s00184-023-00923-3</t>
  </si>
  <si>
    <t>10.1007/s00184-023-00923-3</t>
  </si>
  <si>
    <t>R1JV6</t>
  </si>
  <si>
    <t>WOS:001061983100001</t>
  </si>
  <si>
    <t>Verma, C; Sharma, P; Singla, S; Srivastava, A; Sharma, R</t>
  </si>
  <si>
    <t>Verma, Chaman; Sharma, Purushottam; Singla, Sanjay; Srivastava, Abhishek; Sharma, Ruchi</t>
  </si>
  <si>
    <t>SARS-CoV-2 forecasting using regression and ARIMA</t>
  </si>
  <si>
    <t>INTERNATIONAL JOURNAL OF SYSTEM ASSURANCE ENGINEERING AND MANAGEMENT</t>
  </si>
  <si>
    <t>Covid-19; Correlation; Deceased prediction; Regression; ARIMA</t>
  </si>
  <si>
    <t>EPIDEMIC; CHINA</t>
  </si>
  <si>
    <t>Respiratory syndrome coronavirus 2 (SARS-CoV-2) is a pandemic coronavirus that is spreading quickly throughout the world. Every person experiences fear due to the unexpected pandemic (Covid-19), which is spreading quickly and affecting people. The affected patients' daily growth rate is accelerating. A predictive analysis was done to determine the potential number of deaths brought on by this pandemic. An official dataset of 35 states/UTs of India was investigated with predictive analysis (regression modeling). To predict the patient's deceased, both recovered and active cases have been impacted. This paper estimated future deceased counts based on active and recovered cases individually and jointly. The high positive linear correlation proved that the active and recovered case affected the patient's deceased rate. Regression models explored high aspects of the deceased ahead. Multiple linear regression has predicted a deceased patient based on active and recovered patients with significant R2 = 0.89. Further, temporal dynamics of Covid-19 timing analyzed with Auto-Regressive Integrated Moving Average forecasted confirmed, active, recovered, and deceased cases for the next 40 days. According to the results, a high cure is still required for active and recovered patients, and the government should follow in obligatory footsteps to avoid more deceased predicted with the models.</t>
  </si>
  <si>
    <t>[Verma, Chaman] Eotvos Lorand Univ, Dept Media &amp; Educ Informat, Budapest, Hungary; [Sharma, Purushottam; Srivastava, Abhishek] Am Univ Uttar Pradesh, Dept Informat Technol, ASET, Noida, India; [Singla, Sanjay] Chandigarh Univ, Dept Comp Sci &amp; Engn, UIE, Mohali, India; [Sharma, Ruchi] Int Management Inst, Dept MIS &amp; Analyt, Kolkata, W Bengal, India</t>
  </si>
  <si>
    <t>Eotvos Lorand University; Amity University Noida; Chandigarh University; International Management Institute (IMI) Kolkata</t>
  </si>
  <si>
    <t>Sharma, P (corresponding author), Am Univ Uttar Pradesh, Dept Informat Technol, ASET, Noida, India.</t>
  </si>
  <si>
    <t>chaman@inf.elte.hu; puru.mit2002@gmail.com; dr.ssinglacs@gmail.com; abhishek.sri13@gmail.com; rs.sharma184@gmail.com</t>
  </si>
  <si>
    <t>Sharma, Purushottam/AAI-1815-2021; verma, chaman/A-5517-2018</t>
  </si>
  <si>
    <t>Sharma, Purushottam/0000-0002-8037-7152; verma, chaman/0000-0002-9925-112X</t>
  </si>
  <si>
    <t>0975-6809</t>
  </si>
  <si>
    <t>0976-4348</t>
  </si>
  <si>
    <t>INT J SYST ASSUR ENG</t>
  </si>
  <si>
    <t>Int. J. Syst. Assur. Eng. Manag.</t>
  </si>
  <si>
    <t>10.1007/s13198-023-02127-4</t>
  </si>
  <si>
    <t>Engineering, Multidisciplinary</t>
  </si>
  <si>
    <t>R5VS2</t>
  </si>
  <si>
    <t>WOS:001065034300001</t>
  </si>
  <si>
    <t>Vilchevskaya, AE; Vilchevskaya, EN; Mueller, WH; Eremeyev, VA</t>
  </si>
  <si>
    <t>Vilchevskaya, Anastasiya E.; Vilchevskaya, Elena N.; Mueller, Wolfgang H.; Eremeyev, Victor A.</t>
  </si>
  <si>
    <t>Modeling of blood flow in the framework of micropolar theory</t>
  </si>
  <si>
    <t>CONTINUUM MECHANICS AND THERMODYNAMICS</t>
  </si>
  <si>
    <t>Micropolar media; Blood flow; Microstructural change; Microinertia with production</t>
  </si>
  <si>
    <t>VISCOSITY; AGGREGATION</t>
  </si>
  <si>
    <t>In this paper, we study the blood flow through blood vessels of various radii (including the case of variable cross section as well as modeling the blood flow through venae and arteries). Two approaches are discussed in order to mimic the dependence of blood viscosity on red blood cells aggregation, which changes with the shear rate and position inside the vessel: Two microstructural parameters together with empirical constitutive equations as a characteristic of aggregation are proposed, namely the microinertia as well as the volume fraction of blood particles (erythrocytes, platelets and leukocytes). Consequently, the Navier-Stokes system of equations for an incompressible fluid is supplemented by a constitutive equation for the moment of inertia in one case and for the volume fraction in another. The problems are solved numerically by the finite volume method for vessels of various geometries in spatial description. A comparison with experimental data for a narrow capillary shows the efficiency of the proposed constitutive equations for describing blood flow. Also, velocity profiles are obtained on the basis of compiled empirical formula for various sections of a blood vessel of variable radius. In addition, the flow through vessels of the human circulatory system, such as the inferior vena cava and the carotid artery, are studied.</t>
  </si>
  <si>
    <t>[Vilchevskaya, Anastasiya E.] Way4Serv Doo, Makedonska 30, Beograd Stari Grad 11000, Belgrade, Serbia; [Mueller, Wolfgang H.] Tech Univ Berlin, Inst Mech, Chair Continuum Mech &amp; Constitut Theory, Sekr MS 2,Einsteinufer 5, D-10587 Berlin, Germany; [Eremeyev, Victor A.] Univ Cagliari, Dept Civil &amp; Environm Engn &amp; Architecture DICAAR, Via Marengo 2, I-09123 Cagliari, Italy</t>
  </si>
  <si>
    <t>Technical University of Berlin; University of Cagliari</t>
  </si>
  <si>
    <t>Mueller, WH (corresponding author), Tech Univ Berlin, Inst Mech, Chair Continuum Mech &amp; Constitut Theory, Sekr MS 2,Einsteinufer 5, D-10587 Berlin, Germany.</t>
  </si>
  <si>
    <t>wolfgang.h.mueller@tu-berlin.de</t>
  </si>
  <si>
    <t>Eremeyev, Victor A./B-1478-2010</t>
  </si>
  <si>
    <t>Eremeyev, Victor A./0000-0002-8128-3262</t>
  </si>
  <si>
    <t>Deutsche Forschungsgemeinschaft DFG [MU 1752/64-1]</t>
  </si>
  <si>
    <t>Deutsche Forschungsgemeinschaft DFG(German Research Foundation (DFG))</t>
  </si>
  <si>
    <t>The authors wish to acknowledge financial support from the Deutsche Forschungsgemeinschaft DFG within the framework of Grant MU 1752/64-1 Ein neuer Zugang zur Beschreibung struktureller AEnderungen in Mikropolarmedien.</t>
  </si>
  <si>
    <t>0935-1175</t>
  </si>
  <si>
    <t>1432-0959</t>
  </si>
  <si>
    <t>CONTINUUM MECH THERM</t>
  </si>
  <si>
    <t>Continuum Mech. Thermodyn.</t>
  </si>
  <si>
    <t>10.1007/s00161-023-01251-7</t>
  </si>
  <si>
    <t>R2HL6</t>
  </si>
  <si>
    <t>WOS:001062605600001</t>
  </si>
  <si>
    <t>Aathmanesan, T</t>
  </si>
  <si>
    <t>Aathmanesan, T.</t>
  </si>
  <si>
    <t>Stubs loaded multi band antenna for vehicle-to-vehicle communication</t>
  </si>
  <si>
    <t>Vehicle to vehicle; Microstrip patch antenna; Multi band; Radiation pattern</t>
  </si>
  <si>
    <t>CHANNEL MODEL; V2V COMMUNICATION</t>
  </si>
  <si>
    <t>Stubs loaded multi band antenna for vehicle-to-vehicle communication operating at 6.5 GHz, 8.5 GHz and 12.5 GHz is presented in this paper. The antenna is based on a rectangular patch loaded with the L shaped stubs for radiating along with the partial ground structure. The higher band 12.5 GHz is achieved by the addition of the L shaped stubs along with the rectangular patch. The partial ground is responsible for the generation of lower band of frequencies from 6.5 to 8.5 GHz. The proposed antenna is modelled using CST Microwave Studio simulator and are validated using Agilent network analyzer (N9925A) and antenna test systems for measuring impedance and radiation characteristics. The outcomes of the proposed antenna are impedance bandwidth of 2.05 GHz, 111 MHz and the gains of 5.09 dBi, 5.06 dBi, with the efficiency of 85.81%, 84.72% in the two resonating bands such as 7.5 GHz (6.5-8.5 GHz) and 12.5 GHz respectively. The radiation patterns exhibited stability within the operating bands, indicating that the proposed stubs loaded multi-band antenna holds promise as a viable solution for vehicle-to-vehicle communication applications which helps in enhanced road safety, traffic management, and overall driving experience.</t>
  </si>
  <si>
    <t>[Aathmanesan, T.] Vel Tech Rangarajan Dr Sagunthala R&amp;D Inst Sci &amp; T, Dept Elect &amp; Commun Engn, Chennai 600062, Tamilnadu, India</t>
  </si>
  <si>
    <t>Vel Tech Rangarajan Dr Sagunthala R&amp;D Institute of Science &amp; Technology</t>
  </si>
  <si>
    <t>Aathmanesan, T (corresponding author), Vel Tech Rangarajan Dr Sagunthala R&amp;D Inst Sci &amp; T, Dept Elect &amp; Commun Engn, Chennai 600062, Tamilnadu, India.</t>
  </si>
  <si>
    <t>cegnesan@gmail.com</t>
  </si>
  <si>
    <t>2023 SEP 9</t>
  </si>
  <si>
    <t>10.1007/s13198-023-02122-9</t>
  </si>
  <si>
    <t>R2RB5</t>
  </si>
  <si>
    <t>WOS:001062861900001</t>
  </si>
  <si>
    <t>Ahmed, I; Zada, A; Waqas, M; Ashraf, MU</t>
  </si>
  <si>
    <t>Ahmed, Ijaz; Zada, Anwar; Waqas, Muhammad; Ashraf, M. U.</t>
  </si>
  <si>
    <t>Application of deep learning in top pair and single top quark production at the LHC</t>
  </si>
  <si>
    <t>COLLISIONS</t>
  </si>
  <si>
    <t>We demonstrate the performance of a very efficient top tagger applies on hadronically decaying boosted top quark pairs as signal based on deep neural network algorithms working with Lorentz Layer and the Minkowskimetric. Due to limited computing resources, we could show only the receiver ordering characteristic curve, accuracy and loss which illustrates the trade-off between signal acceptance against huge QCD multi-jet background acceptance. Alternatively, we also report the modern machine learning approaches and applymultivariate technique on single top quark production through weak interaction at v root s = 14 TeV proton-proton Collider to demonstrate its observability against the most relevant Standard Model backgrounds through the techniques of boosted decision tree (BDT), likelihood and multilayer perceptron (MLP). The analysis is trained to observe the performance of classifiers in comparison with the conventional cut based and counting approach.</t>
  </si>
  <si>
    <t>[Ahmed, Ijaz] Fed Urdu Univ Arts Sci &amp; Technol, Islamabad, Pakistan; [Zada, Anwar] Chinese Acad Sci, Inst High Energy Phys, Beijing 100049, Peoples R China; [Waqas, Muhammad] Riphah Int Univ, Islamabad, Pakistan; [Ashraf, M. U.] Catholic Univ Louvain, Ctr Cosmol Particle Phys &amp; Phenomenol, Ottignies Louvain La Neuv, Belgium</t>
  </si>
  <si>
    <t>Federal Urdu University of Arts Science &amp; Technology; Chinese Academy of Sciences; Institute of High Energy Physics, CAS</t>
  </si>
  <si>
    <t>Ahmed, I (corresponding author), Fed Urdu Univ Arts Sci &amp; Technol, Islamabad, Pakistan.</t>
  </si>
  <si>
    <t>ijaz.ahmed@fuuast.edu.pk; azekhan72@yahoo.com; wiki_agral@yahoo.com; muhammad.ashraf@uclouvain.be</t>
  </si>
  <si>
    <t>Ahmed, Ijaz/0000-0002-3210-8302</t>
  </si>
  <si>
    <t>Simons Foundation; Cornell University</t>
  </si>
  <si>
    <t>We gratefully acknowledge support from the Simons Foundation and member institutions of Cornell University. The current submitted version of manuscript is available on arXiv pre-prints home page https://arxiv.org/abs/2203.12871.pdf with arXiv ID:2203.12871. The corresponding author specially would like to thanks Prof. Jamil Muhammad from Sang-Ho College, and Department of Physics, Konkuk University, Seoul 05029, South Korea. He indeed contributed substantially in the couple of revision in replying the reviewer comments and helps in improving the format of the manuscript.</t>
  </si>
  <si>
    <t>SEP 9</t>
  </si>
  <si>
    <t>10.1140/epjp/s13360-023-04409-z</t>
  </si>
  <si>
    <t>R0TI8</t>
  </si>
  <si>
    <t>WOS:001061549700001</t>
  </si>
  <si>
    <t>Evans, GRD; Khashaba, A; Murphy, RX; Lessard, L; Baur, EM; Rakhorst, H; Larsen, M; Kirshbaum, J; Salgarello, M; Chopra, S; Mayer, HF</t>
  </si>
  <si>
    <t>Evans, Gregory R. D.; Khashaba, Ahmed; Murphy, Robert X.; Lessard, Lucie; Baur, Eva-Maria; Rakhorst, Hinne; Larsen, Mikko; Kirshbaum, Julio; Salgarello, Marzia; Chopra, Shiv; Mayer, Horacio F.</t>
  </si>
  <si>
    <t>ICOPLAST on the road: the second ICOPLAST World Congress Dubai 2023</t>
  </si>
  <si>
    <t>EUROPEAN JOURNAL OF PLASTIC SURGERY</t>
  </si>
  <si>
    <t>[Evans, Gregory R. D.] Univ Calif Irvine, Dept Plast Surg, Orange, CA USA; [Khashaba, Ahmed] Zagazig Univ Hosp, Dept Plast Surg, Cairo, Egypt; [Murphy, Robert X.] Lehigh Valley Hlth Network, Allentown, PA USA; [Murphy, Robert X.] Univ S Florida, Morsani Coll Med, Tampa, FL USA; [Lessard, Lucie] McGill Univ, Div Plast &amp; Reconstruct Surg, Montreal, PQ, Canada; [Rakhorst, Hinne] Med Spectrum Twente, Dept Plast Reconstruct &amp; Hand Surg, Enschede, Netherlands; [Larsen, Mikko] Launceston Gen Hosp, Dept Plast &amp; Reconstruct Surg, Launceston, Tas, Australia; [Kirshbaum, Julio] San Martin de Porres Univ, Lima, Peru; [Salgarello, Marzia] Sacred Heart Catholic Univ, IRCCS A Gemelli Univ Polyclin Fdn, Dept Plast &amp; Reconstruct Surg, Rome, Italy; [Chopra, Shiv] Royal Marsden Hosp, Dept Plast Surg, London, England; [Mayer, Horacio F.] Univ Buenos Aires, Sch Med UBA, Dept Plast Surg, Hosp Italiano Buenos Aires, Buenos Aires, Argentina; [Mayer, Horacio F.] Hosp Italiano Buenos Aires Univ Inst IUHIBA, Buenos Aires, Argentina</t>
  </si>
  <si>
    <t>University of California System; University of California Irvine; Egyptian Knowledge Bank (EKB); Zagazig University; Lehigh Valley Health Network; State University System of Florida; University of South Florida; McGill University; Medical Spectrum Twente; Universidad de San Martin de Porres; Catholic University of the Sacred Heart; IRCCS Policlinico Gemelli; Royal Marsden NHS Foundation Trust; Hospital Italiano de Buenos Aires; University of Buenos Aires</t>
  </si>
  <si>
    <t>Mayer, HF (corresponding author), Univ Buenos Aires, Sch Med UBA, Dept Plast Surg, Hosp Italiano Buenos Aires, Buenos Aires, Argentina.;Mayer, HF (corresponding author), Hosp Italiano Buenos Aires Univ Inst IUHIBA, Buenos Aires, Argentina.</t>
  </si>
  <si>
    <t>horacio.mayer@hospitalitaliano.org.ar</t>
  </si>
  <si>
    <t>0930-343X</t>
  </si>
  <si>
    <t>1435-0130</t>
  </si>
  <si>
    <t>EUR J PLAST SURG</t>
  </si>
  <si>
    <t>Eur. J. Plast. Surg.</t>
  </si>
  <si>
    <t>10.1007/s00238-023-02119-4</t>
  </si>
  <si>
    <t>S4DE8</t>
  </si>
  <si>
    <t>WOS:001065078200001</t>
  </si>
  <si>
    <t>Fleischer, S; Lehmkuhl, S; Lohmann, L; Appelt, S</t>
  </si>
  <si>
    <t>Fleischer, Simon; Lehmkuhl, Soeren; Lohmann, Lars; Appelt, Stephan</t>
  </si>
  <si>
    <t>Approaching the Ultimate Limit in Measurement Precision with RASER NMR</t>
  </si>
  <si>
    <t>APPLIED MAGNETIC RESONANCE</t>
  </si>
  <si>
    <t>PARA-HYDROGEN; NUCLEAR-POLARIZATION; HE-3; MASER; SYNCHRONIZATION; MAGNETIZATION; RADIATION</t>
  </si>
  <si>
    <t>Radio-frequency Amplification by Stimulated Emission of Radiation (RASER) is a promising tool to study nonlinear phenomena or measure NMR parameters with unprecedented precision. Magnetic fields, J-couplings, and chemical shifts can be recorded over long periods of time without the need for radiofrequency excitation and signal averaging. One key feature of RASER NMR spectroscopy is the improvement in precision, which grows with the measurement time T-m(1/2), unlike conventional NMR spectroscopy, where the precision increases with T-m(1/2). However, when detecting NMR signals over minutes to hours, using available NMR magnets (ppb homogeneity), the achieved frequency resolution will eventually be limited by magnetic field fluctuations. Here, we demonstrate that full compensation is possible even for open low-field electromagnets, where magnetic field fluctuations are intrinsically present (in the ppm regime). A prerequisite for compensation is that the spectrum contains at least one isolated RASER line to be used as a reference, and the sample experiences exclusively common magnetic field fluctuations, that is, ones that are equal over the entire sample volume. We discuss the current limits of precision for RASER NMR measurements for two different cases: The single-compartment RASER involving J-coupled modes, and the two-compartment RASER involv-ing chemically shifted species. In the first case, the limit of measurable difference approaches the Cram &amp; eacute;r-Rao lower bound (CRLB), achieving a measurement precision ??(f )&lt; 10(-4 )Hz. In the second case, the measured chemical shift separation is plagued by independently fluctuating distant dipolar fields (DDF). The measured independent field fluctuation between the two chambers is in the order of tens of mHz. In both cases, new limits of precision are achieved, which paves the way for sub-mHz detection of NMR parameters, rotational rates, and non-linear phenomena such as chaos and synchrony.</t>
  </si>
  <si>
    <t>[Fleischer, Simon; Appelt, Stephan] Forschungszentrum Julich, Cent Inst Engn Elect &amp; Analyt Elect Syst ZEA 2, D-52425 Julich, Germany; [Lehmkuhl, Soeren] Karlsruhe Inst Technol, Inst Microstruct Technol, D-76344 Eggenstein Leopoldshafen, Germany; [Fleischer, Simon; Lohmann, Lars; Appelt, Stephan] Rhein Westfal TH Aachen, Inst Tech &amp; Macromol Chem, D-52056 Aachen, Germany</t>
  </si>
  <si>
    <t>Helmholtz Association; Research Center Julich; Helmholtz Association; Karlsruhe Institute of Technology; RWTH Aachen University</t>
  </si>
  <si>
    <t>Fleischer, S; Appelt, S (corresponding author), Forschungszentrum Julich, Cent Inst Engn Elect &amp; Analyt Elect Syst ZEA 2, D-52425 Julich, Germany.;Fleischer, S; Appelt, S (corresponding author), Rhein Westfal TH Aachen, Inst Tech &amp; Macromol Chem, D-52056 Aachen, Germany.</t>
  </si>
  <si>
    <t>simon.fleischer@rwth-aachen.de; st.appelt@fz-juelich.de</t>
  </si>
  <si>
    <t>Projekt DEAL; YIG-Prep-Pro scholarship from KIT - Federal Ministry of Education and Research (BMBF); Baden-Wuerttemberg Ministry of Science; ZEA-2 (FZ-Julich)</t>
  </si>
  <si>
    <t>Projekt DEAL; YIG-Prep-Pro scholarship from KIT - Federal Ministry of Education and Research (BMBF)(Federal Ministry of Education &amp; Research (BMBF)); Baden-Wuerttemberg Ministry of Science; ZEA-2 (FZ-Julich)</t>
  </si>
  <si>
    <t>Open Access funding enabled and organized by Projekt DEAL. Soeren Lehmkuhl is supported by a YIG-Prep-Pro scholarship from KIT, funded by the Federal Ministry of Education and Research (BMBF) and the Baden-Wuerttemberg Ministry of Science. Simon Fleischer is supported by ZEA-2 (FZ-Julich).</t>
  </si>
  <si>
    <t>0937-9347</t>
  </si>
  <si>
    <t>1613-7507</t>
  </si>
  <si>
    <t>APPL MAGN RESON</t>
  </si>
  <si>
    <t>Appl. Magn. Reson.</t>
  </si>
  <si>
    <t>10.1007/s00723-023-01597-w</t>
  </si>
  <si>
    <t>Physics, Atomic, Molecular &amp; Chemical; Spectroscopy</t>
  </si>
  <si>
    <t>Physics; Spectroscopy</t>
  </si>
  <si>
    <t>R5UI1</t>
  </si>
  <si>
    <t>WOS:001064997700002</t>
  </si>
  <si>
    <t>Houlihan, AE; Zaikman, Y; Alford, AM</t>
  </si>
  <si>
    <t>Houlihan, Amy E.; Zaikman, Yuliana; Alford, Allison M.</t>
  </si>
  <si>
    <t>The influence of bystander presence on evaluations of public breastfeeding among adults in the United States</t>
  </si>
  <si>
    <t>BMC PUBLIC HEALTH</t>
  </si>
  <si>
    <t>Breastfeeding; Public breastfeeding; Breastfeeding knowledge; Breastfeeding experience; Sexism; Gender</t>
  </si>
  <si>
    <t>AMBIVALENT SEXISM; ATTITUDES; PERCEPTIONS; EROTOPHOBIA; ASSOCIATION; INVENTORY; MOTHERS; HEALTH</t>
  </si>
  <si>
    <t>BackgroundIn general, people tend to support private breastfeeding more than public breastfeeding, and discomfort surrounding public breastfeeding may contribute to sub-optimal rates of breastfeeding in the United States. Few studies have systematically examined situational factors that contribute to (negative) reactions to public breastfeeding. It is unclear whether the physical location or the presence of others is more influential in shaping people's evaluations of public breastfeeding. This study aimed to experimentally investigate the influence of location, bystander presence, bystander gender, and the breastfeeding woman's use of a cover on people's evaluations of breastfeeding images.MethodA sample of adults residing in the United States was randomly assigned to view an image of a breastfeeding woman in an experimental study that examined four independent variables: breastfeeding location (public vs. private), bystander presence (present vs. not present), gender of bystander (male vs. female), and use of a cover (cover vs. no cover). Participants then reported their emotional reactions to, perceptions of, and behavioral intentions toward the breastfeeding woman. In addition, participants completed measures of sexism, traditional gender role endorsement, sexual comfort, body gaze, and breastfeeding knowledge and experience.ResultsHierarchical regressions revealed no differences between private and public breastfeeding images. Perceptions of the breastfeeding woman were more favorable when she was alone than with others, and when she was covered than when she was not covered. Evaluations tended to be more favorable among participants who scored lower on hostile sexism, higher on benevolent sexism, higher on sexual comfort, and higher on breastfeeding knowledge.ConclusionThe presence of bystanders may be more consequential than the physical location in shaping reactions to public breastfeeding. These findings can be applied to improve support for public breastfeeding, which may contribute to higher breastfeeding rates and the associated public health benefits.</t>
  </si>
  <si>
    <t>[Houlihan, Amy E.; Zaikman, Yuliana; Alford, Allison M.] Texas A&amp;M Univ, Dept Psychol &amp; Sociol, 6300 Ocean Dr,unit 5827, Corpus Christi, TX 78412 USA</t>
  </si>
  <si>
    <t>Texas A&amp;M University System</t>
  </si>
  <si>
    <t>Houlihan, AE (corresponding author), Texas A&amp;M Univ, Dept Psychol &amp; Sociol, 6300 Ocean Dr,unit 5827, Corpus Christi, TX 78412 USA.</t>
  </si>
  <si>
    <t>amy.houlihan@tamucc.edu</t>
  </si>
  <si>
    <t>We would like to thank the women who agreed to be photographed while breastfeeding.</t>
  </si>
  <si>
    <t>1471-2458</t>
  </si>
  <si>
    <t>BMC Public Health</t>
  </si>
  <si>
    <t>10.1186/s12889-023-16635-2</t>
  </si>
  <si>
    <t>R6RT7</t>
  </si>
  <si>
    <t>WOS:001065615700001</t>
  </si>
  <si>
    <t>Hounkanrin, G; Tchibozo, C; Sauer, FG; Agboli, E; Schmidt-Chanasit, J; Yadouleton, A; Luhken, R; Jost, H</t>
  </si>
  <si>
    <t>Hounkanrin, Gildas; Tchibozo, Carine; Sauer, Felix Gregor; Agboli, Eric; Schmidt-Chanasit, Jonas; Yadouleton, Anges; Luehken, Renke; Joest, Hanna</t>
  </si>
  <si>
    <t>Genetic diversity and wing geometric morphometrics among four populations of Aedes aegypti (Diptera: Culicidae) from Benin</t>
  </si>
  <si>
    <t>PARASITES &amp; VECTORS</t>
  </si>
  <si>
    <t>Aedes aegypti; Africa; Benin; Genetics; Morphometry; Population structure</t>
  </si>
  <si>
    <t>MOSQUITO PREFERENCE; VECTOR; HISTORY; CLIMATE</t>
  </si>
  <si>
    <t>Background The impact of the arbovirus vector Aedes aegypti is of major concern for global public health as the viruses that it transmits affect millions of people each year worldwide. Originating in Africa, Ae. aegypti has now spread throughout much of the world. While the genetic makeup of Ae. aegypti in the New World has been extensively studied, there is limited knowledge on its genetic diversity in Africa, particularly at a microgeographical level.Methods We investigated mitochondrial cytochrome oxidase I of four Ae. aegypti populations from Benin and employed wing morphometric analyses as a cost-effective and reliable tool to explore population structure. Our sampling encompassed various areas of Benin, from the southern to the northern borders of the country, and included urban, semi-urban, and sylvatic sites.Results We observed a notable level of genetic diversity (haplotype diversity of 0.8333) and nucleotide diversity (0.00421986), and identified seven distinct haplotypes. Sylvatic and semi-urban sites exhibited a greater number of haplotypes compared to urban sites. Utilizing 18 wing landmarks, we calculated the centroid size, which revealed significant variation among the three landscape types. However, principal component analysis, employed to assess wing shape variation, did not demonstrate significant differences between populations based on landscape type.Conclusions Our findings indicate substantial genetic and morphological diversity among Ae. aegypti populations in Benin, and provide insight into important biological characteristics of these populations with respect to their potential to transmit viruses. To the best of our knowledge, this is the first study undertaken in Africa to integrate genetics with morphology to analyse the population structure of the major arbovirus vector Ae. aegypti.</t>
  </si>
  <si>
    <t>[Hounkanrin, Gildas; Tchibozo, Carine; Yadouleton, Anges] Lab Viral Haemorrhag Fevers &amp; Arboviruses Benin, Cotonou, Benin; [Sauer, Felix Gregor; Agboli, Eric; Schmidt-Chanasit, Jonas; Luehken, Renke; Joest, Hanna] WHO Collaborating Ctr Arbovirus &amp; Haemorrhag Fever, Bernhard Nocht Inst Trop Med, Hamburg, Germany; [Agboli, Eric] Univ Hlth &amp; Allied Sci, Sch Basic &amp; Biomed Sci, Ho, Ghana; [Schmidt-Chanasit, Jonas] Univ Hamburg, Fac Math Informat &amp; Nat Sci, Hamburg, Germany; [Yadouleton, Anges] Ctr Rech Entomol Cotonou, Cotonou, Benin; [Yadouleton, Anges] Univ Natl Sci Technol Engn &amp; Math, Ecole Normale Super Natitingou, Abomey, Benin</t>
  </si>
  <si>
    <t>Bernhard Nocht Institut fur Tropenmedizin; University of Hamburg; Entomological Research Center of Cotonou (CREC)</t>
  </si>
  <si>
    <t>Jost, H (corresponding author), WHO Collaborating Ctr Arbovirus &amp; Haemorrhag Fever, Bernhard Nocht Inst Trop Med, Hamburg, Germany.</t>
  </si>
  <si>
    <t>hanna.joest@gmx.de</t>
  </si>
  <si>
    <t>Sauer, Felix Gregor/0000-0002-6903-9742</t>
  </si>
  <si>
    <t>We thank Alexandra Bialonski and Konstantin Kliemke for their assistance in preparing the samples.</t>
  </si>
  <si>
    <t>1756-3305</t>
  </si>
  <si>
    <t>PARASITE VECTOR</t>
  </si>
  <si>
    <t>Parasites Vectors</t>
  </si>
  <si>
    <t>10.1186/s13071-023-05943-6</t>
  </si>
  <si>
    <t>Parasitology; Tropical Medicine</t>
  </si>
  <si>
    <t>R4WS1</t>
  </si>
  <si>
    <t>WOS:001064373900001</t>
  </si>
  <si>
    <t>Hussain, RI; Frank, T; Kratschmer, S</t>
  </si>
  <si>
    <t>Hussain, Raja Imran; Frank, Thomas; Kratschmer, Sophie</t>
  </si>
  <si>
    <t>More insect species are supported by green roofs near public gardens</t>
  </si>
  <si>
    <t>JOURNAL OF INSECT CONSERVATION</t>
  </si>
  <si>
    <t>Green roof; Public garden; Urbanization; Pollinators; Urban biodiversity; Vienna</t>
  </si>
  <si>
    <t>HABITAT; BIODIVERSITY; DIVERSITY; ROADS</t>
  </si>
  <si>
    <t>Rapid urbanization is among the factors that decrease insect diversity. However, by offering suitable habitats, green roofs could lessen this adverse effect. Certain factors, like a nearby public garden, could be useful predictor variables to analyze to what extent green roofs can support insect communities. The study aimed to measure the insect diversity on intensive green roofs located near public gardens and on more isolated green roofs, within an urban setting. Insect species richness, abundance, and assemblages on the green roofs near public gardens differed from those on isolated green roofs. Results indicate that green roofs near public gardens will host more species, especially pollinators, consequently lessening urbanization's negative effect. To properly understand how landscape factors impact insect communities on green roofs, future studies on green roofs' biodiversity should consider public gardens and their influence on urban biodiversity.Implications for insect conservationThe planning and establishment of a green roof near public gardens would probably enhance biodiversity conservation in an urban setting.</t>
  </si>
  <si>
    <t>[Hussain, Raja Imran; Frank, Thomas; Kratschmer, Sophie] Univ Nat Resources &amp; Life Sci, Inst Zool, Dept Integrat Biol &amp; Biodivers Res, Vienna, Austria</t>
  </si>
  <si>
    <t>University of Natural Resources &amp; Life Sciences, Vienna</t>
  </si>
  <si>
    <t>Hussain, RI (corresponding author), Univ Nat Resources &amp; Life Sci, Inst Zool, Dept Integrat Biol &amp; Biodivers Res, Vienna, Austria.</t>
  </si>
  <si>
    <t>raja.hussain@boku.ac.at</t>
  </si>
  <si>
    <t>We would like to thank the Department of Culture of the City of Vienna (MA 7) for providing financial support for the study. We acknowledge the caretakers of the buildings for providing flexible access to the study roofs, and thank Elisabeth Gruchmann for; Department of Culture of the City of Vienna</t>
  </si>
  <si>
    <t>We would like to thank the Department of Culture of the City of Vienna (MA 7) for providing financial support for the study. We acknowledge the caretakers of the buildings for providing flexible access to the study roofs, and thank Elisabeth Gruchmann for helpfully suggesting specific green roofs during study site selection.</t>
  </si>
  <si>
    <t>1366-638X</t>
  </si>
  <si>
    <t>1572-9753</t>
  </si>
  <si>
    <t>J INSECT CONSERV</t>
  </si>
  <si>
    <t>J. Insect Conserv.</t>
  </si>
  <si>
    <t>10.1007/s10841-023-00510</t>
  </si>
  <si>
    <t>Biodiversity Conservation; Entomology</t>
  </si>
  <si>
    <t>Biodiversity &amp; Conservation; Entomology</t>
  </si>
  <si>
    <t>R1WF2</t>
  </si>
  <si>
    <t>WOS:001062306500002</t>
  </si>
  <si>
    <t>Kong, XH; Zhang, Y; Xiang, LW; You, Y; Duan, YQ; Zhao, YQ; Li, S; Wu, R; Zhang, JB; Zhou, L; Duan, L</t>
  </si>
  <si>
    <t>Kong, Xuehua; Zhang, Yu; Xiang, Linwei; You, Yan; Duan, Yaqian; Zhao, Yuqing; Li, Shue; Wu, Rui; Zhang, Jiangbo; Zhou, Lan; Duan, Liang</t>
  </si>
  <si>
    <t>Fusobacterium nucleatum-triggered neutrophil extracellular traps facilitate colorectal carcinoma progression</t>
  </si>
  <si>
    <t>JOURNAL OF EXPERIMENTAL &amp; CLINICAL CANCER RESEARCH</t>
  </si>
  <si>
    <t>Fusobacterium nucleatum; Colorectal carcinoma; Neutrophil extracellular traps; ROS; TLR4; NOD1/2</t>
  </si>
  <si>
    <t>CANCER; METASTASIS; POLARIZATION; LIVER</t>
  </si>
  <si>
    <t>Background Fusobacterium nucleatum (Fn) acts as a procarcinogenic bacterium in colorectal carcinoma (CRC) by regulating the inflammatory tumor microenvironment (TME). Neutrophil extracellular traps (NETs), which can be generated by persistent inflammation, have been recently considered to be significant contributors in promoting cancer progression. However, whether NETs are implicated in Fn-related carcinogenesis is still poorly characterized. Here, we explored the role of NETs in Fn-related CRC as well as their potential clinical significance.Methods Fn was measured in tissue specimens and feces samples from CRC patients. The expression of NET markers were also detected in tissue specimens, freshly isolated neutrophils and blood serum from CRC patients, and the correlation of circulating NETs levels with Fn was evaluated. Cell-based experiments were conducted to investigate the mechanism by which Fn modulates NETs formation. In addition, we clarified the functional mechanism of Fn-induced NETs on the growth and metastasis of CRC in vitro and in vivo experiments.Results Tissue and blood samples from CRC patients, particularly those from Fn-infected CRC patients, exhibited greater neutrophil infiltration and higher NETs levels. Fn infection induced abundant NETs production in in vitro studies. Subsequently, we demonstrated that Fn-induced NETs indirectly accelerated malignant tumor growth through angiopoiesis, and facilitated tumor metastasis, as manifested by epithelial-mesenchymal transition (EMT)-related cell migration, matrix metalloproteinase (MMP)-mediated basement membrane protein degradation, and trapping of CRC cells. Mechanistically, the Toll-like receptor (TLR4)-reactive oxygen species (ROS) signaling pathway and NOD-like receptor (NOD1/2)-dependent signaling were responsible for Fn-stimulated NETs formation. More importantly, circulating NETs combined with carcinoembryonic antigen (CEA) could predict CRC occurrence and metastasis, with areas under the ROC curves (AUCs) of 0.92 and 0.85, respectively.Conclusions Our findings indicated that Fn-induced NETs abundance by activating TLR4-ROS and NOD1/2 signalings in neutrophils facilitated CRC progression. The combination of circulating NETs and CEA was identified as a novel screening strategy for predicting CRC occurrence and metastasis.</t>
  </si>
  <si>
    <t>[Kong, Xuehua; Xiang, Linwei; Zhao, Yuqing; Zhou, Lan] Chongqing Med Univ, Dept Lab Med, Key Lab Diagnost Med, Minist Educ, 1 Yixueyuan Rd, Chongqing 400016, Peoples R China; [Kong, Xuehua; Zhang, Yu; Xiang, Linwei; Duan, Yaqian; Duan, Liang] Chongqing Med Univ, Affiliated Hosp 2, Dept Lab Med, 74 Linjiang Rd, Chongqing 400010, Peoples R China; [You, Yan] Chongqing Med Univ, Affiliated Hosp 2, Dept Pathol, Chongqing 400010, Peoples R China; [Li, Shue] Chongqing Med Univ, Affiliated Hosp 2, Dept Acad Res, Chongqing 400010, Peoples R China; [Wu, Rui] Chongqing Med Univ, Affiliated Hosp 1, Dept Lab Med, Chongqing 400016, Peoples R China; [Zhang, Jiangbo] Chongqing Med Univ, Affiliated Hosp 2, Dept Gastrointestinal Surg, Chongqing, Peoples R China</t>
  </si>
  <si>
    <t>Chongqing Medical University; Chongqing Medical University; Chongqing Medical University; Chongqing Medical University; Chongqing Medical University; Chongqing Medical University</t>
  </si>
  <si>
    <t>Zhou, L (corresponding author), Chongqing Med Univ, Dept Lab Med, Key Lab Diagnost Med, Minist Educ, 1 Yixueyuan Rd, Chongqing 400016, Peoples R China.;Duan, L (corresponding author), Chongqing Med Univ, Affiliated Hosp 2, Dept Lab Med, 74 Linjiang Rd, Chongqing 400010, Peoples R China.</t>
  </si>
  <si>
    <t>zhoulan@cqmu.edu.cn; duanliang@cqmu.edu.cn</t>
  </si>
  <si>
    <t>1756-9966</t>
  </si>
  <si>
    <t>J EXP CLIN CANC RES</t>
  </si>
  <si>
    <t>J. Exp. Clin. Cancer Res.</t>
  </si>
  <si>
    <t>10.1186/s13046-023-02817-8</t>
  </si>
  <si>
    <t>R4WT7</t>
  </si>
  <si>
    <t>WOS:001064375500001</t>
  </si>
  <si>
    <t>Kummola, L; Gonzalez-Rodriguez, MI; Marnila, P; Nurminen, N; Salomaa, T; Hiihtola, L; Makela, I; Laitinen, OH; Hyoty, H; Sinkkonen, A; Junttila, IS</t>
  </si>
  <si>
    <t>Kummola, Laura; Gonzalez-Rodriguez, Martin I.; Marnila, Pertti; Nurminen, Noora; Salomaa, Tanja; Hiihtola, Lotta; Makela, Iida; Laitinen, Olli H.; Hyoty, Heikki; Sinkkonen, Aki; Junttila, Ilkka S.</t>
  </si>
  <si>
    <t>Comparison of the effect of autoclaved and non-autoclaved live soil exposure on the mouse immune system</t>
  </si>
  <si>
    <t>BMC IMMUNOLOGY</t>
  </si>
  <si>
    <t>HYGIENE HYPOTHESIS; ALLERGIC DISEASES; MICROBIOTA; ENVIRONMENT; CELLS; SENSITIZATION; BIODIVERSITY; AUTOIMMUNE; DIVERSITY; HEALTH</t>
  </si>
  <si>
    <t>Background. Lack of exposure to the natural microbial diversity of the environment has been linked to dysregulation of the immune system and numerous noncommunicable diseases, such as allergies and autoimmune disorders. Our previous studies suggest that contact with soil material, rich in naturally occurring microbes, could have a beneficial immunoregulatory impact on the immune system in mice and humans. However, differences in the immunomodulatory properties of autoclaved, sterile soil material and non-autoclaved, live soil material have not been compared earlier.Results. In this study, we exposed C57BL/6 mice to autoclaved and live soil powders that had the same rich microbiota before autoclaving. We studied the effect of the soil powders on the mouse immune system by analyzing different immune cell populations, gene expression in the gut, mesenteric lymph nodes and lung, and serum cytokines. Both autoclaved and live soil exposure were associated with changes in the immune system. The exposure to autoclaved soil resulted in higher levels of Ror &amp; gamma;t, Inos and Foxp3 expression in the colon. The exposure to live soil was associated with elevated IFN-&amp; gamma; concentration in the serum. In the mesenteric lymph node, exposure to live soil reduced Gata3 and Foxp3 expression, increased the percentage of CD8 + T cells and the expression of activation marker CD80 in XCR1+SIRP &amp; alpha;- migratory conventional dendritic cell 1 subset.Conclusions. Our results indicate that exposure to the live and autoclaved soil powders is not toxic for mice. Exposure to live soil powder slightly skews the immune system towards type 1 direction which might be beneficial for inhibiting type 2-related inflammation. Further studies are warranted to quantify the impact of this exposure in experimental type 2 inflammation.</t>
  </si>
  <si>
    <t>[Kummola, Laura; Gonzalez-Rodriguez, Martin I.; Nurminen, Noora; Salomaa, Tanja; Hiihtola, Lotta; Laitinen, Olli H.; Hyoty, Heikki; Junttila, Ilkka S.] Tampere Univ, Fac Med &amp; Hlth Technol, Tampere 33014, Finland; [Salomaa, Tanja; Hiihtola, Lotta; Junttila, Ilkka S.] Fimlab Labs, Arvo Bldg,Rm F326,Arvo Ylpon Katu 34, Tampere 33520, Finland; [Marnila, Pertti; Makela, Iida; Sinkkonen, Aki] Nat Resources Inst Finland Luke, Jokioinen, Finland; [Junttila, Ilkka S.] Northern Finland Lab Ctr NordLab, Oulu 90220, Finland; [Junttila, Ilkka S.] Univ Oulu, Res Unit Biomed, Oulu 90570, Finland</t>
  </si>
  <si>
    <t>Tampere University; Natural Resources Institute Finland (Luke); University of Oulu</t>
  </si>
  <si>
    <t>Junttila, IS (corresponding author), Tampere Univ, Fac Med &amp; Hlth Technol, Tampere 33014, Finland.;Junttila, IS (corresponding author), Fimlab Labs, Arvo Bldg,Rm F326,Arvo Ylpon Katu 34, Tampere 33520, Finland.;Junttila, IS (corresponding author), Northern Finland Lab Ctr NordLab, Oulu 90220, Finland.;Junttila, IS (corresponding author), Univ Oulu, Res Unit Biomed, Oulu 90570, Finland.</t>
  </si>
  <si>
    <t>ilkka.junttila@tuni.fi</t>
  </si>
  <si>
    <t>Junttila, Ilkka/0000-0002-9830-0823; Kummola, Laura/0000-0003-3285-3668; Gonzalez-Rodriguez, Martin Ignacio/0000-0001-9434-0636</t>
  </si>
  <si>
    <t>The authors acknowledge the Tampere Facility of Flow Cytometry for their service.</t>
  </si>
  <si>
    <t>1471-2172</t>
  </si>
  <si>
    <t>BMC IMMUNOL</t>
  </si>
  <si>
    <t>BMC Immunol.</t>
  </si>
  <si>
    <t>10.1186/s12865-023-00565-0</t>
  </si>
  <si>
    <t>Immunology</t>
  </si>
  <si>
    <t>R0TH3</t>
  </si>
  <si>
    <t>WOS:001061548200001</t>
  </si>
  <si>
    <t>Liang, JC; Gong, YJ; Wu, XK; Li, Y</t>
  </si>
  <si>
    <t>Liang, Jun-Chao; Gong, Yue-Jiao; Wu, Xiao-Kun; Li, Yuan</t>
  </si>
  <si>
    <t>Customized influence maximization in attributed social networks: heuristic and meta-heuristic algorithms</t>
  </si>
  <si>
    <t>COMPLEX &amp; INTELLIGENT SYSTEMS</t>
  </si>
  <si>
    <t>Influence maximization; Social networks; User attributes; Ant colony system</t>
  </si>
  <si>
    <t>The influence maximization problem is one of the most fundamental topics in social networks. However, most existing studies have focused on non-attributed networks, neglecting the consideration of users' properties during information propagation. Additionally, specific scenarios may involve external queries that target a particular subset of users, which has not been adequately addressed in prior research. To address these limitations, this study first formulates the customized influence maximization (CIM) problem in the context of attributed social networks. The node score and influence probability are derived by fully considering the user's attributes and the external queries. Then, we develop two algorithms to identify a group of most influential nodes in CIM. The first is a heuristic algorithm based on discounted degree, which is able to find relatively high-quality solutions in a short time. The second is a meta-heuristic algorithm, which makes several adjustments to the original ant colony algorithm to make it efficient to the CIM problem. Specifically, multiple CIM-related heuristics are derived, and a heuristic adaptation strategy is designed to automatically assign the heuristic information to ants according to the search environments and stages. Extensive experiments show the promising performance of our proposed algorithms in terms of accuracy, efficiency, and robustness.</t>
  </si>
  <si>
    <t>[Liang, Jun-Chao; Gong, Yue-Jiao] South China Univ Technol, Sch Comp Sci &amp; Engn, Guangzhou, Peoples R China; [Wu, Xiao-Kun] South China Univ Technol, Sch Journalism &amp; Commun, Guangzhou, Peoples R China; [Li, Yuan] Henan Normal Univ, Sch Comp &amp; Informat Engn, Xinxiang, Peoples R China; [Gong, Yue-Jiao] Univ Elect Sci &amp; Technol China, Shenzhen Inst Adv Study, Shenzhen, Peoples R China</t>
  </si>
  <si>
    <t>South China University of Technology; South China University of Technology; Henan Normal University; Shenzhen Institute for Advanced Study, UESTC; University of Electronic Science &amp; Technology of China</t>
  </si>
  <si>
    <t>Gong, YJ (corresponding author), South China Univ Technol, Sch Comp Sci &amp; Engn, Guangzhou, Peoples R China.;Gong, YJ (corresponding author), Univ Elect Sci &amp; Technol China, Shenzhen Inst Adv Study, Shenzhen, Peoples R China.</t>
  </si>
  <si>
    <t>gongyuejiao@gmail.com; liyuan@htu.edu.cn</t>
  </si>
  <si>
    <t>National Natural Science Foundation of China [62276100]; Guangdong Natural Science Funds for Distinguished Young Scholars [2022B1515020049]; Guangdong Regional Joint Funds for Basic and Applied Research [2021B1515120078]; TCL Young Scholars Program</t>
  </si>
  <si>
    <t>National Natural Science Foundation of China(National Natural Science Foundation of China (NSFC)); Guangdong Natural Science Funds for Distinguished Young Scholars; Guangdong Regional Joint Funds for Basic and Applied Research; TCL Young Scholars Program</t>
  </si>
  <si>
    <t>This work was supported in part by the National Natural Science Foundation of China under Grant 62276100, in part by the Guangdong Natural Science Funds for Distinguished Young Scholars under Grant 2022B1515020049, in part by the Guangdong Regional Joint Funds for Basic and Applied Research under Grant 2021B1515120078, and in part by the TCL Young Scholars Program.</t>
  </si>
  <si>
    <t>2199-4536</t>
  </si>
  <si>
    <t>2198-6053</t>
  </si>
  <si>
    <t>COMPLEX INTELL SYST</t>
  </si>
  <si>
    <t>COMPLEX INTELL. SYST.</t>
  </si>
  <si>
    <t>10.1007/s40747-023-01220-2</t>
  </si>
  <si>
    <t>R0ZR5</t>
  </si>
  <si>
    <t>WOS:001061715500002</t>
  </si>
  <si>
    <t>Papaleo, ED; D'Alonzo, M; Fiori, F; Piombino, V; Falato, E; Pilato, F; De Liso, A; Di Lazzaro, V; Di Pino, G</t>
  </si>
  <si>
    <t>Papaleo, Ermanno Donato; D'Alonzo, Marco; Fiori, Francesca; Piombino, Valeria; Falato, Emma; Pilato, Fabio; De Liso, Alfredo; Di Lazzaro, Vincenzo; Di Pino, Giovanni</t>
  </si>
  <si>
    <t>Integration of proprioception in upper limb prostheses through non-invasive strategies: a review</t>
  </si>
  <si>
    <t>JOURNAL OF NEUROENGINEERING AND REHABILITATION</t>
  </si>
  <si>
    <t>Prosthetics; Upper-limb amputation; Proprioception; Non-invasive feedback</t>
  </si>
  <si>
    <t>GOLGI TENDON ORGANS; PHANTOM LIMB; SKIN-STRETCH; CORTICAL REORGANIZATION; EVOKED-POTENTIALS; SENSORY FEEDBACK; HAND PROSTHESIS; HAPTIC FEEDBACK; RUBBER HAND; MUSCLE</t>
  </si>
  <si>
    <t>Proprioception plays a key role in moving our body dexterously and effortlessly. Nevertheless, the majority of investigations evaluating the benefits of providing supplemental feedback to prosthetics users focus on delivering touch restitution. These studies evaluate the influence of touch sensation in an attempt to improve the controllability of current robotic devices. Contrarily, investigations evaluating the capabilities of proprioceptive supplemental feedback have yet to be comprehensively analyzed to the same extent, marking a major gap in knowledge within the current research climate. The non-invasive strategies employed so far to restitute proprioception are reviewed in this work. In the absence of a clearly superior strategy, approaches employing vibrotactile, electrotactile and skin-stretch stimulation achieved better and more consistent results, considering both kinesthetic and grip force information, compared with other strategies or any incidental feedback. Although emulating the richness of the physiological sensory return through artificial feedback is the primary hurdle, measuring its effects to eventually support the integration of cumbersome and energy intensive hardware into commercial prosthetic devices could represent an even greater challenge. Thus, we analyze the strengths and limitations of previous studies and discuss the possible benefits of coupling objective measures, like neurophysiological parameters, as well as measures of prosthesis embodiment and cognitive load with behavioral measures of performance. Such insights aim to provide additional and collateral outcomes to be considered in the experimental design of future investigations of proprioception restitution that could, in the end, allow researchers to gain a more detailed understanding of possibly similar behavioral results and, thus, support one strategy over another.</t>
  </si>
  <si>
    <t>[Papaleo, Ermanno Donato; D'Alonzo, Marco; Fiori, Francesca; Piombino, Valeria; Di Pino, Giovanni] Univ Campus Biomed Roma, Res Unit Neurophysiol &amp; Neuroengn Human Technol In, Via Alvaro Portillo 21, I-00128 Rome, Italy; [Falato, Emma; Pilato, Fabio; De Liso, Alfredo; Di Lazzaro, Vincenzo] Univ Campus Biomed Roma, Dept Med &amp; Surg, Res Unit Neurol, Via Alvaro Portillo 21, I-00128 Rome, Italy; [Falato, Emma; Pilato, Fabio; De Liso, Alfredo; Di Lazzaro, Vincenzo] Fdn Policlin Univ Campus Biomed, Via Alvaro Portillo 200, I-00128 Rome, Italy</t>
  </si>
  <si>
    <t>University Campus Bio-Medico - Rome Italy; University Campus Bio-Medico - Rome Italy; Fondazione Policlinico Universitario Campus Bio-Medico</t>
  </si>
  <si>
    <t>Di Pino, G (corresponding author), Univ Campus Biomed Roma, Res Unit Neurophysiol &amp; Neuroengn Human Technol In, Via Alvaro Portillo 21, I-00128 Rome, Italy.</t>
  </si>
  <si>
    <t>g.dipino@unicampus.it</t>
  </si>
  <si>
    <t>Di Pino, Giovanni/J-8254-2018; Falato, Emma/IQT-5058-2023; Pilato, Fabio/AAE-9229-2022; Di Lazzaro, Vincenzo/L-3731-2018</t>
  </si>
  <si>
    <t>Di Pino, Giovanni/0000-0001-5046-5816; Falato, Emma/0000-0001-6091-7433; Pilato, Fabio/0000-0002-7248-3916; Fiori, Francesca/0000-0002-5437-1224; Piombino, Valeria/0009-0007-1540-6301; Di Lazzaro, Vincenzo/0000-0002-9113-5925</t>
  </si>
  <si>
    <t>INAIL with RGM5 project Re-Give Me Five [CUP: PEN0134]; European Research Council (ERC) [678908]; European Research Council (ERC) [678908] Funding Source: European Research Council (ERC)</t>
  </si>
  <si>
    <t>INAIL with RGM5 project Re-Give Me Five; European Research Council (ERC)(European Research Council (ERC)Spanish Government); European Research Council (ERC)(European Research Council (ERC)Spanish Government)</t>
  </si>
  <si>
    <t>&amp; nbsp;This work was supported by INAIL with RGM5 project Re-Give Me Five (CUP: PEN0134) and by the European Research Council (ERC) Starting Grant 2015 RESHAPE REstoring the Self with embodiable Hand ProsthesEs(ERC-2015-STG, project no. 678908).</t>
  </si>
  <si>
    <t>1743-0003</t>
  </si>
  <si>
    <t>J NEUROENG REHABIL</t>
  </si>
  <si>
    <t>J. NeuroEng. Rehabil.</t>
  </si>
  <si>
    <t>10.1186/s12984-023-01242-4</t>
  </si>
  <si>
    <t>Engineering, Biomedical; Neurosciences; Rehabilitation</t>
  </si>
  <si>
    <t>Engineering; Neurosciences &amp; Neurology; Rehabilitation</t>
  </si>
  <si>
    <t>R1PK0</t>
  </si>
  <si>
    <t>WOS:001062128500001</t>
  </si>
  <si>
    <t>Twenge, JM; Wells, BE; Le, JNF</t>
  </si>
  <si>
    <t>Twenge, Jean M.; Wells, Brooke E.; Le, Jennifer</t>
  </si>
  <si>
    <t>Increases in LGB Identification Among US Adults, 2014-2021</t>
  </si>
  <si>
    <t>SEXUALITY RESEARCH AND SOCIAL POLICY</t>
  </si>
  <si>
    <t>Sexual orientation; LGB identification; Generational differences; Cultural change; Bisexual identification</t>
  </si>
  <si>
    <t>FACTOR SURVEILLANCE SYSTEM; GENDER IDENTITY DATA; SEXUAL ORIENTATION; HEALTH DISPARITIES; AMERICAN ADULTS; DATA-COLLECTION; MENTAL-HEALTH; SOCIAL MEDIA; ATTITUDES; EXPERIENCES</t>
  </si>
  <si>
    <t>IntroductionAccurate population estimates of trends in sexual identity groups are important for understanding cultural change, the range of diversity in sexual orientation, and health disparities rooted in sexual identity.MethodsData are from the nationally representative Behavioral Risk Factor Surveillance Survey (BRFSS; n = 1.5 million) of US adults from 2014 to 2021.ResultsAn increasing number of US adults identified as lesbian, gay, or bisexual (LGB) between 2014 and 2021. LGB identification increased from 3.4% in 2014-2015 to 5.5% in 2020-2021 among all adults and from 7.6% in 2014-2015 to 15.7% in 2020-2021 among young adults ages 18 to 24. The increase in LGB identification appeared in both blue liberal states and red conservative states, suggesting a nationwide rather than regional shift.ConclusionsThe increase among young adults points to a generational explanation, with more of Gen Z identifying as LGB than millennials at the same age. The increases were largest among bisexual people, women, and White and Hispanic people.Policy ImplicationsThe increased prevalence of LGB + people has implications across a wide range of domains, including healthcare, housing, and schools. In particular, the sharp increase in bisexual women may require particular attention to address the health disparities they experience across the lifespan.</t>
  </si>
  <si>
    <t>[Twenge, Jean M.] San Diego State Univ, Dept Psychol, 5500 Campanile Dr, San Diego, CA 92182 USA; [Wells, Brooke E.] Widener Univ, Chester, PA USA; [Le, Jennifer] San Diego State Univ, San Diego, CA USA</t>
  </si>
  <si>
    <t>California State University System; San Diego State University; Widener University; California State University System; San Diego State University</t>
  </si>
  <si>
    <t>Twenge, JM (corresponding author), San Diego State Univ, Dept Psychol, 5500 Campanile Dr, San Diego, CA 92182 USA.</t>
  </si>
  <si>
    <t>jtwenge@sdsu.edu</t>
  </si>
  <si>
    <t>1868-9884</t>
  </si>
  <si>
    <t>1553-6610</t>
  </si>
  <si>
    <t>SEX RES SOC POLICY</t>
  </si>
  <si>
    <t>Sex. Res. Soc. Policy</t>
  </si>
  <si>
    <t>10.1007/s13178-023-00874-4</t>
  </si>
  <si>
    <t>R0SE7</t>
  </si>
  <si>
    <t>WOS:001061519500001</t>
  </si>
  <si>
    <t>van der Deijl, W; Brouwer, W; van Exel, J</t>
  </si>
  <si>
    <t>van der Deijl, Willem; Brouwer, Werner; van Exel, Job</t>
  </si>
  <si>
    <t>What Constitutes Well-being? Five Views Among Adult People from the Netherlands on what is Important for a Good Life</t>
  </si>
  <si>
    <t>APPLIED RESEARCH IN QUALITY OF LIFE</t>
  </si>
  <si>
    <t>Well-being; Capabilities; Subjective well-being; Life satisfaction; Q-methodology</t>
  </si>
  <si>
    <t>QUALITY-OF-LIFE; CAPABILITIES; SATISFACTION; METHODOLOGY; HAPPINESS; HEALTH; POLICY; HAPPY</t>
  </si>
  <si>
    <t>Well-being has gained interest as object of study in the social sciences and as an outcome measure for policy evaluation. However, little agreement exists with respect to the substantive meaning of well-being, the dimensions of well-being that should be considered in a multi-dimensional approach, and the variety of well-being conceptions people have for their own lives. This study explored conceptions of a good life for you among 1,477 adult people from the Netherlands by means of Q-methodology, based on a theoretical framework synthesizing the main theories of well-being. We find five distinct views on what people consider to be a good life for themselves: Health and feeling well, Hearth and home, Freedom and autonomy, Social relations and purpose and Individualism and independence. While there is strong agreement with respect to the importance of feeling both physically and mentally well, the views diverge considerably regarding aspects such as social relations, autonomy, spirituality, and material welfare. Associations between viewpoints and respondent characteristics had face validity. The findings of this study have significant implications for the development of measures of well-being and policies aimed to improve population well-being. Further research is required into the prevalence of these views on well-being in the population, their relation to respondent characteristics and into differences in views over time and between countries with different socio-economic, political and cultural environments.</t>
  </si>
  <si>
    <t>[van der Deijl, Willem] Erasmus Univ, Erasmus Inst Philosophy &amp; Econ, Rotterdam, Netherlands; [Brouwer, Werner; van Exel, Job] Erasmus Univ, Erasmus Sch Hlth Policy &amp; Management, Rotterdam, Netherlands; [Brouwer, Werner; van Exel, Job] Erasmus Univ, Erasmus Ctr Hlth Econ Rotterdam EsCHER, Rotterdam, Netherlands</t>
  </si>
  <si>
    <t>Erasmus University Rotterdam; Erasmus University Rotterdam - Excl Erasmus MC; Erasmus University Rotterdam; Erasmus University Rotterdam - Excl Erasmus MC; Erasmus University Rotterdam - Excl Erasmus MC; Erasmus University Rotterdam</t>
  </si>
  <si>
    <t>van Exel, J (corresponding author), Erasmus Univ, Erasmus Sch Hlth Policy &amp; Management, Rotterdam, Netherlands.;van Exel, J (corresponding author), Erasmus Univ, Erasmus Ctr Hlth Econ Rotterdam EsCHER, Rotterdam, Netherlands.</t>
  </si>
  <si>
    <t>vanexel@eshpm.eur.nl</t>
  </si>
  <si>
    <t>van Exel, Job/E-6191-2013</t>
  </si>
  <si>
    <t>van Exel, Job/0000-0002-4178-1777; van der Deijl, Willem/0000-0002-8190-2705</t>
  </si>
  <si>
    <t>We are grateful to Maximilian Held for his contributions to the analysis and his feedback on a previous draft of the manuscript. The data collection was funded by a grant from the Erasmus Happiness Economics Research Organization.; Erasmus Happiness Economics Research Organization</t>
  </si>
  <si>
    <t>We are grateful to Maximilian Held for his contributions to the analysis and his feedback on a previous draft of the manuscript. The data collection was funded by a grant from the Erasmus Happiness Economics Research Organization.</t>
  </si>
  <si>
    <t>1871-2584</t>
  </si>
  <si>
    <t>1871-2576</t>
  </si>
  <si>
    <t>APPL RES QUAL LIFE</t>
  </si>
  <si>
    <t>Appl. Res. Qual. Life</t>
  </si>
  <si>
    <t>10.1007/s11482-023-10225-5</t>
  </si>
  <si>
    <t>R0ZQ0</t>
  </si>
  <si>
    <t>WOS:001061714000001</t>
  </si>
  <si>
    <t>Wu, ZB; You, CK; Zhu, ZY; Wu, WK; Cao, J; Xie, Q; Deng, CC; Huang, XM; Hu, SP</t>
  </si>
  <si>
    <t>Wu, Zhongbiao; You, Chengkun; Zhu, Zhongyan; Wu, Weikun; Cao, Jian; Xie, Qiang; Deng, Chengcheng; Huang, Xinmei; Hu, Shiping</t>
  </si>
  <si>
    <t>SLA2 is a prognostic marker in HNSCC and correlates with immune cell infiltration in the tumor microenvironment</t>
  </si>
  <si>
    <t>EUROPEAN ARCHIVES OF OTO-RHINO-LARYNGOLOGY</t>
  </si>
  <si>
    <t>Head and neck squamous cell carcinoma (HNSCC); Src-like adaptor 2 gene (SLA2); Prognosis; Tumor microenvironment; Tumor immune cell infiltration</t>
  </si>
  <si>
    <t>ADAPTER PROTEIN-2 SLAP-2; COMPREHENSIVE ANALYSIS; WEB SERVER; EXPRESSION; CANCER; GENES</t>
  </si>
  <si>
    <t>Purpose To investigate Src-like adaptor 2 gene (SLA2) expression in head and neck squamous cell carcinoma (HNSCC), its potential prognostic value, and its effect on immune cell infiltration.Methods Through a variety of bioinformatics analyses, we extracted and analyzed data sets from the Cancer Genome Atlas (TCGA), Tumor Immune Estimation Resource (TIMER), and Gene Expression Profile Interaction Analysis (GEPIA) to analyze the correlation between SLA2 and the prognosis, immune checkpoint, tumor microenvironment (TME) and immune cell infiltration of HNSCC, and to explore its potential oncogenic mechanism. To further explore the potential role of SLA2 in HNSCC by Gene ontology (GO) functional annotation and Kyoto Encyclopedia of Genes and Genomes (KEGG) pathway analysis.Results SLA2 messenger ribonucleic acid (mRNA) levels were increased in HNSCC tumor tissues compared with normal tissues. In addition, we found that SLA2 may be an independent prognostic factor for HNSCC, and high SLA2 expression is associated with favorable prognosis in HNSCC. SLA2 expression was positively correlated with B cells, cluster of differentiation 8-positive T cells (CD8 + T cells), cluster of differentiation 4-positive T cells (CD4 + T cells), macrophages, neutrophil and dendritic cells infiltration. SLA2 has also been shown to co-express immune-related genes and immune checkpoints. Significant GO term analysis by Gene Set Enrichment Analysis (GSEA) indicated that genes correlated with SLA2 were located mainly in the side of membrane, receptor complex, secretory granule membrane, endocytic vesicle, membrane region, and endosome membrane, where they were involved in leukocyte cell-cell adhesion, response to interferon-gamma, and regulation of immune effector process. These related genes also served as antigen binding, cytokine receptor activity, phosphatidylinositol 3-kinase activity, peptide receptor activity, Src homology domain 3 (SH3) domain binding, and cytokine receptor binding. KEGG pathway analysis demonstrated that these genes related to SLA2 were mainly enriched in signal pathways, such as hematopoietic cell lineage, cell adhesion molecules (CAMs), natural killer cell mediated cytotoxicity, measles, and chemokine signaling pathway.Conclusions SLA2 is increased in HNSCC, and high SLA2 expression is associated with favorable prognosis. SLA2 may affect tumor development by regulating tumor infiltrating cells in TME. SLA2 may be a potential target for immunotherapy.</t>
  </si>
  <si>
    <t>[Wu, Zhongbiao; Wu, Weikun; Cao, Jian; Hu, Shiping] Jiangxi Hosp Integrated Tradit Chinese &amp; Western M, Dept Otolaryngol, 90 Bayi Ave, Nanchang 330003, Jiangxi, Peoples R China; [You, Chengkun] Pinghu Hosp Tradit Chinese Med, Dept Neurol, Jiaxing 314200, Peoples R China; [Zhu, Zhongyan] Jiangxi Hosp Integrated Tradit Chinese &amp; Western M, Dept Rehabil, Nanchang 330003, Peoples R China; [Xie, Qiang; Deng, Chengcheng] Jiangxi Univ Tradit Chinese Med, Dept Otolaryngol, Affiliated Hosp, Nanchang 330019, Peoples R China; [Huang, Xinmei] Jiangxi Univ Tradit Chinese Med, Dept Otolaryngol, Nanchang 330004, Jiangxi, Peoples R China</t>
  </si>
  <si>
    <t>Jiangxi University of Traditional Chinese Medicine; Affiliated Hospital of Jiangxi University of Traditional Chinese Medicine; Jiangxi University of Traditional Chinese Medicine</t>
  </si>
  <si>
    <t>Hu, SP (corresponding author), Jiangxi Hosp Integrated Tradit Chinese &amp; Western M, Dept Otolaryngol, 90 Bayi Ave, Nanchang 330003, Jiangxi, Peoples R China.</t>
  </si>
  <si>
    <t>springsunny327@163.com</t>
  </si>
  <si>
    <t>State Administration of Traditional Chinese Medicine [201507006]; Jiangxi Provincial Health and Family Planning Commission [2018A375]</t>
  </si>
  <si>
    <t>State Administration of Traditional Chinese Medicine; Jiangxi Provincial Health and Family Planning Commission</t>
  </si>
  <si>
    <t>This work was supported by State Administration of Traditional Chinese Medicine (Grant number: 201507006. Project name: Special Scientific Research project of TCM Industry of State Administration of Traditional Chinese Medicine), and Jiangxi Provincial Health and Family Planning Commission (Grant number:2018A375. Project name: Special Scientific Research project of TCM Industry of State Administration of Traditional Chinese Medicine).</t>
  </si>
  <si>
    <t>0937-4477</t>
  </si>
  <si>
    <t>1434-4726</t>
  </si>
  <si>
    <t>EUR ARCH OTO-RHINO-L</t>
  </si>
  <si>
    <t>Eur. Arch. Oto-Rhino-Laryn.</t>
  </si>
  <si>
    <t>10.1007/s00405-023-08213-4</t>
  </si>
  <si>
    <t>Otorhinolaryngology</t>
  </si>
  <si>
    <t>R5YH7</t>
  </si>
  <si>
    <t>WOS:001065102900001</t>
  </si>
  <si>
    <t>Yu, CL; Chou, PY; Liang, CS; Chiang, LH; Wang, TY; Tu, YK; Chi, CC</t>
  </si>
  <si>
    <t>Yu, Chia-Ling; Chou, Po-Yi; Liang, Chih-Sung; Chiang, Li-Huei; Wang, Tzu-Yu; Tu, Yu-Kang; Chi, Ching-Chi</t>
  </si>
  <si>
    <t>Authors' Reply to Chen and Chen: Comment on: Isotretinoin Exposure and Risk of Infammatory Bowel Disease: A Systematic Review with Meta-Analysis and Trial Sequential Analysis (vol 24, pg 855, 2023)</t>
  </si>
  <si>
    <t>AMERICAN JOURNAL OF CLINICAL DERMATOLOGY</t>
  </si>
  <si>
    <t>Correction; Early Access</t>
  </si>
  <si>
    <t>[Yu, Chia-Ling; Chiang, Li-Huei] Chang Gung Mem Hosp, Dept Pharm, Taoyuan, Taiwan; [Chou, Po-Yi] Chang Gung Mem Hosp, Dept Med Educ, Taoyuan, Taiwan; [Liang, Chih-Sung] Natl Def Med Ctr, Triserv Gen Hosp, Dept Psychiat, Beitou Branch, Taipei, Taiwan; [Wang, Tzu-Yu] Lee Ming Inst Technol, Dept Appl Cosmetol, New Taipei, Taiwan; [Tu, Yu-Kang] Natl Taiwan Univ, Inst Epidemiol &amp; Prevent Med, Coll Publ Hlth, Taipei, Taiwan; [Chi, Ching-Chi] Chang Gung Mem Hosp, Dept Dermatol, Taoyuan, Taiwan; [Chi, Ching-Chi] Chang Gung Univ, Coll Med, Sch Med, Taoyuan, Taiwan</t>
  </si>
  <si>
    <t>Chang Gung Memorial Hospital; Chang Gung Memorial Hospital; Tri-Service General Hospital; National Defense Medical Center; National Taiwan University; Chang Gung Memorial Hospital; Chang Gung University</t>
  </si>
  <si>
    <t>Chi, CC (corresponding author), Chang Gung Mem Hosp, Dept Dermatol, Taoyuan, Taiwan.;Chi, CC (corresponding author), Chang Gung Univ, Coll Med, Sch Med, Taoyuan, Taiwan.</t>
  </si>
  <si>
    <t>chingchi@cgmh.org.tw</t>
  </si>
  <si>
    <t>Tu, Yu-Kang/0000-0002-2461-474X; Liang, Chih-Sung/0000-0003-1138-5586</t>
  </si>
  <si>
    <t>1175-0561</t>
  </si>
  <si>
    <t>1179-1888</t>
  </si>
  <si>
    <t>AM J CLIN DERMATOL</t>
  </si>
  <si>
    <t>Am. J. Clin. Dermatol.</t>
  </si>
  <si>
    <t>10.1007/s40257-023-00820-5</t>
  </si>
  <si>
    <t>R5TP3</t>
  </si>
  <si>
    <t>WOS:001064978900001</t>
  </si>
  <si>
    <t>Zhang, ZG; Qin, Y; Yang, ZB; Li, G; You, ZJ</t>
  </si>
  <si>
    <t>Zhang, Zhengguang; Qin, Yong; Yang, Zhaobiao; Li, Geng; You, Zhenjiang</t>
  </si>
  <si>
    <t>Primary Controlling Factors of Coalbed Methane Well Productivity and High Productive Well Patterns in Eastern Yunnan and Western Guizhou, China</t>
  </si>
  <si>
    <t>NATURAL RESOURCES RESEARCH</t>
  </si>
  <si>
    <t>Coalbed methane; Controlling factors; Permeability; Gas saturation; High productive patterns</t>
  </si>
  <si>
    <t>IN-SITU STRESS; ORDOS BASIN; RESERVOIR PERMEABILITY; BLOCK; REGION; MARGIN; AREA</t>
  </si>
  <si>
    <t>Coalbed methane (CBM) resources are abundant in eastern Yunnan and western Guizhou of China. However, despite the vast reserves, large-scale commercial development of CBM in these areas has not yet been realized. In this study, a comprehensive analysis of the productivity of CBM wells is conducted, leveraging geological and production data from a dataset comprising 19 wells. The investigation encompasses both geological and engineering perspectives, aiming to identify and assess the various factors that significantly influence CBM well productivity. The analysis of the results reveals that the well productivity is positively correlated with the proportion of Type I coal (PTIC), the ratio of critical desorption pressure to reservoir pressure (RCRP), the gas saturation (GS), the initial permeability after reservoir stimulation (IPRS) and the permeability before gas production (PBGP). The well productivity is negatively correlated with the burial depth of the coal seam floor (BDCF) and has a complex relationship with the span of the co-production coal seam. Moreover, to achieve commercial development of CBM wells, the PTIC and GS in co-production coal seam should exceed 60%, the BDCF is less than 800 m, and RCRP, IPRS and PBGP are greater than 0.6, 2.4 mD (Millidarcy. 1 mD = 0.9869233 x 10-15 m2), and 0.3 mD, respectively. The quantitative evaluation of the sensitivity of these influencing factors on CBM well productivity in eastern Yunnan and western Guizhou is accomplished using the gray relational analysis method. The study identifies GS and PBGP as the primary controlling factors impacting the productivity of CBM wells. Building upon these findings, the research presents high productive patterns for CBM wells that emphasize coordinated control of geological and engineering aspects. This research has significant implications for the exploration and development of natural gas resources, offering potential advancements in the field.</t>
  </si>
  <si>
    <t>[Zhang, Zhengguang] China Natl Adm Coal Geol, Gen Prospecting Inst, Beijing 100039, Peoples R China; [Zhang, Zhengguang; Qin, Yong; Yang, Zhaobiao; Li, Geng] China Univ Min &amp; Technol, Key Lab Coalbed Methane Resources &amp; Reservoir Form, Minist Educ, Xuzhou 221116, Peoples R China; [You, Zhenjiang] Edith Cowan Univ, Ctr Sustainable Energy &amp; Resources, Joondalup, WA 6027, Australia; [You, Zhenjiang] Univ Queensland, Sch Chem Engn, Brisbane, Qld 4072, Australia</t>
  </si>
  <si>
    <t>China University of Mining &amp; Technology; Edith Cowan University; University of Queensland</t>
  </si>
  <si>
    <t>Yang, ZB (corresponding author), China Univ Min &amp; Technol, Key Lab Coalbed Methane Resources &amp; Reservoir Form, Minist Educ, Xuzhou 221116, Peoples R China.;You, ZJ (corresponding author), Edith Cowan Univ, Ctr Sustainable Energy &amp; Resources, Joondalup, WA 6027, Australia.;You, ZJ (corresponding author), Univ Queensland, Sch Chem Engn, Brisbane, Qld 4072, Australia.</t>
  </si>
  <si>
    <t>zhaobiaoyang@163.com; zhenjiang.you@gmail.com</t>
  </si>
  <si>
    <t>National Natural Science Foundation of China [42130802, 42272195]; National Science and Technology Major Project of China [2016ZX05044-002]; Key Laboratory of Coalbed Methane Resources and Reservoir Formation Process of the Ministry of Education (China University of Mining and Technology) [2022-001]</t>
  </si>
  <si>
    <t>National Natural Science Foundation of China(National Natural Science Foundation of China (NSFC)); National Science and Technology Major Project of China; Key Laboratory of Coalbed Methane Resources and Reservoir Formation Process of the Ministry of Education (China University of Mining and Technology)</t>
  </si>
  <si>
    <t>This research was supported by the National Natural Science Foundation of China (42130802, 42272195), the National Science and Technology Major Project of China (2016ZX05044-002), and Key Laboratory of Coalbed Methane Resources and Reservoir Formation Process of the Ministry of Education (China University of Mining and Technology) (No. 2022-001).</t>
  </si>
  <si>
    <t>1520-7439</t>
  </si>
  <si>
    <t>1573-8981</t>
  </si>
  <si>
    <t>NAT RESOUR RES</t>
  </si>
  <si>
    <t>Nat. Resour. Res.</t>
  </si>
  <si>
    <t>10.1007/s11053-023-10260</t>
  </si>
  <si>
    <t>R0ZM6</t>
  </si>
  <si>
    <t>WOS:001061710600001</t>
  </si>
  <si>
    <t>Amer, M; Mabrouk, WM; Soliman, KS; Noureldin, AM; Metwally, A</t>
  </si>
  <si>
    <t>Amer, Mohammed; Mabrouk, Walid M.; Soliman, Khaled S.; Noureldin, Ahmed M.; Metwally, Ahmed</t>
  </si>
  <si>
    <t>Three-Dimensional Integrated Geo-Static Modeling for Prospect Identification and Reserve Estimation in the Middle Miocene Multi-Reservoirs: A Case Study from Amal Field, Southern Gulf of Suez Province</t>
  </si>
  <si>
    <t>Seismic interpretation; 3D geo-static model; Reserve estimation; 3D petrophysical modeling; Facies modeling; Southern Gulf of Suez</t>
  </si>
  <si>
    <t>UPPER BAHARIYA MEMBER; NORTH-WESTERN DESERT; ABU GHARADIG OIL; BADRI FIELD; GAS-FIELD; RIFT; FACIES; EVOLUTION; HISTORY; EGYPT</t>
  </si>
  <si>
    <t>Middle Miocene reservoirs in the southern part of the Gulf of Suez province are characterized by geometrical uncertainties due to their structural settings, lateral facies change, different lithologies, and diverse reservoir quality. Therefore, in this study, detailed 3D geo-static models were constructed by integrating multiple datasets, including 2D seismic sections and digital well-logs. The 3D models were constructed for the Belayim Formation (Hammam Faraun Member), Kareem Formation (Markha Member), and Rudies Formation (Upper Rudies Member) with detailed structuration, zonation, and layering for Amal Field in the southern Gulf of Suez province to assess the hydrocarbon potential, calculate accurate reserves, recommend development and exploration plans, and propose locations for future drilling. The resultant structural model exhibited a compartmentalized area of major and minor normal faults trending NW-SE, forming structurally high potential hydrocarbon trapping locations in the study area. The petrophysical models indicated the good potentiality of Hammam Faraun as a reservoir with porosity values of 15-23%, increasing towards the central part of the area, volume of shale (Vsh) of 21-31%, water saturation (Sw) of 34-49%, and sand thickness increasing toward the northeastern part of the area. The Markha Member was also interpreted as a good reservoir, with porosity values of 15-22%, increasing towards the southeastern part of the area, Vsh of 13-29%, Sw of 16-38%, and sandy facies accumulating in the central horst block. Upper Rudies exhibits good reservoir properties with porosity values of 16-23%, Vsh of 29-37%, Sw of 35-40%, and good sandy facies in the central horst block of the area. The study results showed hydrocarbon potential in the central horst block of the study area for the Middle Miocene multi-reservoirs.</t>
  </si>
  <si>
    <t>[Amer, Mohammed; Mabrouk, Walid M.; Soliman, Khaled S.; Noureldin, Ahmed M.; Metwally, Ahmed] Cairo Univ, Fac Sci, Geophys Dept, Giza 12613, Egypt</t>
  </si>
  <si>
    <t>Egyptian Knowledge Bank (EKB); Cairo University</t>
  </si>
  <si>
    <t>Amer, M (corresponding author), Cairo Univ, Fac Sci, Geophys Dept, Giza 12613, Egypt.</t>
  </si>
  <si>
    <t>mohamedamer@cu.edu.eg</t>
  </si>
  <si>
    <t>The authors would like to acknowledge the Egyptian General Petroleum Cooperation for providing the data and Cairo Universityamp;apos;s faculty of science and geophysics department for providing all the necessary resources to accomplish this work.</t>
  </si>
  <si>
    <t>The authors would like to acknowledge the Egyptian General Petroleum Cooperation for providing the data and Cairo University &amp; apos;s faculty of science and geophysics department for providing all the necessary resources to accomplish this work.</t>
  </si>
  <si>
    <t>2023 SEP 8</t>
  </si>
  <si>
    <t>10.1007/s11053-023-10253</t>
  </si>
  <si>
    <t>Q9VH4</t>
  </si>
  <si>
    <t>WOS:001060916500001</t>
  </si>
  <si>
    <t>Ashby, MA</t>
  </si>
  <si>
    <t>Ashby, Michael A.</t>
  </si>
  <si>
    <t>Far From the Madding Crowd: Health Service Expectations in the Country (vol 20, pg 157, 2023)</t>
  </si>
  <si>
    <t>JOURNAL OF BIOETHICAL INQUIRY</t>
  </si>
  <si>
    <t>[Ashby, Michael A.] Univ Tasmania, Royal Hobart Hosp, Tasmanian Hlth Serv, Sub Acute Aged &amp; Community Serv, Hobart, TAS 7000, Australia; [Ashby, Michael A.] Univ Tasmania, Sch Med, Hobart, Tas 7000, Australia</t>
  </si>
  <si>
    <t>Royal Hobart Hospital; University of Tasmania; University of Tasmania</t>
  </si>
  <si>
    <t>Ashby, MA (corresponding author), Univ Tasmania, Royal Hobart Hosp, Tasmanian Hlth Serv, Sub Acute Aged &amp; Community Serv, Hobart, TAS 7000, Australia.;Ashby, MA (corresponding author), Univ Tasmania, Sch Med, Hobart, Tas 7000, Australia.</t>
  </si>
  <si>
    <t>ashbyjbin@gmail.com</t>
  </si>
  <si>
    <t>1176-7529</t>
  </si>
  <si>
    <t>1872-4353</t>
  </si>
  <si>
    <t>J BIOETHIC INQ</t>
  </si>
  <si>
    <t>J. Bioethical Inq.</t>
  </si>
  <si>
    <t>10.1007/s11673-023-10296-x</t>
  </si>
  <si>
    <t>Ethics; Medical Ethics; Social Issues; Social Sciences, Biomedical</t>
  </si>
  <si>
    <t>Social Sciences - Other Topics; Medical Ethics; Social Issues; Biomedical Social Sciences</t>
  </si>
  <si>
    <t>R4ZF1</t>
  </si>
  <si>
    <t>WOS:001064442300001</t>
  </si>
  <si>
    <t>Buchanan, WW; Rainsford, KD; Kean, CA; Kean, WF</t>
  </si>
  <si>
    <t>Buchanan, W. Watson; Rainsford, K. D.; Kean, Colin A.; Kean, Walter F.</t>
  </si>
  <si>
    <t>John Alexander Mullin (1835-1899): The Canadian Physician who first described Osler's Nodes</t>
  </si>
  <si>
    <t>INFLAMMOPHARMACOLOGY</t>
  </si>
  <si>
    <t>Endocarditis; Osler's nodes; Janeway lesions; Necrotising vasculitis</t>
  </si>
  <si>
    <t>INFECTIVE ENDOCARDITIS; LESION</t>
  </si>
  <si>
    <t>Sir William Osler (1849-1919), who became Regius Professor of Medicine at Oxford in 1905, first drew attention in 1909 to the painful nodes in subacute bacterial endocarditis, which now carry his eponym, and he published an account in the Quarterly Journal of Medicine, which he helped establish. Attention is drawn to the often overlooked fact that it was a Dr John Alexander Mullin (1835-1899) of Hamilton, Ontario, Canada, who first drew the attention of Sir William Oster to their occurrence. Confusion arose over the relationship between Osler's nodes and the skin lesions described by Theodore Caldwell Janeway (1872-1917), which are generally non-tender and found in acute bacterial endocarditis. The evidence is that there is essentially no difference since their pathogenesis and histological findings are identical.</t>
  </si>
  <si>
    <t>[Buchanan, W. Watson; Kean, Walter F.] McMaster Univ, Dept Med, Hamilton, ON L8P 1H6, Canada; [Rainsford, K. D.] Sheffield Hallam Univ, Sheffield S1 1WB, England; [Kean, Colin A.; Kean, Walter F.] Haldimand War Mem Hosp, 400 Broad St, Dunnville, ON N1A 2P7, Canada</t>
  </si>
  <si>
    <t>McMaster University; Sheffield Hallam University</t>
  </si>
  <si>
    <t>Kean, WF (corresponding author), McMaster Univ, Dept Med, Hamilton, ON L8P 1H6, Canada.;Kean, WF (corresponding author), Haldimand War Mem Hosp, 400 Broad St, Dunnville, ON N1A 2P7, Canada.</t>
  </si>
  <si>
    <t>wfkean@gmail.com</t>
  </si>
  <si>
    <t>0925-4692</t>
  </si>
  <si>
    <t>1568-5608</t>
  </si>
  <si>
    <t>Inflammopharmacology</t>
  </si>
  <si>
    <t>10.1007/s10787-023-01329-3</t>
  </si>
  <si>
    <t>Immunology; Pharmacology &amp; Pharmacy; Toxicology</t>
  </si>
  <si>
    <t>R0TT4</t>
  </si>
  <si>
    <t>WOS:001061560400001</t>
  </si>
  <si>
    <t>Graton, A; Fezzi, H; Le Jeune, N</t>
  </si>
  <si>
    <t>Graton, Aurelien; Fezzi, Helene; Le Jeune, Noemie</t>
  </si>
  <si>
    <t>When feeling is for seeing: comparing the effects of motivated perception between fear and anger on ambiguous threatening stimuli</t>
  </si>
  <si>
    <t>PSYCHOLOGICAL RESEARCH-PSYCHOLOGISCHE FORSCHUNG</t>
  </si>
  <si>
    <t>FACIAL EXPRESSIONS; EMOTION; ATTENTION; ECONOMY; GUILT</t>
  </si>
  <si>
    <t>We do not see the world as it is: distortions of visual perception can occur depending on the goals we wish to achieve (wishful seeing). Following functionalist theories of emotions (e.g., feeling is for doing), visual perception biases could also be involved in the link between emotion and specific behavior. Previous research has shown that anger can modify visual perception towards ambiguous menacing stimuli, or that fear can similarly direct our attention and perception towards threatening stimuli (e.g., weapons). The aim of our research was to replicate these effects by directly comparing the effects of these two emotions on perceptual biases and by relying on general mixed models to control Type I errors and reduce the risk related to the non-independence between observations. Our results partially replicate a perceptual bias toward threatening objects for both emotions although this effect depends on the type of stimulus and of the emotional dimension involved. These results are discussed in terms of the impact of emotions in attentional and perceptual processes and in relation to alternative theoretical explanations for motivated perception.</t>
  </si>
  <si>
    <t>[Graton, Aurelien; Fezzi, Helene; Le Jeune, Noemie] Univ Grenoble Alpes, Univ Savoie Mont Blanc, LIP PC2S, Grenoble, France</t>
  </si>
  <si>
    <t>Communaute Universite Grenoble Alpes; UDICE-French Research Universities; Universite Grenoble Alpes (UGA); Universite Gustave-Eiffel</t>
  </si>
  <si>
    <t>Graton, A (corresponding author), Univ Grenoble Alpes, Univ Savoie Mont Blanc, LIP PC2S, Grenoble, France.</t>
  </si>
  <si>
    <t>aurelien.graton@univ-smb.fr</t>
  </si>
  <si>
    <t>0340-0727</t>
  </si>
  <si>
    <t>1430-2772</t>
  </si>
  <si>
    <t>PSYCHOL RES-PSYCH FO</t>
  </si>
  <si>
    <t>Psychol. Res.-Psychol. Forsch.</t>
  </si>
  <si>
    <t>10.1007/s00426-023-01867</t>
  </si>
  <si>
    <t>R0SB0</t>
  </si>
  <si>
    <t>WOS:001061515700001</t>
  </si>
  <si>
    <t>Hillson, K; Kantor, J; Pinto, MV; Pollard, AJ; Kelly, D; Vanderslott, S; AWARE Clinical Trial Team</t>
  </si>
  <si>
    <t>Hillson, Kushalinii; Kantor, Jonathan; Pinto, Marta Valente; Pollard, Andrew J.; Kelly, Dominic; Vanderslott, Samantha; AWARE Clinical Trial Team</t>
  </si>
  <si>
    <t>Motivations for paediatric vaccine trial participation</t>
  </si>
  <si>
    <t>BARRIERS</t>
  </si>
  <si>
    <t>[Hillson, Kushalinii; Kantor, Jonathan; Pinto, Marta Valente; Pollard, Andrew J.; Kelly, Dominic; Vanderslott, Samantha] Univ Oxford, Oxford Vaccine Grp, Dept Paediat, Oxford, England; [Hillson, Kushalinii; Pinto, Marta Valente; Pollard, Andrew J.; Kelly, Dominic; Vanderslott, Samantha] Churchill Hosp, Ctr Clin Vaccinol &amp; Trop Med, NIHR Oxford Biomed Res Ctr, Oxford, England; [Kantor, Jonathan] Univ Oxford, Dept Engn Sci, Oxford, England; [Kantor, Jonathan] Florida Ctr Dermatol, St Augustine, FL USA; [Pinto, Marta Valente] CHULC, Hosp Dona Estefania, Lisbon, Portugal</t>
  </si>
  <si>
    <t>University of Oxford; University of Oxford; University of Oxford</t>
  </si>
  <si>
    <t>Hillson, K (corresponding author), Univ Oxford, Oxford Vaccine Grp, Dept Paediat, Oxford, England.;Hillson, K (corresponding author), Churchill Hosp, Ctr Clin Vaccinol &amp; Trop Med, NIHR Oxford Biomed Res Ctr, Oxford, England.</t>
  </si>
  <si>
    <t>kushalinii.hillson2@nhs.net</t>
  </si>
  <si>
    <t>Hillson, Kushalinii/0000-0002-2675-288X</t>
  </si>
  <si>
    <t>We would like to thank all AWARE study nurses and clinical trial staff at the Oxford Vaccine Group, for coordinating and managing recruitment for this survey. We also thank all the participants from the AWARE trial who participated in this survey.</t>
  </si>
  <si>
    <t>SEP 8</t>
  </si>
  <si>
    <t>10.1186/s13063-023-07597-2</t>
  </si>
  <si>
    <t>R4WS3</t>
  </si>
  <si>
    <t>WOS:001064374100002</t>
  </si>
  <si>
    <t>Mamandi, A</t>
  </si>
  <si>
    <t>Mamandi, Ahmad</t>
  </si>
  <si>
    <t>Vibration control of an axially loaded composite beam bonded with Piezoelectric actuator and sensor layers on a Winkler-Pasternak foundation and under transverse excitation force based on first-order shear deformation theory</t>
  </si>
  <si>
    <t>SADHANA-ACADEMY PROCEEDINGS IN ENGINEERING SCIENCES</t>
  </si>
  <si>
    <t>Composite beam; Piezoelectric actuator/sensor layers; Winkler-Pasternak foundation; First-order shear deformation theory; Axial load; Transverse excitation load; Vibration control</t>
  </si>
  <si>
    <t>FINITE-ELEMENT; ACTIVE CONTROL; DEFLECTION CONTROL; SANDWICH BEAMS; EXTENSION; SUPPRESSION; STABILITY; PLATES; MODEL</t>
  </si>
  <si>
    <t>In this paper, active vibration control of a composite beam bonded with piezoelectric layers on the top and bottom surfaces as actuators/sensors rested on a Winkler-Pasternak elastic foundation and subjected to an axial load on the beams' both ends and also under the lateral excitation load is studied using the first-order shear deformation theory (FSDT). When a constant electric charge is imposed, the governing equations of motion have been derived based on the FSDT in conjunction with the classical laminated beam theory applying the Hamilton's principle. The governing coupled partial differential equations are converted to the coupled ordinary differential equations using the harmonic series solution and then are solved by the fourth-order Runge-Kutta method. The effect of changes different parameters including geometric ratio of the beam's length to its height, the composite lay-up angle, number of vibrational modes, density of the composite beam, boundary conditions and feedback control gain on the natural frequency of vibration and transverse displacement of the beam are investigated. The obtained results show that the natural frequency of the beam decreases with increasing the length of the beam. Moreover, it is noticed that by increasing the feedback control gain the frequency of vibration reduces which leads to a better control of the beam's vibration.</t>
  </si>
  <si>
    <t>[Mamandi, Ahmad] Islamic Azad Univ, Dept Mech Engn, Parand Branch, Parand, Iran</t>
  </si>
  <si>
    <t>Mamandi, A (corresponding author), Islamic Azad Univ, Dept Mech Engn, Parand Branch, Parand, Iran.</t>
  </si>
  <si>
    <t>am_2001h@yahoo.com</t>
  </si>
  <si>
    <t>0256-2499</t>
  </si>
  <si>
    <t>0973-7677</t>
  </si>
  <si>
    <t>SADHANA-ACAD P ENG S</t>
  </si>
  <si>
    <t>Sadhana-Acad. Proc. Eng. Sci.</t>
  </si>
  <si>
    <t>10.1007/s12046-023-02239-4</t>
  </si>
  <si>
    <t>R5AH4</t>
  </si>
  <si>
    <t>WOS:001064470600001</t>
  </si>
  <si>
    <t>Oiestad, BE; Aroen, A; Rotterud, JH; Osteras, N; Jarstad, E; Grotle, M; Risberg, MA</t>
  </si>
  <si>
    <t>Oiestad, Britt Elin; Aroen, Asbjorn; Rotterud, Jan Harald; Osteras, Nina; Jarstad, Even; Grotle, Margreth; Risberg, May Arna</t>
  </si>
  <si>
    <t>The efficacy of strength or aerobic exercise on quality of life and knee function in patients with knee osteoarthritis. A multi-arm randomized controlled trial with 1-year follow-up</t>
  </si>
  <si>
    <t>BMC MUSCULOSKELETAL DISORDERS</t>
  </si>
  <si>
    <t>Knee osteoarthritis; Quality of life; Exercise</t>
  </si>
  <si>
    <t>THERAPY PROGRAM; RELIABILITY; IMPROVEMENT; INCREASES; HEALTH; PAIN</t>
  </si>
  <si>
    <t>ObjectiveTo evaluate the efficacy of strength exercise or aerobic exercise compared to usual care on knee-related quality of life (QoL) and knee function at 4 months and 1 year in individuals with knee osteoarthritis.MethodsA three-arm randomized controlled trial (RCT) compared 12 weeks of strength exercise or aerobic exercise (stationary cycling) to usual care supervised by physiotherapists in primary care. We recruited 168 participants aged 35-70 years with symptomatic knee osteoarthritis. The primary outcome was The Knee Injury and Osteoarthritis Outcome Score (KOOS) QoL at 1 year. Secondary outcomes were self-reported function, pain, and self-efficacy, muscle strength and maximal oxygen uptake (VO2max) at 4 months and 1 year.ResultsThere were no differences between strength exercise and usual care on KOOS QoL (6.5, 95% CI -0.9 to 14), or for aerobic exercise and usual care (5.0, 95% CI -2.7 to 12.8), at 1 year. The two exercise groups showed better quadriceps muscle strength, and VO2max at 4 months, compared to usual care.ConclusionThis trial found no statistically significant effects of two exercise programs compared to usual care on KOOS QoL at 1 year in individuals with symptomatic and radiographic knee osteoarthritis, but an underpowered sample size may explain lack of efficacy between the intervention groups and the usual care group.ClinicalTrials.gov IdentifierNCT01682980.</t>
  </si>
  <si>
    <t>[Oiestad, Britt Elin; Grotle, Margreth] Oslo Metropolitan Univ, Dept Rehabil Sci &amp; Hlth Technol, Oslo, Norway; [Aroen, Asbjorn] Akershus Univ Hosp, Orthoped Dept, Lorenskog, Norway; [Rotterud, Jan Harald] Akershus Univ Hosp, Orthopaed Dept, Lorenskog, Norway; [Osteras, Nina] Diakonhjemmet Hosp, Ctr Treatment Rheumat &amp; Musculoskeletal Dis REMEDY, Oslo, Norway; [Jarstad, Even] Norwegian Sports Med Clin, Oslo, Norway; [Grotle, Margreth] Oslo Univ Hosp, Dept Res &amp; Innovat, Div Clin Neurosci, Oslo, Norway; [Risberg, May Arna] Oslo Univ Hosp, Div Orthoped Surg, Oslo, Norway; [Risberg, May Arna] Norwegian Sch Sport Sci, Dept Sports Med, Oslo, Norway</t>
  </si>
  <si>
    <t>Oslo Metropolitan University (OsloMet); University of Oslo; University of Oslo; Diakonhjemmet Hospital; University of Oslo; University of Oslo; Norwegian School of Sport Sciences</t>
  </si>
  <si>
    <t>Oiestad, BE (corresponding author), Oslo Metropolitan Univ, Dept Rehabil Sci &amp; Hlth Technol, Oslo, Norway.</t>
  </si>
  <si>
    <t>brielo@oslomet.no</t>
  </si>
  <si>
    <t>Jarstad, Even/0000-0002-4943-6177</t>
  </si>
  <si>
    <t>Research Council of Norway; Norwegian Physiotherapy Fund</t>
  </si>
  <si>
    <t>Research Council of Norway(Research Council of Norway); Norwegian Physiotherapy Fund</t>
  </si>
  <si>
    <t>The Research Council of Norway and the Norwegian Physiotherapy Fund.</t>
  </si>
  <si>
    <t>1471-2474</t>
  </si>
  <si>
    <t>BMC MUSCULOSKEL DIS</t>
  </si>
  <si>
    <t>BMC Musculoskelet. Disord.</t>
  </si>
  <si>
    <t>10.1186/s12891-023-06831-x</t>
  </si>
  <si>
    <t>Orthopedics; Rheumatology</t>
  </si>
  <si>
    <t>R1WI9</t>
  </si>
  <si>
    <t>WOS:001062310200002</t>
  </si>
  <si>
    <t>Pan, B; Zhang, HL; Weng, YL</t>
  </si>
  <si>
    <t>Pan, Bin; Zhang, Hailang; Weng, Yuling</t>
  </si>
  <si>
    <t>Nb-Cl co-doping improved the electrochemical performance of LiNi0.6Co0.2Mn0.2O2 cathode materials</t>
  </si>
  <si>
    <t>IONICS</t>
  </si>
  <si>
    <t>Li-ion battery; LiNi0.6Co0.2Mn0.2O2; Nb-Cl co-doping; Cathode material; Electrochemical performance</t>
  </si>
  <si>
    <t>LITHIUM-ION BATTERIES; NI-RICH; HIGH-ENERGY; VOLTAGE; CAPACITY; SURFACE; OXIDE; BULK</t>
  </si>
  <si>
    <t>LiNi0.6Co0.2Mn0.2O2 cathode material has been widely studied by researchers due to its high capacity, but its further development is restricted by low rate capacity, poor interface stability, and poor structural stability. Nb-Cl co-doped LiNi0.6Co0.2Mn0.2O2 cathode materials were prepared by solid-phase method. Structural analysis revealed that Nb and Cl elements were uniformly incorporated into the crystal structure. Electrochemical results show that the optimal co-doping amounts of Nb and Cl are 1% and 2%, and the modified LiNi0.6Co0.2Mn0.2O2 cathode material exhibits higher discharge capacity and cycle stability. At 0.5 C, the capacity retention rate was 90.80% after 100 cycles at a cut-off voltage of 3.0-4.6 V, much higher than that of the pristine sample which was 81.17%. In addition, the modified sample can still maintain a reversible capacity of 148.0 mAh g(-1) even at 5 C. This is attributed to the synergistic effect of anion-cation co-doping, which effectively inhibits the phase transition process on the surface of the material in a highly delithiated state, slows down the structural collapse during cycling, and promotes the reversible intercalation/extraction of Li+. EIS and GITT tests also proved that Nb-Cl co-doping reduces the charge transfer resistance (R-ct) and effectively increases the lithium ion diffusion rate.</t>
  </si>
  <si>
    <t>[Pan, Bin; Zhang, Hailang; Weng, Yuling] Jiangnan Univ, Sch Chem &amp; Mat Engn, Key Lab Synthet &amp; Biol Colloids, Minist Educ, Wuxi 214122, Jiangsu, Peoples R China</t>
  </si>
  <si>
    <t>Jiangnan University</t>
  </si>
  <si>
    <t>Zhang, HL (corresponding author), Jiangnan Univ, Sch Chem &amp; Mat Engn, Key Lab Synthet &amp; Biol Colloids, Minist Educ, Wuxi 214122, Jiangsu, Peoples R China.</t>
  </si>
  <si>
    <t>zhl888778@163.com</t>
  </si>
  <si>
    <t>0947-7047</t>
  </si>
  <si>
    <t>1862-0760</t>
  </si>
  <si>
    <t>Ionics</t>
  </si>
  <si>
    <t>10.1007/s11581-023-05196-4</t>
  </si>
  <si>
    <t>Chemistry, Physical; Electrochemistry; Physics, Condensed Matter</t>
  </si>
  <si>
    <t>Chemistry; Electrochemistry; Physics</t>
  </si>
  <si>
    <t>R4ZW0</t>
  </si>
  <si>
    <t>WOS:001064459200001</t>
  </si>
  <si>
    <t>Roy, DB; Varpe, A; Bhandari, M; Mandal, TK; Das, S</t>
  </si>
  <si>
    <t>Roy, D. B.; Varpe, A.; Bhandari, M.; Mandal, T. K.; Das, S.</t>
  </si>
  <si>
    <t>Synthesis, Characterizations and Applications of Iron Oxide-Based Nanocomposites</t>
  </si>
  <si>
    <t>TRANSACTIONS OF THE INDIAN INSTITUTE OF METALS</t>
  </si>
  <si>
    <t>Iron oxide nanocomposites; Combustion method; Green synthesis method; Biomedical application; Waste water cleaning</t>
  </si>
  <si>
    <t>GREEN SYNTHESIS; MAGNETIC NANOCOMPOSITES; HYDROTHERMAL SYNTHESIS; PHYSICAL-PROPERTIES; AQUEOUS-SOLUTION; NANOPARTICLES; REMOVAL; FE3O4; CARBON; CHROMIUM</t>
  </si>
  <si>
    <t>We have explored iron oxide nanocomposites (IONCs) for various important applications in science and technology. The fabrication of IONCs through thermal treatment, combustion, in situ polymerization, and green synthesis processes has been thoroughly examined. The review also covers the crucial applications of IONCs in the biomedical field, magnetic resonance, wastewater cleaning, and more. Additionally, the study delves into the various characterization methods and properties of IONCs.</t>
  </si>
  <si>
    <t>[Roy, D. B.; Varpe, A.; Das, S.] Ajeenkya DY Patil Univ, Sch Engn, Charholi Bk Via Lohegaon, Pune 412105, Maharashtra, India; [Bhandari, M.] Sonakshi Milk Prod Pvt Ltd, Pune 410513, Maharashtra, India; [Mandal, T. K.] ICFAI Univ, Fatikchhara 799210, Tripura, India</t>
  </si>
  <si>
    <t>Roy, DB (corresponding author), Ajeenkya DY Patil Univ, Sch Engn, Charholi Bk Via Lohegaon, Pune 412105, Maharashtra, India.</t>
  </si>
  <si>
    <t>debanjali.roy@adypu.edu.in</t>
  </si>
  <si>
    <t>0972-2815</t>
  </si>
  <si>
    <t>0975-1645</t>
  </si>
  <si>
    <t>T INDIAN I METALS</t>
  </si>
  <si>
    <t>Trans. Indian Inst. Met.</t>
  </si>
  <si>
    <t>10.1007/s12666-023-03086</t>
  </si>
  <si>
    <t>Metallurgy &amp; Metallurgical Engineering</t>
  </si>
  <si>
    <t>R0UB8</t>
  </si>
  <si>
    <t>WOS:001061568900001</t>
  </si>
  <si>
    <t>Sistanizad, M; Sabaghian, T; Amini, H; Hadavand, F; Nabavi, M; Kouchek, M; Miri, MM; Salarian, S; Shojaei, S; Moradi, O</t>
  </si>
  <si>
    <t>Sistanizad, Mohammad; Sabaghian, Tahereh; Amini, Hossein; Hadavand, Fahimeh; Nabavi, Mahmood; Kouchek, Mehran; Miri, Mir Mohammad; Salarian, Sara; Shojaei, Seyedpouzhia; Moradi, Omid</t>
  </si>
  <si>
    <t>Sinopharm (HB02)-associated vaccine-induced immune thrombotic thrombocytopenia: a case report</t>
  </si>
  <si>
    <t>JOURNAL OF MEDICAL CASE REPORTS</t>
  </si>
  <si>
    <t>COVID-19; Vaccine; Thrombosis; Whole-virus vaccine; Case report</t>
  </si>
  <si>
    <t>BackgroundVaccine-induced thrombotic thrombocytopenia is associated with the coronavirus disease 2019 vaccines. It has been reported by vector-based vaccines. To the best of our knowledge, there is no report about vaccine-induced thrombotic thrombocytopenia in whole-virus vaccines. We are presenting the first case of vaccine-induced thrombotic thrombocytopenia with this type of vaccine.Case presentationAn 18-year-old male Caucasian patient with complaints of severe abdominal, low back, and lower extremity pain presented to the medical center. He received the first dose of the Sinopharm (HB02) vaccine against coronavirus disease 2019 10 days before hospital attendance. In the laboratory examination, decreased platelet count and increased D-dimer were observed. During hospital admission, the diagnosis of pulmonary embolism was reached. He received vaccine-induced thrombotic thrombocytopenia therapy consisting of intravenous immune globulin and direct oral anticoagulant. Platelet count increased and he was discharged after 1 month.ConclusionThis case highlights the possibility of vaccine-induced thrombotic thrombocytopenia occurrence by whole-virus coronavirus disease 2019 vaccines. Compared with vector-based vaccines, this phenomenon is rare for whole-virus vaccines. More studies on this type of vaccine regarding thrombotic thrombocytopenia should be considered.</t>
  </si>
  <si>
    <t>[Sistanizad, Mohammad; Amini, Hossein] Shahid Beheshti Univ Med Sci, Sch Pharm, Dept Clin Pharm, Tehran, Iran; [Sistanizad, Mohammad] Shahid Beheshti Univ Med Sci, Prevent Cardiovasc Dis Res Ctr, Tehran, Iran; [Sabaghian, Tahereh] Shahid Beheshti Univ Med Sci, Dept Internal Med, Div Nephrol, Tehran, Iran; [Hadavand, Fahimeh; Nabavi, Mahmood] Shahid Beheshti Univ Med Sci, Infect Dis &amp; Trop Med Res Ctr, Imam Hossein Teaching &amp; Med Ctr, Tehran, Iran; [Hadavand, Fahimeh; Nabavi, Mahmood] Shahid Beheshti Univ Med Sci, Imam Hossein Teaching &amp; Educ Ctr, Dept Infect Dis, Tehran, Iran; [Kouchek, Mehran; Miri, Mir Mohammad; Salarian, Sara; Shojaei, Seyedpouzhia] Shahid Beheshti Univ Med Sci, Imam Hossein Teaching &amp; Educ Ctr, Dept Pulm &amp; Crit Care Med, Tehran, Iran; [Moradi, Omid] Hormozgan Univ Med Sci, Fac Pharm, Dept Clin Pharm, Bandar Abbas 7919691982, Iran</t>
  </si>
  <si>
    <t>Shahid Beheshti University Medical Sciences; Shahid Beheshti University Medical Sciences; Shahid Beheshti University Medical Sciences; Shahid Beheshti University Medical Sciences; Shahid Beheshti University Medical Sciences; Shahid Beheshti University Medical Sciences</t>
  </si>
  <si>
    <t>Moradi, O (corresponding author), Hormozgan Univ Med Sci, Fac Pharm, Dept Clin Pharm, Bandar Abbas 7919691982, Iran.</t>
  </si>
  <si>
    <t>O_moradi@outlook.com</t>
  </si>
  <si>
    <t>1752-1947</t>
  </si>
  <si>
    <t>J MED CASE REP</t>
  </si>
  <si>
    <t>J. Med. Case Rep.</t>
  </si>
  <si>
    <t>10.1186/s13256-023-04086-7</t>
  </si>
  <si>
    <t>Q8ZJ6</t>
  </si>
  <si>
    <t>WOS:001060343500002</t>
  </si>
  <si>
    <t>Sun, L; Ji, WX; Li, Y; Li, ZL; Duan, CC; Xia, BR; Xiao, L</t>
  </si>
  <si>
    <t>Sun, Lei; Ji, Wei-Xue; Li, Yan; Li, Ze-Lian; Duan, Can-Can; Xia, Bai-rong; Xiao, Lan</t>
  </si>
  <si>
    <t>The PAPSS1 gene is a modulator of response to cisplatin by regulating estrogen receptor alpha signaling activity in ovarian cancer cells</t>
  </si>
  <si>
    <t>JOURNAL OF OVARIAN RESEARCH</t>
  </si>
  <si>
    <t>Epithelial ovarian cancer; Sulfation pathways; PAPSS1; Cisplatin resistance; Estradiol; Estrogen receptor alpha</t>
  </si>
  <si>
    <t>HORMONE REPLACEMENT THERAPY; MULTIDRUG-RESISTANCE; SYNTHETASE 1; EXPRESSION; SENSITIVITY; SYNTHASE; ACTIVATION; ESTRADIOL; CARCINOMA; SULFATION</t>
  </si>
  <si>
    <t>BackgroundCancer cells may develop resistance to cisplatin by various mechanisms. Yet, the exact mechanism of cisplatin in ovarian cancer remains unclear. Recent studies have shown that 3'-phospoadenosine 5'-phosphosulfate synthase 1 (PAPSS1) inhibition combined with low-dose cisplatin increases DNA damage. The aim of this study was to determine the value of targeting PAPSS1 as a cisplatin modulator in epithelial ovarian cancer (EOC).ResultsIncreased expression of PAPSS1 was observed in both EOC cells and tissues. Also, its higher nuclear expression was distinctly associated with FIGO (The International Federation of Gynecology and Obstetrics) stage, histological subtype, metastasis, and recurrence. Down-regulation of the PAPSS1 gene increased the cisplatin sensitivity of EOC in vitro and in vivo. Expression of PAPSS1 was negatively correlated with estrogen receptor a (ERa) in EOC. Also, low nuclear PAPSS1 and high nuclear ERa expression in EOC were associated with longer overall survival and progression-free survival in all ovarian cancer and ovarian cancer patients who received platinum-based chemotherapy. PAPSS1 silencing increased the activity of ERa-signaling in EOC cells, thus sensitizing tumors to cisplatin.ConclusionsThese findings characterize a novel interplay between PAPSS1-mediated sulfation and ERa-signaling in EOC cisplatin resistance. PAPSS1 may be exploited as a cisplatin-sensitizing therapeutic target.</t>
  </si>
  <si>
    <t>[Sun, Lei; Ji, Wei-Xue; Li, Ze-Lian; Duan, Can-Can; Xiao, Lan] Anhui Med Univ, Affiliated Hosp 1, Dept Obstet &amp; Gynecol, Hefei 230020, Anhui, Peoples R China; [Li, Yan] Jianghan Univ, Sch Med, Dept Pathol &amp; Pathophysiol, Wuhan 430056, Hubei, Peoples R China; [Xia, Bai-rong] Univ Sci &amp; Technol China, Affiliated Hosp USTC 1, Dept Gynecol Oncol, Div Life Sci &amp; Med, Hefei 230031, Anhui, Peoples R China</t>
  </si>
  <si>
    <t>Anhui Medical University; Jianghan University; Chinese Academy of Sciences; University of Science &amp; Technology of China, CAS</t>
  </si>
  <si>
    <t>Xiao, L (corresponding author), Anhui Med Univ, Affiliated Hosp 1, Dept Obstet &amp; Gynecol, Hefei 230020, Anhui, Peoples R China.;Xia, BR (corresponding author), Univ Sci &amp; Technol China, Affiliated Hosp USTC 1, Dept Gynecol Oncol, Div Life Sci &amp; Med, Hefei 230031, Anhui, Peoples R China.</t>
  </si>
  <si>
    <t>xiabairong9999@126.com; emma_02000@163.com</t>
  </si>
  <si>
    <t>The authors gratefully acknowledge all the participating volunteers for generously providing tissue samples in this study.</t>
  </si>
  <si>
    <t>1757-2215</t>
  </si>
  <si>
    <t>J OVARIAN RES</t>
  </si>
  <si>
    <t>J. Ovarian Res.</t>
  </si>
  <si>
    <t>10.1186/s13048-023-01262-7</t>
  </si>
  <si>
    <t>Reproductive Biology</t>
  </si>
  <si>
    <t>R6HY1</t>
  </si>
  <si>
    <t>WOS:001065357000001</t>
  </si>
  <si>
    <t>Tarrell, A; Giles, L; Smith, B; Traube, C; Watt, K</t>
  </si>
  <si>
    <t>Tarrell, Ariel; Giles, Lisa; Smith, Brian; Traube, Chani; Watt, Kevin</t>
  </si>
  <si>
    <t>Delirium in the NICU</t>
  </si>
  <si>
    <t>JOURNAL OF PERINATOLOGY</t>
  </si>
  <si>
    <t>CONFUSION ASSESSMENT METHOD; INDIVIDUALIZED DEVELOPMENTAL CARE; CRITICALLY-ILL CHILDREN; PEDIATRIC DELIRIUM; CORNELL ASSESSMENT; III CHILDREN; INFANTS; ICU; MANAGEMENT; RISK</t>
  </si>
  <si>
    <t>Delirium in the NICU is an underrecognized phenomenon in infants who are often complex and critically ill. The current understanding of NICU delirium is developing and can be informed by adult and pediatric literature. The NICU population faces many potential risk factors for delirium, including young age, developmental delay, mechanical ventilation, severe illness, and surgery. There are no diagnostic tools specific to infants. The mainstay of delirium treatment is to treat the underlying cause, address modifiable risk factors, and supportive care. This review will summarize current knowledge and areas where more research is needed.</t>
  </si>
  <si>
    <t>[Tarrell, Ariel] Univ Utah, Sch Med, Dept Pediat, Div Neonatol, Salt Lake City, UT 84132 USA; [Giles, Lisa] Univ Utah, Sch Med, Dept Pediat, Div Pediat Neurol, Salt Lake City, UT USA; [Smith, Brian] Duke Univ, Med Ctr, Div Neonatol, Durham, NC USA; [Traube, Chani] Weill Cornell Med Coll, Div Pediat Crit Care Med, New York, NY USA; [Watt, Kevin] Univ Utah, Sch Med, Dept Pediat, Div Pediat Crit Care, Salt Lake City, UT USA</t>
  </si>
  <si>
    <t>Utah System of Higher Education; University of Utah; Utah System of Higher Education; University of Utah; Duke University; Cornell University; Weill Cornell Medicine; Utah System of Higher Education; University of Utah</t>
  </si>
  <si>
    <t>Tarrell, A (corresponding author), Univ Utah, Sch Med, Dept Pediat, Div Neonatol, Salt Lake City, UT 84132 USA.</t>
  </si>
  <si>
    <t>ariel.tarrell@hsc.utah.edu</t>
  </si>
  <si>
    <t>Traube, Chani/0000-0003-1863-7950; Giles, Lisa/0000-0003-0693-507X</t>
  </si>
  <si>
    <t>0743-8346</t>
  </si>
  <si>
    <t>1476-5543</t>
  </si>
  <si>
    <t>J PERINATOL</t>
  </si>
  <si>
    <t>J. Perinatol.</t>
  </si>
  <si>
    <t>10.1038/s41372-023-01767-5</t>
  </si>
  <si>
    <t>Obstetrics &amp; Gynecology; Pediatrics</t>
  </si>
  <si>
    <t>R0UG3</t>
  </si>
  <si>
    <t>WOS:001061573600001</t>
  </si>
  <si>
    <t>Tian, RX; Xu, JQ; He, J; Chen, Z; Liu, YQ; Chen, XL; Zou, ZJ</t>
  </si>
  <si>
    <t>Tian, Ruixue; Xu, Jingqi; He, Jing; Chen, Zhen; Liu, Yanqun; Chen, Xiaoli; Zou, Zhijie</t>
  </si>
  <si>
    <t>Effects of preeclampsia on perinatal outcomes in women with gestational diabetes mellitus: A retrospective cohort study</t>
  </si>
  <si>
    <t>INTERNATIONAL JOURNAL OF DIABETES IN DEVELOPING COUNTRIES</t>
  </si>
  <si>
    <t>Gestational diabetes mellitus; Perinatal outcomes; Pregnancy; Preeclampsia; Retrospective cohort study</t>
  </si>
  <si>
    <t>PREGNANCY; ASSOCIATION</t>
  </si>
  <si>
    <t>BackgroundTo date, studies on the effects of preeclampsia on perinatal outcomes in women with gestational diabetes mellitus (GDM) are comparatively few, and the results are inconsistent.ObjectiveThis study aimed to explore the effects of preeclampsia on perinatal outcomes in women with GDM.MethodsThis retrospective cohort study collected data of women with GDM whose babies were delivered in a Chinese hospital between July 2017 and June 2020. We divided eligible pregnant women with GDM into two groups based on whether they were diagnosed with preeclampsia: GDM with preeclampsia group and GDM without preeclampsia group. Logistic regression analysis was performed to evaluate the risks for perinatal outcomes which were used as the dependent variables.ResultsWe identified 7533 eligible women with GDM (245 in GDM with preeclampsia group and 7288 in GDM without preeclampsia group). After adjusting for covariates, preeclampsia was significantly associated with higher risks of fetal malformations (OR: 1.67, 95% CI: 1.08-2.57), fetal growth restriction (OR: 5.36, 95% CI: 2.91-9.88), cesarean section (OR: 2.48, 95% CI: 1.83-3.37), emergency cesarean section (OR: 2.32, 95% CI: 1.77-3.05), preterm birth (OR: 1.89, 95% CI: 1.27-2.81), low birth weight (LBW) (OR: 3.30, 95% CI: 2.16-5.05), small for gestational age (SGA) (OR: 3.05, 95% CI: 2.01-4.63) and neonatal hypoglycemia (OR: 1.77, 95% CI: 1.10-2.85).ConclusionWomen with GDM complicated with preeclampsia were at higher risks of fetal malformations, fetal growth restriction, cesarean section, emergency cesarean section, preterm birth, LBW, SGA and neonatal hypoglycemia.</t>
  </si>
  <si>
    <t>[Tian, Ruixue; Xu, Jingqi; He, Jing; Liu, Yanqun; Chen, Xiaoli; Zou, Zhijie] Wuhan Univ, Sch Nursing, Wuhan, Peoples R China; [He, Jing; Chen, Zhen] Chongqing Hlth Ctr Women &amp; Children, Dept Obstet, Chongqing, Peoples R China</t>
  </si>
  <si>
    <t>Chen, XL; Zou, ZJ (corresponding author), Wuhan Univ, Sch Nursing, Wuhan, Peoples R China.</t>
  </si>
  <si>
    <t>chenxl72@whu.edu.cn; zouzhijie@whu.edu.cn</t>
  </si>
  <si>
    <t>He, Jing/GMW-7295-2022</t>
  </si>
  <si>
    <t>He, Jing/0000-0001-7654-1872</t>
  </si>
  <si>
    <t>National Natural Science Foundation of China [81903334]</t>
  </si>
  <si>
    <t>This work was supported by the National Natural Science Foundation of China (Grant No. 81903334).</t>
  </si>
  <si>
    <t>0973-3930</t>
  </si>
  <si>
    <t>1998-3832</t>
  </si>
  <si>
    <t>INT J DIABETES DEV C</t>
  </si>
  <si>
    <t>Int. Diabetes Dev. Ctries.</t>
  </si>
  <si>
    <t>10.1007/s13410-023-01236</t>
  </si>
  <si>
    <t>R0TX6</t>
  </si>
  <si>
    <t>WOS:001061564600001</t>
  </si>
  <si>
    <t>Vereecke, E; Jans, L; Herregods, N; Chen, M; Jaremko, JL; Laloo, F; Carron, P; Varkas, G; de Hooge, M; van den Bosch, F; Elewaut, D; Morbee, L</t>
  </si>
  <si>
    <t>Vereecke, Elke; Jans, Lennart; Herregods, Nele; Chen, Min; Jaremko, Jacob L.; Laloo, Frederiek; Carron, Philippe; Varkas, Gaelle; de Hooge, Manouk; van den Bosch, Filip; Elewaut, Dirk; Morbee, Lieve</t>
  </si>
  <si>
    <t>Association of anatomical variants of the sacroiliac joint with bone marrow edema in patients with axial spondyloarthritis</t>
  </si>
  <si>
    <t>SKELETAL RADIOLOGY</t>
  </si>
  <si>
    <t>Sacroiliac Joint; Spondyloarthritis; Spondyloarthropathies; Anatomic Variation; Magnetic Resonance Imaging</t>
  </si>
  <si>
    <t>PREVALENCE; MRI</t>
  </si>
  <si>
    <t>ObjectiveTo determine the prevalence of sacroiliac joint variants in patients with axial spondyloarthritis (axSpA) using MRI-based synthetic CT images and to evaluate their relationships with the presence of bone marrow edema, as this may potentially complicate diagnosing active sacroiliitis on MRI in patients with suspected axSpA.Methods172 patients were retrospectively included. All patients underwent MRI because of clinical suspicion of sacroiliitis. The diagnosis of axSpA was made by a tertiary hospital rheumatologist. Two readers independently determined the presence of bone marrow edema and the presence of one or more of the nine known sacroiliac joint (SIJ) variants.ResultsSIJ variants were common in axSpA patients (82.9%) and the non-SpA group (85.4%); there were no significant differences in prevalence. Bone marrow edema was frequently found in axSpA (86.8%) and non-SpA patients (34%). AxSpA patients with SIJ variants (except for accessory joint) demonstrated 4 to 10 times higher odds for bone marrow edema, however not statistically significant. The more variants were present in this group, the higher the chance of bone marrow edema. However, some multicollinearity cannot be excluded, since bone marrow edema is very frequent in the axSpA group by definition.ConclusionSIJ variants are common in axSpA and non-SpA patients. SIJ variants were associated with higher prevalence of bone marrow edema in axSpA patients, potentially due to altered biomechanics, except for accessory joint which may act as a stabilizer.</t>
  </si>
  <si>
    <t>[Vereecke, Elke; Jans, Lennart; Herregods, Nele; Laloo, Frederiek; Morbee, Lieve] Ghent Univ Hosp, Dept Radiol, Corneel Heymanslaan 10, B-9000 Ghent, Belgium; [Chen, Min] Peking Univ, Shenzhen Hosp, Dept Radiol, Shenzhen, Peoples R China; [Jaremko, Jacob L.] Univ Alberta Hosp, Fac Med &amp; Dent, Dept Radiol &amp; Diagnost Imaging, Edmonton, AB, Canada; [Carron, Philippe; van den Bosch, Filip; Elewaut, Dirk] Univ Ghent, Fac Med &amp; Hlth Sci, Dept Internal Med &amp; Pediat, Ghent, Belgium; [Carron, Philippe; Varkas, Gaelle; de Hooge, Manouk; van den Bosch, Filip; Elewaut, Dirk] Ghent Univ Hosp, Dept Rheumatol, Ghent, Belgium; [Carron, Philippe; Varkas, Gaelle; de Hooge, Manouk; van den Bosch, Filip; Elewaut, Dirk] UGent Ctr Inflammat Res VIB, Mol Immunol &amp; Inflammat Unit, Zwijnaarde, Belgium; [Varkas, Gaelle] Jan Palfijn Hosp, Dept Rheumatol, Ghent, Belgium</t>
  </si>
  <si>
    <t>Ghent University; Ghent University Hospital; Peking University; University of Alberta; Ghent University; Ghent University; Ghent University Hospital</t>
  </si>
  <si>
    <t>Vereecke, E (corresponding author), Ghent Univ Hosp, Dept Radiol, Corneel Heymanslaan 10, B-9000 Ghent, Belgium.</t>
  </si>
  <si>
    <t>elke.vereecke@uzgent.be</t>
  </si>
  <si>
    <t>We acknowledge the administrative support of Griet Alleman.</t>
  </si>
  <si>
    <t>0364-2348</t>
  </si>
  <si>
    <t>1432-2161</t>
  </si>
  <si>
    <t>SKELETAL RADIOL</t>
  </si>
  <si>
    <t>Skeletal Radiol.</t>
  </si>
  <si>
    <t>10.1007/s00256-023-04435</t>
  </si>
  <si>
    <t>Orthopedics; Radiology, Nuclear Medicine &amp; Medical Imaging</t>
  </si>
  <si>
    <t>Q9WP7</t>
  </si>
  <si>
    <t>WOS:001060950800001</t>
  </si>
  <si>
    <t>Yamamoto, K; Otsuka, F</t>
  </si>
  <si>
    <t>Yamamoto, Koichiro; Otsuka, Fumio</t>
  </si>
  <si>
    <t>Hypertension is the only clue for the discovery of adrenal rhabdomyosarcoma</t>
  </si>
  <si>
    <t>HYPERTENSION RESEARCH</t>
  </si>
  <si>
    <t>Adrenal; Hypertension; Rhabdomyosarcoma</t>
  </si>
  <si>
    <t>REGION</t>
  </si>
  <si>
    <t>[Yamamoto, Koichiro; Otsuka, Fumio] Okayama Univ, Grad Sch Med, Dept Gen Med, Dent &amp; Pharmaceut Sci, Okayama 7008558, Japan</t>
  </si>
  <si>
    <t>Okayama University</t>
  </si>
  <si>
    <t>Otsuka, F (corresponding author), Okayama Univ, Grad Sch Med, Dept Gen Med, Dent &amp; Pharmaceut Sci, Okayama 7008558, Japan.</t>
  </si>
  <si>
    <t>fumiotsu@md.okayama-u.ac.jp</t>
  </si>
  <si>
    <t>Yamamoto, Koichiro/0000-0001-9571-1646</t>
  </si>
  <si>
    <t>0916-9636</t>
  </si>
  <si>
    <t>1348-4214</t>
  </si>
  <si>
    <t>HYPERTENS RES</t>
  </si>
  <si>
    <t>Hypertens. Res.</t>
  </si>
  <si>
    <t>10.1038/s41440-023-01426-4</t>
  </si>
  <si>
    <t>Peripheral Vascular Disease</t>
  </si>
  <si>
    <t>Cardiovascular System &amp; Cardiology</t>
  </si>
  <si>
    <t>R4ZU3</t>
  </si>
  <si>
    <t>WOS:001064457500001</t>
  </si>
  <si>
    <t>Yim, S; Park, Y</t>
  </si>
  <si>
    <t>Yim, Suwon; Park, Yoonhee</t>
  </si>
  <si>
    <t>Structural relationships among job crafting, informal learning, and innovative behavior of employees in large corporations: the moderating effect of perceived error management climate</t>
  </si>
  <si>
    <t>INTERNATIONAL JOURNAL FOR EDUCATIONAL AND VOCATIONAL GUIDANCE</t>
  </si>
  <si>
    <t>Job crafting; Informal learning; Innovative behavior; Perceived error management climate</t>
  </si>
  <si>
    <t>SELF-DETERMINATION THEORY; INDIVIDUAL-DIFFERENCES; WORK ORGANIZATIONS; NEED SATISFACTION; METHOD VARIANCE; PERFORMANCE; MODEL; CULTURE; VALIDATION; MOTIVATION</t>
  </si>
  <si>
    <t>This study investigated the relationship between job crafting (cognitive crafting, task crafting, and relational crafting), informal learning, innovative behavior, and the moderating effect of the perceived error management climate. This research used data from 316 Korean employees of a large firm. While cognitive crafting did not directly affect innovative behavior, we found statistically positive effects on task and relational crafting. Informal learning mediated the relationship between cognitive, task, relational crafting, and innovative behavior, while the perceived error management climate moderated the relationship between cognitive crafting and informal learning. This study provides practical and theoretical implications based on the results. Cette etude a examine la relation entre l'organisation du travail (organisation cognitive, organisation des taches et organisation relationnelle), l'apprentissage informel, le comportement innovant et l'effet moderateur de la perception du climat de gestion des erreurs. Cette recherche a utilise les donnees de 316 employes coreens d'une grande entreprise. Si l'elaboration cognitive n'a pas eu d'effet direct sur le comportement innovant, nous avons constate des effets statistiquement positifs sur l'elaboration des taches et l'elaboration relationnelle. L'apprentissage informel a joue un role de mediateur dans la relation entre l'elaboration cognitive, l'elaboration des taches, l'elaboration relationnelle et le comportement innovant, tandis que le climat percu de gestion des erreurs a modere la relation entre l'elaboration cognitive et l'apprentissage informel. Cette etude fournit des implications pratiques et theoriques basees sur les resultats. Diese Studie untersuchte die Beziehung zwischen Job Crafting (kognitives Crafting, Task Crafting und relationales Crafting), informellem Lernen, innovativem Verhalten und dem moderierenden Effekt des wahrgenommenen Fehlermanagementklimas. Fur diese Untersuchung wurden Daten von 316 koreanischen Mitarbeitern eines grossen Unternehmens verwendet. Wahrend sich kognitives Crafting nicht direkt auf innovatives Verhalten auswirkte, fanden wir statistisch positive Auswirkungen auf Aufgaben- und Beziehungs-Crafting. Informelles Lernen vermittelte die Beziehung zwischen kognitivem, aufgabenbezogenem und relationalem Crafting und innovativem Verhalten, wahrend das wahrgenommene Fehlermanagementklima die Beziehung zwischen kognitivem Crafting und informellem Lernen moderierte. Aus den Ergebnissen dieser Studie ergeben sich praktische und theoretische Schlussfolgerungen. Este estudio investigo la relacion entre el job crafting (cognitive crafting, task crafting y relational crafting), el aprendizaje informal, el comportamiento innovador y el efecto moderador del clima de gestion de errores percibido. En esta investigacion se utilizaron datos de 316 empleados coreanos de una gran empresa. Aunque el crafting cognitivo no afecto directamente al comportamiento innovador, encontramos efectos estadisticamente positivos en el crafting de tarea y el relacional. El aprendizaje informal medio en la relacion entre el crafting cognitivo, el de tareas, el relacional y el comportamiento innovador, mientras que el clima de gestion de errores percibido modero la relacion entre el crafting cognitivo y el aprendizaje informal. Este estudio proporciona implicaciones practicas y teoricas basadas en los resultados.</t>
  </si>
  <si>
    <t>[Yim, Suwon] Tech Univ Korea, 237 Sangidaehak Ro, Siheung Si, Gyeonggi Do, South Korea; [Park, Yoonhee] Ewha Womans Univ, 52, Ewhayeodae Gil, Seoul 03760, South Korea</t>
  </si>
  <si>
    <t>Ewha Womans University</t>
  </si>
  <si>
    <t>Park, Y (corresponding author), Ewha Womans Univ, 52, Ewhayeodae Gil, Seoul 03760, South Korea.</t>
  </si>
  <si>
    <t>suwon.yim@gmail.com; yoonhpark@ewha.ac.kr</t>
  </si>
  <si>
    <t>1873-0388</t>
  </si>
  <si>
    <t>1573-1782</t>
  </si>
  <si>
    <t>INT J EDUC VOCAT GUI</t>
  </si>
  <si>
    <t>Int. J. Educ. Vocat. Guid.</t>
  </si>
  <si>
    <t>10.1007/s10775-023-09625-8</t>
  </si>
  <si>
    <t>Education &amp; Educational Research; Psychology, Applied</t>
  </si>
  <si>
    <t>R0SA9</t>
  </si>
  <si>
    <t>WOS:001061515600001</t>
  </si>
  <si>
    <t>Andresen, K; Carreira, H; Strongman, H; Mcdonald, HI; Benitez-Majano, S; Mansfield, KE; Nitsch, D; Tomlinson, LA; Bhaskaran, K</t>
  </si>
  <si>
    <t>Andresen, Kirsty; Carreira, Helena; Strongman, Helen; Mcdonald, Helen I.; Benitez-Majano, Sara; Mansfield, Kathryn E.; Nitsch, Dorothea; Tomlinson, Laurie A.; Bhaskaran, Krishnan</t>
  </si>
  <si>
    <t>The risk of acute kidney injury in colorectal cancer survivors: an english population-based matched cohort study</t>
  </si>
  <si>
    <t>BMC CANCER</t>
  </si>
  <si>
    <t>Colorectal neoplasms; Cancer survivors; Acute kidney injury; England</t>
  </si>
  <si>
    <t>ACUTE-RENAL-FAILURE</t>
  </si>
  <si>
    <t>Background Colorectal cancer survival has improved in recent decades but there are concerns that survivors may develop kidney problems due to adverse effects of cancer treatment or complications of the cancer itself. We quantified the risk of acute kidney injury (AKI) in colorectal cancer survivors compared to people with no prior cancer.Methods Retrospective matched cohort study using electronic health record primary care data from the Clinical Practice Research Datalink GOLD linked to hospital data in England (HES-APC). Individuals with colorectal cancer between 1997-2018 were individually matched on age, sex, and GP practice to people with no prior cancer. We used Cox models to estimate hazard ratios for an incident hospital diagnosis of AKI in colorectal cancer survivors compared to individuals without cancer, overall and stratified by time since diagnosis adjusted for other individual-level factors (adj-HR).Results Twenty thousand three hundred forty colorectal cancer survivors were matched to 100,058 cancer-free individuals. Colorectal cancer survivors were at increased risk of developing AKI compared to people without cancer (adj-HR = 2.16; 95%CI 2.05-2.27). The HR was highest in the year after diagnosis (adj-HR 7.47, 6.66-8.37), and attenuated over time, but there was still increased AKI risk &gt; 5 years after diagnosis (adj-HR = 1.26, 1.17-1.37). The association between colorectal cancer and AKI was greater for younger people, men, and those with pre-existing chronic kidney disease.Conclusions Colorectal cancer survivors were at increased risk of AKI for several years after cancer diagnosis, suggesting a need to prioritise monitoring, prevention, and management of kidney problems in this group of cancer survivors.</t>
  </si>
  <si>
    <t>[Andresen, Kirsty; Carreira, Helena; Strongman, Helen; Benitez-Majano, Sara; Mansfield, Kathryn E.; Nitsch, Dorothea; Tomlinson, Laurie A.; Bhaskaran, Krishnan] London Sch Hyg &amp; Trop Med, Fac Epidemiol &amp; Populat Hlth, Dept Noncommunicable Dis Epidemiol, Keppel St, London WC1E 7HT, England; [Mcdonald, Helen I.] London Sch Hyg &amp; Trop Med, Fac Epidemiol &amp; Populat Hlth, Dept Infect Dis Epidemiol, Keppel St, London WC1E 7HT, England</t>
  </si>
  <si>
    <t>University of London; London School of Hygiene &amp; Tropical Medicine; University of London; London School of Hygiene &amp; Tropical Medicine</t>
  </si>
  <si>
    <t>Bhaskaran, K (corresponding author), London Sch Hyg &amp; Trop Med, Fac Epidemiol &amp; Populat Hlth, Dept Noncommunicable Dis Epidemiol, Keppel St, London WC1E 7HT, England.</t>
  </si>
  <si>
    <t>Krishnan.bhaskaran@lshtm.ac.uk</t>
  </si>
  <si>
    <t>Carreira, Helena/0000-0003-1538-2526; Bhaskaran, Krishnan/0000-0001-5364-8757; Nitsch, Dorothea/0000-0001-5767-248X; Andresen, Kirsty/0000-0002-5483-6482</t>
  </si>
  <si>
    <t>This study is based in part on data from the Clinical Practice Research Datalink obtained under licence from the UK Medicines and Healthcare products Regulatory Agency. This work uses data provided by patients and collected by the NHS as part of their care</t>
  </si>
  <si>
    <t>This study is based in part on data from the Clinical Practice Research Datalink obtained under licence from the UK Medicines and Healthcare products Regulatory Agency. This work uses data provided by patients and collected by the NHS as part of their care and support. We thank LSHTM &amp; apos;s electronic health records group for sharing their code lists with us. Patients and/or the public were not involved in the design, or conduct, or reporting, or dissemination plans of this research.</t>
  </si>
  <si>
    <t>1471-2407</t>
  </si>
  <si>
    <t>BMC Cancer</t>
  </si>
  <si>
    <t>SEP 7</t>
  </si>
  <si>
    <t>10.1186/s12885-023-11329-9</t>
  </si>
  <si>
    <t>R4IR2</t>
  </si>
  <si>
    <t>WOS:001064004000003</t>
  </si>
  <si>
    <t>Bennji, SM; Sagar, D; Jarnagin, L; Dairi, MS; Sagar, AES</t>
  </si>
  <si>
    <t>Bennji, Sami M.; Sagar, Diaeddin; Jarnagin, Lisa; Dairi, Mohammad S.; Sagar, Ala Eddin S.</t>
  </si>
  <si>
    <t>Endobronchial Ultrasound Staging for Lung Cancer: What We Know Now and What We Need to Know</t>
  </si>
  <si>
    <t>CURRENT PULMONOLOGY REPORTS</t>
  </si>
  <si>
    <t>Endobronchial ultrasound; Lung cancer; Mediastinal staging</t>
  </si>
  <si>
    <t>ON-SITE EVALUATION; LYMPH-NODE METASTASIS; DIAGNOSTIC YIELD; MEDIASTINAL ADENOPATHY; STRAIN ELASTOGRAPHY; RANDOMIZED-TRIAL; ASPIRATION; 22-GAUGE; ADEQUACY; BIOPSY</t>
  </si>
  <si>
    <t>Purpose of ReviewThis article aims to assess the latest findings, equip clinicians with evidence-based recommendations, and highlight avenues for further research pertaining to EBUS-TBNA and lung cancer staging.Recent FindingsThe role of EBUS-TBNA for mediastinal staging continues to evolve. Studies continue to explore factors that affect the performance of EBUS as well as the potential patients that may benefit from such technology.SummaryCollaborative efforts among specialized centers will be pivotal in driving further progress in EBUS-TBNA and enhancing the quality of care delivered to individuals with lung cancer.</t>
  </si>
  <si>
    <t>[Bennji, Sami M.] Sultan Qaboos Comprehens Canc Care &amp; Res Ctr, Thorac Oncol Unit, Muscat, Oman; [Sagar, Diaeddin] Sheffield Teaching Hosp NHS Trust, Dept Resp Med, Shefield, England; [Jarnagin, Lisa] Banner Univ, Dept Pulm &amp; Crit Care, Med Ctr, Phoenix, AZ USA; [Dairi, Mohammad S.] Umm Al Qura Univ, Dept Med, Mecca, Saudi Arabia; [Sagar, Ala Eddin S.] King Faisal Specialist Hosp &amp; Res Ctr, Dept Med, Madinah, Saudi Arabia</t>
  </si>
  <si>
    <t>Umm Al Qura University; King Faisal Specialist Hospital &amp; Research Center</t>
  </si>
  <si>
    <t>Sagar, AES (corresponding author), King Faisal Specialist Hosp &amp; Res Ctr, Dept Med, Madinah, Saudi Arabia.</t>
  </si>
  <si>
    <t>Saminj12@gmail.com; diaeeddin@gmail.com; lisa.jarnagin@bannerhealth.com; msdairi@uqu.edu.sa; alaeddin.sagar@gmail.com</t>
  </si>
  <si>
    <t>Sagar, Diaeddin/0000-0001-9732-4578</t>
  </si>
  <si>
    <t>2199-2428</t>
  </si>
  <si>
    <t>CURR PULMONOL REP</t>
  </si>
  <si>
    <t>Curr. Pulmonol. Rep.</t>
  </si>
  <si>
    <t>2023 SEP 7</t>
  </si>
  <si>
    <t>10.1007/s13665-023-00326-9</t>
  </si>
  <si>
    <t>Q9NK4</t>
  </si>
  <si>
    <t>WOS:001060709600001</t>
  </si>
  <si>
    <t>Berthing, T; Lard, M; Danielsen, PH; Abariute, L; Barfod, KK; Adolfsson, K; Knudsen, KB; Wolff, H; Prinz, CN; Vogel, U</t>
  </si>
  <si>
    <t>Berthing, Trine; Lard, Mercy; Danielsen, Pernille H.; Abariute, Laura; Barfod, Kenneth K.; Adolfsson, Karl; Knudsen, Kristina B.; Wolff, Henrik; Prinz, Christelle N.; Vogel, Ulla</t>
  </si>
  <si>
    <t>Pulmonary toxicity and translocation of gallium phosphide nanowires to secondary organs following pulmonary exposure in mice</t>
  </si>
  <si>
    <t>JOURNAL OF NANOBIOTECHNOLOGY</t>
  </si>
  <si>
    <t>Nanowires; Pulmonary exposure; Inflammation; Biodistribution; High aspect ratio nanomaterial (HARN)</t>
  </si>
  <si>
    <t>MULTIWALLED CARBON NANOTUBES; INFLAMMATORY RESPONSES; NANOPARTICLES; INHALATION; BLACK; INSTILLATION; ASPIRATION; EXPRESSION; INSIGHTS; FIBROSIS</t>
  </si>
  <si>
    <t>BackgroundIII-V semiconductor nanowires are envisioned as being integrated in optoelectronic devices in the near future. However, the perspective of mass production of these nanowires raises concern for human safety due to their asbestos- and carbon nanotube-like properties, including their high aspect ratio shape. Indeed, III-V nanowires have similar dimensions as Mitsui-7 multi-walled carbon nanotubes, which induce lung cancer by inhalation in rats. It is therefore urgent to investigate the toxicological effects following lung exposure to III-V nanowires prior to their use in industrial production, which entails risk of human exposure. Here, female C57BL/6J mice were exposed to 2, 6, and 18 &amp; mu;g (0.12, 0.35 and 1.1 mg/kg bw) of gallium phosphide (III-V) nanowires (99 nm diameter, 3.7 &amp; mu;m length) by intratracheal instillation and the toxicity was investigated 1, 3, 28 days and 3 months after exposure. Mitsui-7 multi-walled carbon nanotubes and carbon black Printex 90 nanoparticles were used as benchmark nanomaterials.ResultsGallium phosphide nanowires induced genotoxicity in bronchoalveolar lavage cells and acute inflammation with eosinophilia observable both in bronchoalveolar lavage and lung tissue (1 and 3 days post-exposure). The inflammatory response was comparable to the response following exposure to Mitsui-7 multi-walled carbon nanotubes at similar dose levels. The nanowires underwent partial dissolution in the lung resulting in thinner nanowires, with an estimated in vivo half-life of 3 months. Despite the partial dissolution, nanowires were detected in lung, liver, spleen, kidney, uterus and brain 3 months after exposure.ConclusionPulmonary exposure to gallium phosphide nanowires caused similar toxicological effects as the multi-walled carbon nanotube Mitsui-7.</t>
  </si>
  <si>
    <t>[Berthing, Trine; Danielsen, Pernille H.; Barfod, Kenneth K.; Knudsen, Kristina B.; Vogel, Ulla] Natl Res Ctr Working Environm, Copenhagen, Denmark; [Lard, Mercy; Abariute, Laura; Adolfsson, Karl; Prinz, Christelle N.] Lund Univ, Div Solid State Phys, S-22100 Lund, Sweden; [Lard, Mercy; Abariute, Laura; Adolfsson, Karl; Prinz, Christelle N.] Lund Univ, NanoLund, S-22100 Lund, Sweden; [Wolff, Henrik] Finnish Inst Occupat Hlth, Helsinki, Finland; [Abariute, Laura] Phase Hol Imaging PHI AB, S-22478 Lund, Sweden; [Barfod, Kenneth K.] Univ Copenhagen, Dept Food Sci Microbiol &amp; Fermentat, Copenhagen, Denmark; [Adolfsson, Karl] Axis Commun AB, S-22369 Lund, Sweden; [Wolff, Henrik] Univ Helsinki, Dept Pathol, Helsinki, Finland; [Vogel, Ulla] Tech Univ Denmark, Natl Food Inst, Lyngby, Denmark</t>
  </si>
  <si>
    <t>National Research Centre for the Working Environment; Lund University; Lund University; Finnish Institute of Occupational Health; University of Copenhagen; University of Helsinki; Technical University of Denmark</t>
  </si>
  <si>
    <t>Vogel, U (corresponding author), Natl Res Ctr Working Environm, Copenhagen, Denmark.;Prinz, CN (corresponding author), Lund Univ, Div Solid State Phys, S-22100 Lund, Sweden.;Prinz, CN (corresponding author), Lund Univ, NanoLund, S-22100 Lund, Sweden.;Vogel, U (corresponding author), Tech Univ Denmark, Natl Food Inst, Lyngby, Denmark.</t>
  </si>
  <si>
    <t>christelle.prinz@ftf.lth.se; ubv@nfa.dk</t>
  </si>
  <si>
    <t>Danish Centre for Nanosafety 2, FFIKA; ERC-CoG NanoPokers, NanoLund; Swedish Research Council (VR); PhD4Energy [FP7-REA-GA 608153]; Lund University</t>
  </si>
  <si>
    <t>Danish Centre for Nanosafety 2, FFIKA; ERC-CoG NanoPokers, NanoLund; Swedish Research Council (VR)(Swedish Research Council); PhD4Energy; Lund University</t>
  </si>
  <si>
    <t>The project was supported by the Danish Centre for Nanosafety 2, FFIKA (Focused Research Effort on the Chemical Working Environment), ERC-CoG NanoPokers, NanoLund, the Swedish Research Council (VR), and PhD4Energy (FP7-REA-GA 608153). Open access funding provided by Lund University.</t>
  </si>
  <si>
    <t>1477-3155</t>
  </si>
  <si>
    <t>J NANOBIOTECHNOL</t>
  </si>
  <si>
    <t>J. Nanobiotechnol.</t>
  </si>
  <si>
    <t>10.1186/s12951-023-02049-0</t>
  </si>
  <si>
    <t>Biotechnology &amp; Applied Microbiology; Nanoscience &amp; Nanotechnology</t>
  </si>
  <si>
    <t>Biotechnology &amp; Applied Microbiology; Science &amp; Technology - Other Topics</t>
  </si>
  <si>
    <t>R2FM7</t>
  </si>
  <si>
    <t>WOS:001062553000002</t>
  </si>
  <si>
    <t>Bonichon, N; Bose, P; De Carufel, JL; Despre, V; Hill, D; Smid, M</t>
  </si>
  <si>
    <t>Bonichon, Nicolas; Bose, Prosenjit; De Carufel, Jean-Lou; Despre, Vincent; Hill, Darryl; Smid, Michiel</t>
  </si>
  <si>
    <t>Improved Routing on the Delaunay Triangulation</t>
  </si>
  <si>
    <t>DISCRETE &amp; COMPUTATIONAL GEOMETRY</t>
  </si>
  <si>
    <t>Delaunay triangulation; Online routing; Routing ratio</t>
  </si>
  <si>
    <t>STRETCH FACTOR; GRAPHS</t>
  </si>
  <si>
    <t>A geometric graph G = (P, E) is a set of points P in the plane and a set E of edges between pairs of points, where the weight of an edge is equal to the Euclidean distance between its two endpoints. In local routing we find a path in G from a source vertex s to a destination vertex t, using only knowledge of the current vertex, its incident edges, and the locations of s and t. We present an algorithm for local routing on the Delaunay triangulation, and show that it finds a path between a source vertex s and a target vertex t that is not longer than 3.56 vertical bar st vertical bar, improving the previous bound of 5.9 vertical bar s vertical bar.</t>
  </si>
  <si>
    <t>[Bonichon, Nicolas; Bose, Prosenjit; De Carufel, Jean-Lou; Despre, Vincent; Hill, Darryl; Smid, Michiel] Univ Bordeaux, LaBRI, UMR 5800, F-33400 Talence, France; [Bonichon, Nicolas; Bose, Prosenjit; De Carufel, Jean-Lou; Despre, Vincent; Hill, Darryl; Smid, Michiel] Carleton Univ, 1125 Colonel By Dr, Ottawa, ON, Canada; [Bonichon, Nicolas; Bose, Prosenjit; De Carufel, Jean-Lou; Despre, Vincent; Hill, Darryl; Smid, Michiel] Univ Ottawa, 800 King Edward Ave, Ottawa, ON, Canada; [Bonichon, Nicolas; Bose, Prosenjit; De Carufel, Jean-Lou; Despre, Vincent; Hill, Darryl; Smid, Michiel] Univ Lorraine, Loria, UMR 7503, Nancy, France</t>
  </si>
  <si>
    <t>Centre National de la Recherche Scientifique (CNRS); UDICE-French Research Universities; Universite de Bordeaux; Carleton University; University of Ottawa; Universite de Lorraine</t>
  </si>
  <si>
    <t>Bonichon, N (corresponding author), Univ Bordeaux, LaBRI, UMR 5800, F-33400 Talence, France.;Bonichon, N (corresponding author), Carleton Univ, 1125 Colonel By Dr, Ottawa, ON, Canada.;Bonichon, N (corresponding author), Univ Ottawa, 800 King Edward Ave, Ottawa, ON, Canada.;Bonichon, N (corresponding author), Univ Lorraine, Loria, UMR 7503, Nancy, France.</t>
  </si>
  <si>
    <t>bonichon@labri.fr; jit@scs.carleton.ca; jdecaruf@uottawa.ca; vincent.despre@loria.fr; darryl.r.hill@gmail.com; michiel@scs.carleton.ca</t>
  </si>
  <si>
    <t>National Sciences and Engineering Research Council of Canada (NSERC); French ANR grant ASPAG [ANR-17-CE40-0017]; Agence Nationale de la Recherche (ANR) [ANR-17-CE40-0017] Funding Source: Agence Nationale de la Recherche (ANR)</t>
  </si>
  <si>
    <t>National Sciences and Engineering Research Council of Canada (NSERC)(Natural Sciences and Engineering Research Council of Canada (NSERC)); French ANR grant ASPAG(Agence Nationale de la Recherche (ANR)); Agence Nationale de la Recherche (ANR)(Agence Nationale de la Recherche (ANR))</t>
  </si>
  <si>
    <t>This work was supported by the National Sciences and Engineering Research Council of Canada (NSERC)and by the French ANR grant ASPAG (ANR-17-CE40-0017) This work was already presented at ESA2018 and thus appears in the corresponding proceedings. Notice that the core paper is quite similar but theannexes include the full technical details and the analysis of theMin Arcalgorithm for completeness</t>
  </si>
  <si>
    <t>0179-5376</t>
  </si>
  <si>
    <t>1432-0444</t>
  </si>
  <si>
    <t>DISCRETE COMPUT GEOM</t>
  </si>
  <si>
    <t>Discret. Comput. Geom.</t>
  </si>
  <si>
    <t>s00454-023-00499-9</t>
  </si>
  <si>
    <t>10.1007/s00454-023-00499-9</t>
  </si>
  <si>
    <t>Q9OC3</t>
  </si>
  <si>
    <t>WOS:001060727600001</t>
  </si>
  <si>
    <t>Chayama, KL; Ng, C; Fleming, T; Small, W; Sue, KL; McNeil, R</t>
  </si>
  <si>
    <t>Chayama, Koharu Loulou; Ng, Cara; Fleming, Taylor; Small, Will; Sue, Kimberly L.; McNeil, Ryan</t>
  </si>
  <si>
    <t>Housing-based syringe services programs to improve access to safer injecting equipment for people who inject drugs in Vancouver, Canada: a spatially oriented qualitative study</t>
  </si>
  <si>
    <t>HARM REDUCTION JOURNAL</t>
  </si>
  <si>
    <t>Housing; Injection drug use; People who inject drugs; Syringe services programs</t>
  </si>
  <si>
    <t>NEW-YORK-CITY; NEEDLE EXCHANGE; HIV RISK; USERS; LESSONS; IMPACT</t>
  </si>
  <si>
    <t>BackgroundHousing environments shape injection drug-related risks and harms and thus represent a critical implementation setting for syringe services programs (SSPs). As critical harm reduction measures, SSPs provide safe injecting equipment to people who inject drugs (PWID). Vancouver, Canada, has well-established syringe distribution programs through which PWID have low-threshold access to unlimited syringes and related injecting equipment, including through non-profit operated supportive housing and single-room occupancy hotels. This study examines the role of housing-based SSPs in distributing injecting equipment to PWID in Vancouver.MethodsBetween January and March 2020, semi-structured, in-depth interviews were conducted in Vancouver with 26 PWID. Interviews were audio-recorded, transcribed, and coded. Salient themes were identified using inductive and deductive approaches.ResultsMany participants accessed SSPs in housing facilities and expressed preference for these programs over those offered at other locations and through other health and social services. Three major themes emerged to explain this preference. First, most participants injected in the buildings where they resided, and housing-based SSPs made injecting equipment available when and where it was most needed. Second, many participants preferred to avoid carrying syringes outside of the places where they inject due to fears that syringe possession may lead to criminal charges or confiscation of syringes and/or illicit drugs by police. Third, for some participants, anti-drug user stigma and concerns over unwillingly disclosing their drug use hindered access to SSPs outside of housing settings. Programs operated within housing facilities often offered greater client anonymity along with more supportive and less stigmatizing environments, particularly in the presence of peer staff.ConclusionThe current study advances understanding of access to injecting equipment in a setting with city-wide syringe distribution programs. Our findings underscore the benefits of housing-based SSPs and encourage the expansion of such services to maximize access to harm reduction supports for PWID.</t>
  </si>
  <si>
    <t>[Chayama, Koharu Loulou; Ng, Cara; Fleming, Taylor; Small, Will; McNeil, Ryan] British Columbia Ctr Subst Use, 1045 Howe St, Vancouver, BC, Canada; [Chayama, Koharu Loulou; Fleming, Taylor] Univ British Columbia, Interdisciplinary Studies Grad Program, 6371 Crescent Rd, Vancouver, BC, Canada; [Small, Will] Simon Fraser Univ, Fac Hlth Sci, 8888 Univ Dr, Burnaby, BC, Canada; [Sue, Kimberly L.; McNeil, Ryan] Yale Sch Med, Program Addict Med, New Haven, CT 06520 USA; [Sue, Kimberly L.; McNeil, Ryan] Yale Sch Med, Dept Internal Med, 333 Cedar St, New Haven, CT 06510 USA</t>
  </si>
  <si>
    <t>University of British Columbia; Simon Fraser University; Yale University; Yale University</t>
  </si>
  <si>
    <t>McNeil, R (corresponding author), British Columbia Ctr Subst Use, 1045 Howe St, Vancouver, BC, Canada.;McNeil, R (corresponding author), Yale Sch Med, Program Addict Med, New Haven, CT 06520 USA.;McNeil, R (corresponding author), Yale Sch Med, Dept Internal Med, 333 Cedar St, New Haven, CT 06510 USA.</t>
  </si>
  <si>
    <t>ryan.mcneil@yale.edu</t>
  </si>
  <si>
    <t>We thank the study participants for generously sharing their time and experiences with us. We also thank current and past staff at the British Columbia Centre on Substance Use for their invaluable contributions.</t>
  </si>
  <si>
    <t>1477-7517</t>
  </si>
  <si>
    <t>HARM REDUCT J</t>
  </si>
  <si>
    <t>Harm Reduct. J.</t>
  </si>
  <si>
    <t>10.1186/s12954-023-00862-2</t>
  </si>
  <si>
    <t>Substance Abuse</t>
  </si>
  <si>
    <t>R1DB4</t>
  </si>
  <si>
    <t>WOS:001061804400002</t>
  </si>
  <si>
    <t>Eckardt, JN; Bill, M; Rausch, C; Metzeler, K; Spiekermann, K; Stasik, S; Sauer, T; Scholl, S; Hochhaus, A; Crysandt, M; Bruemmendorf, TH; Krug, U; Wormann, B; Hiddemann, W; Gorlich, D; Sauerland, C; Steffen, B; Einsele, H; Neubauer, A; Burchert, A; Schafer-Eckart, K; Berdel, WE; Schliemann, C; Krause, SW; Hanel, M; Hanoun, M; Kaufmann, M; Fransecky, L; Braess, J; Ruhnke, L; Schetelig, J; Middeke, JM; Serve, H; Baldus, CD; Platzbecker, U; Muller-Tidow, C; Bornhauser, M; Herold, T; Thiede, C; Rollig, C</t>
  </si>
  <si>
    <t>Eckardt, Jan-Niklas; Bill, Marius; Rausch, Christian; Metzeler, Klaus; Spiekermann, Karsten; Stasik, Sebastian; Sauer, Tim; Scholl, Sebastian; Hochhaus, Andreas; Crysandt, Martina; Bruemmendorf, Tim H.; Krug, Utz; Woermann, Bernhard; Hiddemann, Wolfgang; Goerlich, Dennis; Sauerland, Cristina; Steffen, Bjoern; Einsele, Hermann; Neubauer, Andreas; Burchert, Andreas; Schaefer-Eckart, Kerstin; Berdel, Wolfgang E.; Schliemann, Christoph; Krause, Stefan W.; Haenel, Mathias; Hanoun, Maher; Kaufmann, Martin; Fransecky, Lars; Braess, Jan; Ruhnke, Leo; Schetelig, Johannes; Middeke, Jan Moritz; Serve, Hubert; Baldus, Claudia D.; Platzbecker, Uwe; Mueller-Tidow, Carsten; Bornhaeuser, Martin; Herold, Tobias; Thiede, Christian; Roellig, Christoph</t>
  </si>
  <si>
    <t>Secondary-type mutations do not impact outcome in NPM1-mutated acute myeloid leukemia - implications for the European leukemia net risk classification</t>
  </si>
  <si>
    <t>LEUKEMIA</t>
  </si>
  <si>
    <t>[Eckardt, Jan-Niklas; Bill, Marius; Stasik, Sebastian; Ruhnke, Leo; Schetelig, Johannes; Middeke, Jan Moritz; Bornhaeuser, Martin; Thiede, Christian; Roellig, Christoph] Tech Univ Dresden, Univ Hosp Carl Gustav Carus, Dept Internal Med 1, Dresden, Germany; [Bill, Marius; Bornhaeuser, Martin] Tech Univ Dresden, Univ Hosp, Mildred Scheel Early Career Ctr, Med Clin &amp; Policlin 1, Dresden, Germany; [Bill, Marius; Bornhaeuser, Martin] Tech Univ Dresden, Natl Ctr Tumor Dis Dresden NCT UCC, Med Fac, Dresden, Germany; [Bill, Marius; Bornhaeuser, Martin] Tech Univ Dresden, Univ Hosp Carl Gustav Carus, Dresden, Germany; [Bill, Marius; Bornhaeuser, Martin] German Canc Consortium DKTK, Dresden, Germany; [Rausch, Christian; Spiekermann, Karsten; Hiddemann, Wolfgang; Platzbecker, Uwe; Herold, Tobias] Ludwig Maximilians Univ Munchen, LMU Univ Hosp, Dept Med 3, Lab Leukemia Diagnost, Munich, Germany; [Metzeler, Klaus; Platzbecker, Uwe] Univ Hosp, Med Clin &amp; Policlin Hematol &amp; Cell Therapy 1, Leipzig, Germany; [Sauer, Tim; Mueller-Tidow, Carsten] Univ Heidelberg Hosp, German Canc Res Ctr DKFZ, Heidelberg, Germany; [Sauer, Tim; Mueller-Tidow, Carsten] Univ Hosp Heidelberg, Med Clin 5, Heidelberg, Germany; [Scholl, Sebastian; Hochhaus, Andreas] Jena Univ Hosp, Klin Innere Med 2, Jena, Germany; [Crysandt, Martina; Bruemmendorf, Tim H.] Univ Hosp RWTH Aachen, Dept Hematol Oncol Hemostaseol &amp; Cell Therapy, Aachen, Germany; [Krug, Utz] Hosp Leverkusen, Dept Med 3, Leverkusen, Germany; [Woermann, Bernhard] Dept Hematol Oncol &amp; Tumor Immunol, Charite, Berlin, Germany; [Goerlich, Dennis; Sauerland, Cristina] Univ Munster, Inst Biostat &amp; Clin Res, Munster, Germany; [Steffen, Bjoern; Serve, Hubert] Univ Hosp Frankfurt, Med Clin 2, Frankfurt, Germany; [Einsele, Hermann] Univ Hosp Wurzburg, Med Clin &amp; Policlin 2, Wurzburg, Germany; [Neubauer, Andreas; Burchert, Andreas] Philipps Univ Marburg, Dept Hematol Oncol &amp; Immunol, Marburg, Germany; [Schaefer-Eckart, Kerstin] Paracelsus Med Privatuniv, Dept Internal Med 5, Nurnberg, Germany; [Schaefer-Eckart, Kerstin] Univ Hosp Nuremberg, Nurnberg, Germany; [Berdel, Wolfgang E.; Schliemann, Christoph] Univ Hosp Munster, Dept Med A, Munster, Germany; [Krause, Stefan W.] Univ Hosp Erlangen, Erlangen, Germany; [Haenel, Mathias] Chemnitz Hosp AG, Med Clin 3, Chemnitz, Germany; [Hanoun, Maher] Univ Hosp Essen, Dept Hematol, Essen, Germany; [Kaufmann, Martin] Robert Bosch Krankenhaus, Dept Hematol Oncol &amp; Palliat Care, Stuttgart, Germany; [Fransecky, Lars; Baldus, Claudia D.] Univ Hosp Kiel, Dept Internal Med, Kiel, Germany; [Braess, Jan] Hosp Barmherzige Brueder Regensburg, Regensburg, Germany</t>
  </si>
  <si>
    <t>Technische Universitat Dresden; Carl Gustav Carus University Hospital; Technische Universitat Dresden; Carl Gustav Carus University Hospital; Technische Universitat Dresden; Technische Universitat Dresden; Carl Gustav Carus University Hospital; Helmholtz Association; German Cancer Research Center (DKFZ); University of Munich; Leipzig University; Ruprecht Karls University Heidelberg; Helmholtz Association; German Cancer Research Center (DKFZ); Ruprecht Karls University Heidelberg; Friedrich Schiller University of Jena; RWTH Aachen University; RWTH Aachen University Hospital; Free University of Berlin; Humboldt University of Berlin; Charite Universitatsmedizin Berlin; University of Munster; Goethe University Frankfurt; Goethe University Frankfurt Hospital; University of Wurzburg; Philipps University Marburg; University of Munster; University of Erlangen Nuremberg; University of Duisburg Essen; Bosch; Robert Bosch Krankenhaus; University of Kiel; Schleswig Holstein University Hospital</t>
  </si>
  <si>
    <t>Rollig, C (corresponding author), Tech Univ Dresden, Univ Hosp Carl Gustav Carus, Dept Internal Med 1, Dresden, Germany.</t>
  </si>
  <si>
    <t>Christoph.Roellig@ukdd.de</t>
  </si>
  <si>
    <t>Metzeler, Klaus H./C-2118-2009</t>
  </si>
  <si>
    <t>Metzeler, Klaus H./0000-0003-3920-7490; Rausch, Christian/0000-0002-7364-5526; Eckardt, Jan-Niklas/0000-0002-3649-2823; Stasik, Sebastian/0000-0003-0271-4894; Spiekermann, Karsten/0000-0002-5139-4957</t>
  </si>
  <si>
    <t>This work was carried out under the auspices of the Study Alliance Leukemia and AML Cooperative Group.; Study Alliance Leukemia and AML Cooperative Group</t>
  </si>
  <si>
    <t>This work was carried out under the auspices of the Study Alliance Leukemia and AML Cooperative Group.</t>
  </si>
  <si>
    <t>0887-6924</t>
  </si>
  <si>
    <t>1476-5551</t>
  </si>
  <si>
    <t>Leukemia</t>
  </si>
  <si>
    <t>10.1038/s41375-023-02016-6</t>
  </si>
  <si>
    <t>R4GZ3</t>
  </si>
  <si>
    <t>WOS:001063960000001</t>
  </si>
  <si>
    <t>Hassan, AJ; Cheniti, B; Belkessa, B; Boukharouba, T; Miroud, D; Titouche, NE</t>
  </si>
  <si>
    <t>Hassan, Ammar Jabbar; Cheniti, Billel; Belkessa, Brahim; Boukharouba, Taoufik; Miroud, Djamel; Titouche, Nacer-Eddine</t>
  </si>
  <si>
    <t>Tensile joint strength characterizations for Cr-Ni-Mo steel (AISI 316) during direct drive friction welding process</t>
  </si>
  <si>
    <t>INTERNATIONAL JOURNAL OF ADVANCED MANUFACTURING TECHNOLOGY</t>
  </si>
  <si>
    <t>Austenitic stainless steel; Friction welding; Ultimate tensile strength; Ductility; Grain growth</t>
  </si>
  <si>
    <t>MECHANICAL-PROPERTIES; WELDED-JOINTS; ALUMINUM-ALLOY; MICROSTRUCTURE; BEHAVIOR; SPEED; TIME</t>
  </si>
  <si>
    <t>The present study aims to investigate the effect of the mechanical and metallurgical joint strength behavior of Cr-Ni-Mo steel (AISI 316) using direct drive friction welding. Experimental procedures in the study included macrostructure, microhardness, tensile test specimens with effective diameters of 4 mm, 6 mm, and 8 mm, microstructure of the fracture position, and tensile fracture morphology. The results concluded that the average microhardness values for 4 mm, 6 mm, and 8 mm diameter around the weld interface center are 298 Hv0.1, 300 Hv0.1, and 295 Hv0.1, respectively. The ultimate tensile strength ratios were of 95%, 98%, and 97% for 4 mm, 6 mm, and 8 mm, respectively, while, the ductility increased with the diameters of 41%, 50%, and 57% for 4 mm, 6 mm, and 8 mm, respectively, compared to AISI 316. The fracture position for all welded joints was in the adjacent region to the interface. The fracture surfaces had a fingerprint form and ductile mode at cleavage features. The center of the fracture revealed different forms of dimples and microcavities collected at that center.</t>
  </si>
  <si>
    <t>[Hassan, Ammar Jabbar; Boukharouba, Taoufik] USTHB, Adv Mech Lab LMA, BP 32, Algiers 16111, Algeria; [Cheniti, Billel; Belkessa, Brahim] Res Ctr Ind Technol, POB 64 Cheraga, Algiers 16014, Algeria; [Miroud, Djamel] USTHB, Sci &amp; Engn Mat Lab LSGM, BP 32, Algiers 16111, Algeria; [Titouche, Nacer-Eddine] Birine Nucl Res Ctr, BP 180 Ain Oussera, Ain Oussera 17200, Djelfa, Algeria</t>
  </si>
  <si>
    <t>University Science &amp; Technology Houari Boumediene; University Science &amp; Technology Houari Boumediene</t>
  </si>
  <si>
    <t>Hassan, AJ (corresponding author), USTHB, Adv Mech Lab LMA, BP 32, Algiers 16111, Algeria.</t>
  </si>
  <si>
    <t>ajabbarhassan@usthb.dz</t>
  </si>
  <si>
    <t>The authors are thankful to Mr. Ramzi Lechelah for his help in performing of present study.</t>
  </si>
  <si>
    <t>0268-3768</t>
  </si>
  <si>
    <t>1433-3015</t>
  </si>
  <si>
    <t>INT J ADV MANUF TECH</t>
  </si>
  <si>
    <t>Int. J. Adv. Manuf. Technol.</t>
  </si>
  <si>
    <t>10.1007/s00170-023-12279</t>
  </si>
  <si>
    <t>Automation &amp; Control Systems; Engineering, Manufacturing</t>
  </si>
  <si>
    <t>Automation &amp; Control Systems; Engineering</t>
  </si>
  <si>
    <t>R4HF3</t>
  </si>
  <si>
    <t>WOS:001063966000006</t>
  </si>
  <si>
    <t>Holmberg, M; Junttila, V; Schulz, T; Gronroos, J; Paunu, VV; Savolahti, M; Minunno, F; Ojanen, P; Akujarvi, A; Karvosenoja, N; Kortelainen, P; Makela, A; Peltoniemi, M; Petaja, J; Vanhala, P; Forsius, M</t>
  </si>
  <si>
    <t>Holmberg, Maria; Junttila, Virpi; Schulz, Torsti; Gronroos, Juha; Paunu, Ville-Veikko; Savolahti, Mikko; Minunno, Francesco; Ojanen, Paavo; Akujarvi, Anu; Karvosenoja, Niko; Kortelainen, Pirkko; Makela, Annikki; Peltoniemi, Mikko; Petaja, Jouko; Vanhala, Pekka; Forsius, Martin</t>
  </si>
  <si>
    <t>Role of land cover in Finland's greenhouse gas emissions</t>
  </si>
  <si>
    <t>AMBIO</t>
  </si>
  <si>
    <t>Carbon sequestration; Greenhouse gas emissions; Land cover; Regional aggregation</t>
  </si>
  <si>
    <t>BOREAL; CARBON; MODEL; CO2; RESPIRATION; UNCERTAINTY; CALIBRATION; FORESTS</t>
  </si>
  <si>
    <t>We present regionally aggregated emissions of greenhouse gases (GHG) from five land cover categories in Finland: artificial surfaces, arable land, forest, waterbodies, and wetlands. Carbon (C) sequestration to managed forests and unmanaged wetlands was also assessed. Models FRES and ALas were applied for emissions (CO2, CH4, N2O) from artificial surfaces and agriculture, and PREBAS for forest growth and C balance. Empirical emission coefficients were used to estimate emissions from drained forested peatland (CH4, N2O), cropland (CO2), waterbodies (CH4, CO2), peat production sites and undrained mires (CH4, CO2, N2O). We calculated gross emissions of 147.2 &amp; PLUSMN; 6.8 TgCO2eq yr-1 for 18 administrative units covering mainland Finland, using data representative of the period 2017-2025. Emissions from energy production, industrial processes, road traffic and other sources in artificial surfaces amounted to 45.7 &amp; PLUSMN; 2.0 TgCO2eq yr-1. The loss of C in forest harvesting was the largest emission source in the LULUCF sector, in total 59.8 &amp; PLUSMN; 3.3 TgCO2eq yr-1. Emissions from domestic livestock production, field cultivation and organic soils added up to 12.2 &amp; PLUSMN; 3.5 TgCO2eq yr-1 from arable land. Rivers and lakes (13.4 &amp; PLUSMN; 1.9 TgCO2eq yr-1) as well as undrained mires and peat production sites (14.7 &amp; PLUSMN; 1.8 TgCO2eq yr-1) increased the total GHG fluxes. The C sequestration from the atmosphere was 93.2 &amp; PLUSMN; 13.7 TgCO2eq yr-1. with the main sink in forest on mineral soil (79.9 &amp; PLUSMN; 12.2 TgCO2eq yr-1). All sinks compensated 63% of total emissions and thus the net emissions were 53.9 &amp; PLUSMN; 15.3 TgCO2eq yr-1, or a net GHG flux per capita of 9.8 MgCO2eq yr-1.</t>
  </si>
  <si>
    <t>[Holmberg, Maria; Junttila, Virpi; Schulz, Torsti; Paunu, Ville-Veikko; Savolahti, Mikko; Akujarvi, Anu; Karvosenoja, Niko; Kortelainen, Pirkko; Vanhala, Pekka; Forsius, Martin] Finnish Environm Inst SYKE, Latokartanonkaari 11, Helsinki 00790, Finland; [Minunno, Francesco; Ojanen, Paavo] Univ Helsinki, Inst Atmospher &amp; Earth Syst Res INAR, Dept Forest Sci, POB 27,Latokartanonkaari 7, Helsinki 00014, Finland; [Minunno, Francesco; Ojanen, Paavo; Makela, Annikki] Univ Helsinki, Fac Agr &amp; Forestry, POB 27,Latokartanonkaari 7, Helsinki 00014, Finland; [Peltoniemi, Mikko] Nat Resources Inst Finland Luke, Latokartanonkaari 9, Helsinki 00790, Finland</t>
  </si>
  <si>
    <t>Finnish Environment Institute; University of Helsinki; University of Helsinki; Natural Resources Institute Finland (Luke)</t>
  </si>
  <si>
    <t>Holmberg, M (corresponding author), Finnish Environm Inst SYKE, Latokartanonkaari 11, Helsinki 00790, Finland.</t>
  </si>
  <si>
    <t>maria.holmberg@syke.fi; virpi.junttila@syke.fi; torsti.schulz@syke.fi; juha.gronroos@syke.fi; ville-veikko.paunu@syke.fi; mikko.savolahti@syke.fi; francesco.minunno@helsinki.fi; paavo.ojanen@helsinki.fi; anu.akujarvi@syke.fi; niko.karvosenoja@syke.fi; pirkko.kortelainen@syke.fi; annikki.makela@helsinki.fi; mikko.peltoniemi@luke.fi; jouko.petaja@syke.fi; pekka.vanhala@syke.fi; martin.forsius@syke.fi</t>
  </si>
  <si>
    <t>Ojanen, Paavo J/B-2818-2012; Holmberg, Maria/K-3454-2018</t>
  </si>
  <si>
    <t>Ojanen, Paavo J/0000-0003-4785-3521; Holmberg, Maria/0000-0002-7165-9780</t>
  </si>
  <si>
    <t>Finnish Environment Institute [345532]; Academy of Finland [871128]; INAR RI project [VN/5082/2020]; European Commission (eLTER PLUS EU) [VN/28536/2020]; Finnish Ministry of the Environment; Finnish Ministry of Agriculture and Forestry; [347848]</t>
  </si>
  <si>
    <t>Finnish Environment Institute; Academy of Finland(Research Council of Finland); INAR RI project; European Commission (eLTER PLUS EU); Finnish Ministry of the Environment; Finnish Ministry of Agriculture and Forestry;</t>
  </si>
  <si>
    <t>The constructive comments and suggestions by three anonymous reviewers improved this paper considerably. We acknowledge Tytti Jussila, Finnish Environment Institute, for GIS-analysis of wetlands, and Kai Widell for graphics support. The authors wish to acknowledge CSC - IT Center for Science, Finland, for computational resources. The Academy of Finland (IBC-Carbon project number 312559/Strategic Research Council; C-NEUT project 347848; INAR RI project 345532), the European Commission (eLTER PLUS EU Horizon project 871128, the Finnish Ministry of the Environment (FEO project VN/5082/2020), and the Finnish Ministry of Agriculture and Forestry (SysteemiHiili project VN/28536/2020), are acknowledged for financial support of this study.</t>
  </si>
  <si>
    <t>0044-7447</t>
  </si>
  <si>
    <t>1654-7209</t>
  </si>
  <si>
    <t>Ambio</t>
  </si>
  <si>
    <t>10.1007/s13280-023-01910-8</t>
  </si>
  <si>
    <t>Engineering, Environmental; Environmental Sciences</t>
  </si>
  <si>
    <t>Engineering; Environmental Sciences &amp; Ecology</t>
  </si>
  <si>
    <t>Q8WD1</t>
  </si>
  <si>
    <t>WOS:001060259000001</t>
  </si>
  <si>
    <t>Jesin, JA; Sivajohan, A; Gasim, M; Ollen-Bittle, N; Kirpalani, A</t>
  </si>
  <si>
    <t>Jesin, Joshua A.; Sivajohan, Asaanth; Gasim, Majid; Ollen-Bittle, Nikita; Kirpalani, Amrit</t>
  </si>
  <si>
    <t>Medical Students as Educators: Addressing Teaching Skills Through a Pre-clerkship Development Group</t>
  </si>
  <si>
    <t>MEDICAL SCIENCE EDUCATOR</t>
  </si>
  <si>
    <t>Inquiry-based learning; Medical student research; Undergraduate medical education</t>
  </si>
  <si>
    <t>In medicine, effective teaching is requisite for both successful patient care and trainee development. However, opportunities for medical students to gain exposure to pedagogical principles and hone teaching skills are currently limited. Our initiative provides avenues for medical students to intentionally develop their teaching skill set from an early stage.</t>
  </si>
  <si>
    <t>[Jesin, Joshua A.; Sivajohan, Asaanth; Gasim, Majid; Ollen-Bittle, Nikita; Kirpalani, Amrit] Western Univ, Schulich Sch Med &amp; Dent, 1151 Richmond St, London, ON N6A 5C1, Canada; [Kirpalani, Amrit] London Hlth Sci Ctr, Childrens Hosp, Div Paediat Nephrol, 800 Commissioners Rd E, London, ON N6A 5W9, Canada</t>
  </si>
  <si>
    <t>Western University (University of Western Ontario); Western University (University of Western Ontario); London Health Sciences Centre</t>
  </si>
  <si>
    <t>Kirpalani, A (corresponding author), Western Univ, Schulich Sch Med &amp; Dent, 1151 Richmond St, London, ON N6A 5C1, Canada.;Kirpalani, A (corresponding author), London Hlth Sci Ctr, Childrens Hosp, Div Paediat Nephrol, 800 Commissioners Rd E, London, ON N6A 5W9, Canada.</t>
  </si>
  <si>
    <t>amrit.kirpalani@lhsc.on.ca</t>
  </si>
  <si>
    <t>2156-8650</t>
  </si>
  <si>
    <t>MED SCI EDUC</t>
  </si>
  <si>
    <t>Med. Sci. Educ.</t>
  </si>
  <si>
    <t>10.1007/s40670-023-01881-1</t>
  </si>
  <si>
    <t>Education, Scientific Disciplines</t>
  </si>
  <si>
    <t>Q9NX7</t>
  </si>
  <si>
    <t>WOS:001060723000001</t>
  </si>
  <si>
    <t>Katzenschlager, S; Kelpanides, IK; Ristau, P; Huck, M; Seewald, S; Brenner, S; Hoffmann, F; Wnent, J; Kramer-Johansen, J; Tjelmeland, IBM; Weigand, MA; Grasner, JT; Popp, E</t>
  </si>
  <si>
    <t>Katzenschlager, Stephan; Kelpanides, Inga K.; Ristau, Patrick; Huck, Matthias; Seewald, Stephan; Brenner, Sebastian; Hoffmann, Florian; Wnent, Jan; Kramer-Johansen, Jo; Tjelmeland, Ingvild B. M.; Weigand, Markus A.; Graesner, Jan-Thorsten; Popp, Erik</t>
  </si>
  <si>
    <t>Out-of-hospital cardiac arrest in children: an epidemiological study based on the German Resuscitation Registry identifying modifiable factors for return of spontaneous circulation</t>
  </si>
  <si>
    <t>CRITICAL CARE</t>
  </si>
  <si>
    <t>Out-of-hospital cardiac arrest; Resuscitation; Paediatric cardiac arrest; Emergency medical service; Epidemiology</t>
  </si>
  <si>
    <t>COUNCIL GUIDELINES; SECTION 6; SURVIVAL; OUTCOMES; EUROPE</t>
  </si>
  <si>
    <t>Aim This work provides an epidemiological overview of out-of-hospital cardiac arrest (OHCA) in children in Germany between 2007 and 2021. We wanted to identify modifiable factors associated with survival.Methods Data from the German Resuscitation Registry (GRR) were used, and we included patients registered between 1st January 2007 and 31st December 2021. We included children aged between &gt; 7 days and 17 years, where cardiopulmonary resuscitation (CPR) was started, and treatment was continued by emergency medical services (EMS). Incidences and descriptive analyses are presented for the overall cohort and each age group. Multivariate binary logistic regression was performed on the whole cohort to determine the influence of (1) CPR with/without ventilation started by bystander, (2) OHCA witnessed status and (3) night-time on the outcome hospital admission with return of spontaneous circulation (ROSC).Results OHCA in children aged &lt; 1 year had the highest incidence of the same age group, with 23.42 per 100 000. Overall, hypoxia was the leading presumed cause of OHCA, whereas trauma and drowning accounted for a high proportion in children aged &gt; 1 year. Bystander-witnessed OHCA and bystander CPR rate were highest in children aged 1-4 years, with 43.9% and 62.3%, respectively. In reference to EMS-started CPR, bystander CPR with ventilation were associated with an increased odds ratio for ROSC at hospital admission after adjusting for age, sex, year of OHCA and location of OHCA.Conclusion This study provides an epidemiological overview of OHCA in children in Germany and identifies bystander CPR with ventilation as one primary factor for survival.Trial registrations German ClinicalTrial Register: DRKS00030989, December 28th 2022.</t>
  </si>
  <si>
    <t>[Katzenschlager, Stephan; Huck, Matthias; Weigand, Markus A.; Popp, Erik] Heidelberg Univ Hosp, Dept Anaesthesiol, Neuenheimer Feld 420, D-69120 Heidelberg, Germany; [Kelpanides, Inga K.] Oslo Univ Hosp, Dept Res &amp; Dev, Div Emergencies &amp; Crit Care, Oslo, Norway; [Kelpanides, Inga K.; Kramer-Johansen, Jo; Tjelmeland, Ingvild B. M.] Univ Oslo, Inst Clin Med, Fac Med, Oslo, Norway; [Ristau, Patrick; Seewald, Stephan; Wnent, Jan; Kramer-Johansen, Jo; Tjelmeland, Ingvild B. M.; Graesner, Jan-Thorsten] Univ Hosp Schleswig Holstein, Inst Emergency Med, Kiel, Germany; [Seewald, Stephan; Wnent, Jan; Graesner, Jan-Thorsten] Univ Hosp Schleswig Holstein, Dept Anesthesiol &amp; Intens Care Med, Campus Kiel, Kiel, Germany; [Brenner, Sebastian] Univ Clin Carl Gustav Carus, Dept Pediat &amp; Adolescent Med, Dresden, Germany; [Hoffmann, Florian] Ludwig Maximilians Univ Munchen, Dr Hauner Childrens Hosp, Paediat Intens Care &amp; Emergency Med, Munich, Germany; [Wnent, Jan] Univ Namibia, Sch Med, Windhoek, Namibia; [Kramer-Johansen, Jo; Tjelmeland, Ingvild B. M.] Oslo Univ Hosp, Div Prehosp Serv, Oslo, Norway</t>
  </si>
  <si>
    <t>Ruprecht Karls University Heidelberg; University of Oslo; University of Oslo; University of Kiel; Schleswig Holstein University Hospital; University of Kiel; Schleswig Holstein University Hospital; Technische Universitat Dresden; Carl Gustav Carus University Hospital; University of Munich; University of Namibia; University of Oslo</t>
  </si>
  <si>
    <t>Katzenschlager, S (corresponding author), Heidelberg Univ Hosp, Dept Anaesthesiol, Neuenheimer Feld 420, D-69120 Heidelberg, Germany.</t>
  </si>
  <si>
    <t>stephan.katzenschlager@med.uni-heidelberg.de</t>
  </si>
  <si>
    <t>We thank all participants from the German Resuscitation Registry for their contribution to this study. We also thank Alicja Sulima, graphic designer, for creating the visual abstract and Hanna Hoffmann for her help with the calculation of incidences.</t>
  </si>
  <si>
    <t>1364-8535</t>
  </si>
  <si>
    <t>1466-609X</t>
  </si>
  <si>
    <t>CRIT CARE</t>
  </si>
  <si>
    <t>Crit. Care</t>
  </si>
  <si>
    <t>10.1186/s13054-023-04630-3</t>
  </si>
  <si>
    <t>R4IT2</t>
  </si>
  <si>
    <t>WOS:001064006000001</t>
  </si>
  <si>
    <t>Khalaji, A; Behnoush, AH; Khanmohammadi, S; Mardasi, KG; Sharifkashani, S; Sahebkar, A; Vinciguerra, C; Cannavo, A</t>
  </si>
  <si>
    <t>Khalaji, Amirmohammad; Behnoush, Amir Hossein; Khanmohammadi, Shaghayegh; Mardasi, Kimiya Ghanbari; Sharifkashani, Sourena; Sahebkar, Amirhossein; Vinciguerra, Caterina; Cannavo, Alessandro</t>
  </si>
  <si>
    <t>Triglyceride-glucose index and heart failure: a systematic review and meta-analysis</t>
  </si>
  <si>
    <t>CARDIOVASCULAR DIABETOLOGY</t>
  </si>
  <si>
    <t>Heart failure; Triglycerides; Blood glucose; Insulin resistance; Systematic review; Meta-analysis</t>
  </si>
  <si>
    <t>HOMEOSTASIS MODEL ASSESSMENT; INSULIN-RESISTANCE; EJECTION FRACTION; RISK</t>
  </si>
  <si>
    <t>Background Insulin resistance (IR) is a major metabolic disorder observed in heart failure (HF) and is tightly associated with patients' poor prognosis. The triglyceride-glucose index (TyG) has been proposed as a surrogate marker of IR in HF. Yet, whether TyG is a reliable clinical marker is still under debate. Hence, we aimed to respond to this relevant question via a systematic review and meta-analysis of existing studies.Methods A systematic search was conducted in PubMed, Embase, Scopus, and Web of Science to find studies investigating the TyG index in patients with HF or its association with the incidence of HF. Adjusted hazard ratios (HR) and 95% confidence intervals (CI) were pooled through random-effect meta-analysis. HRs were calculated using TyG as a continuous variable (1 unit increase) and by comparing the group with the highest TyG to the lowest TyG group.Results Thirty studies, involving 772,809 participants, were included in this systematic review. Meta-analysis of seven studies comparing the highest-TyG to the lowest-TyG group showed a significantly increased risk of HF in the former group (HR 1.21, 95% CI 1.14 to 1.29, P &lt; 0.01). The same result was found when pooling the HRs for a one-unit increase in the TyG index (HR 1.17, 95% CI 1.08 to 1.26). Similarly, a more elevated TyG index was associated with a higher incidence of HF in patients with type 2 diabetes or coronary artery disease. Additionally, the incidence of adverse events (readmission and mortality) in patients with HF was associated with TyG.Conclusion Our findings support the TyG index as a valuable marker to assess the risk of HF incidence in different populations and as a prognostic marker in patients with HF. Further studies should be conducted to confirm these associations and investigate the clinical utility of the TyG index.</t>
  </si>
  <si>
    <t>[Khalaji, Amirmohammad; Behnoush, Amir Hossein; Khanmohammadi, Shaghayegh; Sharifkashani, Sourena] Univ Tehran Med Sci, Sch Med, Poursina St,Keshavarz Blvd, Tehran 1417613151, Iran; [Khalaji, Amirmohammad; Behnoush, Amir Hossein; Khanmohammadi, Shaghayegh] Univ Tehran Med Sci, Endocrinol &amp; Metab Populat Sci Inst, Noncommunicable Dis Res Ctr, Tehran, Iran; [Khalaji, Amirmohammad; Behnoush, Amir Hossein] Univ Tehran Med Sci, Tehran Heart Ctr, Tehran, Iran; [Mardasi, Kimiya Ghanbari] Alborz Univ Med Sci, Student Res Comm, Karaj, Iran; [Sahebkar, Amirhossein] Mashhad Univ Med Sci, Pharmaceut Technol Inst, Biotechnol Res Ctr, Mashhad, Iran; [Sahebkar, Amirhossein] Mashhad Univ Med Sci, Appl Biomed Res Ctr, Mashhad, Iran; [Sahebkar, Amirhossein] Univ Western Australia, Sch Med, Perth, Australia; [Sahebkar, Amirhossein] Mashhad Univ Med Sci, Sch Pharm, Dept Biotechnol, Mashhad, Iran; [Vinciguerra, Caterina; Cannavo, Alessandro] Federico II Univ Naples, Dept Translat Med Sci, Naples, Italy</t>
  </si>
  <si>
    <t>Tehran University of Medical Sciences; Tehran University of Medical Sciences; Tehran University of Medical Sciences; Mashhad University Medical Science; Mashhad University Medical Science; University of Western Australia; Mashhad University Medical Science; University of Naples Federico II</t>
  </si>
  <si>
    <t>Behnoush, AH (corresponding author), Univ Tehran Med Sci, Sch Med, Poursina St,Keshavarz Blvd, Tehran 1417613151, Iran.;Behnoush, AH (corresponding author), Univ Tehran Med Sci, Endocrinol &amp; Metab Populat Sci Inst, Noncommunicable Dis Res Ctr, Tehran, Iran.;Behnoush, AH (corresponding author), Univ Tehran Med Sci, Tehran Heart Ctr, Tehran, Iran.</t>
  </si>
  <si>
    <t>amirhossein.behnoush@gmail.com</t>
  </si>
  <si>
    <t>1475-2840</t>
  </si>
  <si>
    <t>CARDIOVASC DIABETOL</t>
  </si>
  <si>
    <t>Cardiovasc. Diabetol.</t>
  </si>
  <si>
    <t>10.1186/s12933-023-01973-7</t>
  </si>
  <si>
    <t>Cardiac &amp; Cardiovascular Systems; Endocrinology &amp; Metabolism</t>
  </si>
  <si>
    <t>Cardiovascular System &amp; Cardiology; Endocrinology &amp; Metabolism</t>
  </si>
  <si>
    <t>R5UB1</t>
  </si>
  <si>
    <t>WOS:001064990700003</t>
  </si>
  <si>
    <t>Kunz, M; Bar, KJ; Karmann, AJ; Wagner, G; Lautenbacher, S</t>
  </si>
  <si>
    <t>Kunz, Miriam; Baer, Karl-Juergen; Karmann, Anna J.; Wagner, Gerd; Lautenbacher, Stefan</t>
  </si>
  <si>
    <t>Facial expressions of pain: the role of the serotonergic system</t>
  </si>
  <si>
    <t>Facial responses; Facial expression of pain; 5-HT; Acute tryptophan depletion; Pain thresholds</t>
  </si>
  <si>
    <t>ACUTE TRYPTOPHAN DEPLETION; FACILITATION; INHIBITION; RESPONSES; IMPACT; MOOD</t>
  </si>
  <si>
    <t>RationaleAlthough interest in the neurobiology of facial communication of pain has increased over the last decades, little is known about which neurotransmitter systems might be involved in regulating facial expressions of pain.ObjectivesWe aim to investigate whether the serotonergic system (5-HT), which has been implicated in various aspects of pain processing as well as in behavioral response inhibition, might play a role in facial expressions of pain. Using acute tryptophan depletion (ATD) to manipulate 5-HT function, we examined its effects on facial and subjective pain responses.MethodsIn a double-blind, placebo-controlled within-subject design, 27 participants received either an ATD or a control drink in two separate sessions. Approximately 5-h post-oral consumption, we assessed pain thresholds (heat, pressure) as well as facial and subjective responses to phasic heat pain. Moreover, situational pain catastrophizing and mood were assessed as affective state indicators.ResultsATD neither influenced pain thresholds nor self-report ratings, nor catastrophizing or mood. Only facial responses were significantly affected by ATD. ATD led to a decrease in pain-indicative as well as in pain-non-indicative facial responses to painful heat, compared to the control condition.ConclusionsDecrease in brain 5-HT synthesis via ATD significantly reduced facial responses to phasic heat pain; possibly due to (i) diminished disposition to display social behavior or due to (ii) decreased facilitation of excitatory inputs to the facial motor neuron.</t>
  </si>
  <si>
    <t>[Kunz, Miriam] Univ Augsburg, Med Fac, Dept Med Psychol &amp; Sociol, Augsburg, Germany; [Kunz, Miriam; Karmann, Anna J.; Lautenbacher, Stefan] Otto Friedrich Univ Bamberg, Bamberger Living Lab Dementia BamLiD, Bamberg, Germany; [Baer, Karl-Juergen] Jena Univ Hosp, Dept Psychosomat Med &amp; Psychotherapy, Jena, Germany; [Wagner, Gerd] Jena Univ Hosp, Dept Psychiat &amp; Psychotherapy, Jena, Germany</t>
  </si>
  <si>
    <t>University of Augsburg; Otto Friedrich University Bamberg; Friedrich Schiller University of Jena; Friedrich Schiller University of Jena</t>
  </si>
  <si>
    <t>Kunz, M (corresponding author), Univ Augsburg, Med Fac, Dept Med Psychol &amp; Sociol, Augsburg, Germany.;Kunz, M (corresponding author), Otto Friedrich Univ Bamberg, Bamberger Living Lab Dementia BamLiD, Bamberg, Germany.</t>
  </si>
  <si>
    <t>miriam.kunz@med.uni-augsburg.de</t>
  </si>
  <si>
    <t>Projekt DEAL; Deutsche Forschungsgemeinschaft (DFG) [Ku2294/6]</t>
  </si>
  <si>
    <t>Projekt DEAL; Deutsche Forschungsgemeinschaft (DFG)(German Research Foundation (DFG))</t>
  </si>
  <si>
    <t>Open Access funding enabled and organized by Projekt DEAL. The study was supported by a research grant from the Deutsche Forschungsgemeinschaft (DFG, Ku2294/6)</t>
  </si>
  <si>
    <t>10.1007/s00213-023-06455</t>
  </si>
  <si>
    <t>Q9OL0</t>
  </si>
  <si>
    <t>WOS:001060736400001</t>
  </si>
  <si>
    <t>Luong, KA; Le-Duc, T; Lee, J</t>
  </si>
  <si>
    <t>Luong, Khang A.; Le-Duc, Thang; Lee, Jaehong</t>
  </si>
  <si>
    <t>Automatically imposing boundary conditions for boundary value problems by unified physics-informed neural network</t>
  </si>
  <si>
    <t>ENGINEERING WITH COMPUTERS</t>
  </si>
  <si>
    <t>Physics-informed neural networks; Unified physics-informed neural networks; Strong form; Weak form; Admissible function; Solid mechanics</t>
  </si>
  <si>
    <t>Exact boundary conditions (BCs) imposition technique is widely used in physics-informed neural networks (PINNs) for solving boundary value problems (BVPs). In this regard, the selection of trial function satisfying essential BCs becomes hard to determine when complex geometric domain or essential BCs are considered. To address this challenge, an unified physics-informed neural network (UPINN) model is developed, in which the trial function is fully provided by deep neural networks (DNNs). The UPINN is a combination of two phases being implemented sequentially. The first one is to find DNN-based trial functions satisfying essential BCs in homogeneous form using loss function regulating the corresponding BCs. Then, the remaining one is to solve BVPs based on their strong or weak (variational) forms, in which the exact BCs imposition procedure is employed to constrain network outputs using the UPINN trial functions obtained from the first phase. The advantages of the proposed UPINN are demonstrated in terms of prediction accuracy and training cost for several solid mechanics problems with different BCs, even for complicated ones that restrict the regular PINNs significantly.</t>
  </si>
  <si>
    <t>[Luong, Khang A.; Le-Duc, Thang; Lee, Jaehong] Sejong Univ, Deep Learning Architecture Res Ctr, 209 Neungdong Ro, Seoul 05006, South Korea</t>
  </si>
  <si>
    <t>Sejong University</t>
  </si>
  <si>
    <t>Lee, J (corresponding author), Sejong Univ, Deep Learning Architecture Res Ctr, 209 Neungdong Ro, Seoul 05006, South Korea.</t>
  </si>
  <si>
    <t>luongankhang268@gmail.com; le.duc.thang0312@gmail.com; jhlee@sejong.ac.kr</t>
  </si>
  <si>
    <t>NRF (National Research Foundation of Korea) - MEST (Ministry of Education and Science Technology) of Korean government [NRF-2021R1A2B5B03002410]</t>
  </si>
  <si>
    <t>NRF (National Research Foundation of Korea) - MEST (Ministry of Education and Science Technology) of Korean government(Ministry of Education (MOE), Republic of KoreaNational Research Foundation of KoreaMinistry of Education, Science &amp; Technology (MEST), Republic of Korea)</t>
  </si>
  <si>
    <t>This research was supported by Grant (NRF-2021R1A2B5B03002410) from NRF (National Research Foundation of Korea) funded by MEST (Ministry of Education and Science Technology) of Korean government.</t>
  </si>
  <si>
    <t>0177-0667</t>
  </si>
  <si>
    <t>1435-5663</t>
  </si>
  <si>
    <t>ENG COMPUT-GERMANY</t>
  </si>
  <si>
    <t>Eng. Comput.</t>
  </si>
  <si>
    <t>10.1007/s00366-023-01871-2</t>
  </si>
  <si>
    <t>Computer Science, Interdisciplinary Applications; Engineering, Mechanical</t>
  </si>
  <si>
    <t>Q8VX3</t>
  </si>
  <si>
    <t>WOS:001060253200001</t>
  </si>
  <si>
    <t>Nathal, E; Serrano-Rubio, A; Benavides-Burbano, CA; Rodriguez-Rubio, HA</t>
  </si>
  <si>
    <t>Nathal, Edgar; Serrano-Rubio, Alejandro; Benavides-Burbano, Camilo Armando; Rodriguez-Rubio, Hector A.</t>
  </si>
  <si>
    <t>Paraclinoid aneurysms clipping through an extradural sphenoid ridge keyhole approach</t>
  </si>
  <si>
    <t>ACTA NEUROCHIRURGICA</t>
  </si>
  <si>
    <t>Paraclinoid aneurysm; Keyhole approach; Sphenoid ridge; Cerebral aneurysm; Cerebrovascular surgery; Surgical anatomy</t>
  </si>
  <si>
    <t>ANTERIOR CLINOIDECTOMY</t>
  </si>
  <si>
    <t>BackgroundParaclinoid aneurysms represent a challenge for neurosurgeons due to the anatomical complexity of this region. Then, innovative techniques such as the extradural sphenoid ridge approach are suitable for a safe microsurgical clipping.MethodA description of the surgical technique was made by the senior author, a vascular neurosurgeon experienced with the use of this approach in the management of paraclinoid aneurysms exemplified through a clinical case.ConclusionMicrosurgical clipping through an extradural sphenoid ridge keyhole approach for small and midsize paraclinoid aneurysms is an excellent treatment modality with good clinical and surgical results.</t>
  </si>
  <si>
    <t>[Nathal, Edgar; Serrano-Rubio, Alejandro; Benavides-Burbano, Camilo Armando; Rodriguez-Rubio, Hector A.] Univ Nacl Autonoma Mex UNAM, Natl Inst Neurol &amp; Neurosurg Manuel Velasco Suarez, Dept Vasc Neurosurg, Insurgentes 3877, Mexico City 14263, Mexico</t>
  </si>
  <si>
    <t>Nathal, E (corresponding author), Univ Nacl Autonoma Mex UNAM, Natl Inst Neurol &amp; Neurosurg Manuel Velasco Suarez, Dept Vasc Neurosurg, Insurgentes 3877, Mexico City 14263, Mexico.</t>
  </si>
  <si>
    <t>enathal@yahoo.com; aasr2004@hotmail.com; cabenavides@fucsalud.edu.co; hector5thb@gmail.com</t>
  </si>
  <si>
    <t>0001-6268</t>
  </si>
  <si>
    <t>0942-0940</t>
  </si>
  <si>
    <t>ACTA NEUROCHIR</t>
  </si>
  <si>
    <t>Acta Neurochir.</t>
  </si>
  <si>
    <t>10.1007/s00701-023-05760</t>
  </si>
  <si>
    <t>Clinical Neurology; Surgery</t>
  </si>
  <si>
    <t>Neurosciences &amp; Neurology; Surgery</t>
  </si>
  <si>
    <t>Q9OQ9</t>
  </si>
  <si>
    <t>WOS:001060742400002</t>
  </si>
  <si>
    <t>Ning, K; Gondek, D; Pereira, SMP; Lacey, RE</t>
  </si>
  <si>
    <t>Ning, Ke; Gondek, Dawid; Pereira, Snehal M. Pinto; Lacey, Rebecca E.</t>
  </si>
  <si>
    <t>Mediating mechanisms of the relationship between exposure to deprivation and threat during childhood and adolescent psychopathology: evidence from the Millennium Cohort Study</t>
  </si>
  <si>
    <t>EUROPEAN CHILD &amp; ADOLESCENT PSYCHIATRY</t>
  </si>
  <si>
    <t>Deprivation; Threat; Psychopathology; Millennium Cohort Study; Cognitive ability; Emotion regulation</t>
  </si>
  <si>
    <t>EMOTION DYSREGULATION; MENTAL-HEALTH; ADULT PSYCHOPATHOLOGY; MALTREATMENT; ASSOCIATIONS; ADVERSITIES; DIMENSIONS; SAMPLE; SYMPTOMS; INCOME</t>
  </si>
  <si>
    <t>The key aim of our study was to examine pathways from exposure to childhood adversities (i.e., deprivation and threat) to adolescent psychopathology. The assessed mediating mechanisms included cognitive ability and emotion regulation, as proposed by the Dimensional Model of Adversity and Psychopathology (DMAP). The study comprised participants from the nationally representative Millennium Cohort Study. Latent scores for deprivation and threat were derived using confirmatory factor analysis from indicators collected when participants were at age of 9 months, 3 and 5 years. Cognitive ability was measured using the Verbal Similarities subscale of the British Ability Scales II at age 11, and emotion regulation was measured using emotion dysregulation subscale of the Child Social Behavioural Questionnaire at age 7. Psychopathology, defined as psychological distress, was assessed using the Kessler 6 scale at age 17. We conducted causal mediation analysis adjusting for multiple confounding factors. We did not find total effect of either exposure to deprivation or threat on psychological distress, but we did find significant indirect effects of exposure to deprivation on psychological distress via cognitive ability (- 0.11, 95% CI - 0.20 to - 0.05) and emotion regulation (0.03, 0.02 to 0.12), and exposure to threat on psychological distress via cognitive ability (- 0.04, - 0.07 to - 0.01) and emotion regulation (0.09, 0.03 to 0.15). The lack of associations between deprivation or threat and psychological distress may be due to reporting bias or developmental period of psychopathology. Results of mediation analysis partially support the DMAP but indicate limited benefits to reduce adolescent psychological distress by targeting cognitive ability or emotion regulation to those exposed to childhood adversities.</t>
  </si>
  <si>
    <t>[Ning, Ke] Univ Hong Kong, Li Ka Shing Fac Med, Sch Publ Hlth, Hong Kong, Peoples R China; [Gondek, Dawid; Lacey, Rebecca E.] UCL, Res Dept Epidemiol &amp; Publ Hlth, London, England; [Gondek, Dawid] Univ Lausanne, Swiss Ctr Expertise Life Course Res LIVES, Lausanne, Switzerland; [Pereira, Snehal M. Pinto] UCL, Div Surg &amp; Intervent Sci, London, England; [Lacey, Rebecca E.] St Georges Univ London, Populat Hlth Res Inst, London, England</t>
  </si>
  <si>
    <t>University of Hong Kong; University of London; University College London; University of Lausanne; University of London; University College London; St Georges University London</t>
  </si>
  <si>
    <t>Lacey, RE (corresponding author), UCL, Res Dept Epidemiol &amp; Publ Hlth, London, England.;Lacey, RE (corresponding author), St Georges Univ London, Populat Hlth Res Inst, London, England.</t>
  </si>
  <si>
    <t>dawid.gondek@unil.ch; rlacey@sgul.ac.uk</t>
  </si>
  <si>
    <t>UK Economic and Social Research Council [ES/P010229/1]; UK Medical Research Council Career Development Award [MR/P020372/1]</t>
  </si>
  <si>
    <t>UK Economic and Social Research Council(UK Research &amp; Innovation (UKRI)Economic &amp; Social Research Council (ESRC)); UK Medical Research Council Career Development Award(UK Research &amp; Innovation (UKRI)Medical Research Council UK (MRC))</t>
  </si>
  <si>
    <t>RL and DG were funded by the UK Economic and Social Research Council (Grant ref: ES/P010229/1); SMPP is supported by a UK Medical Research Council Career Development Award (ref: MR/P020372/1). For the purpose of open access, the author has applied a Creative Commons Attribution (CC BY) licence to any Author Accepted Manuscript version arising.</t>
  </si>
  <si>
    <t>1018-8827</t>
  </si>
  <si>
    <t>1435-165X</t>
  </si>
  <si>
    <t>EUR CHILD ADOLES PSY</t>
  </si>
  <si>
    <t>Eur. Child Adolesc. Psych.</t>
  </si>
  <si>
    <t>10.1007/s00787-023-02289-3</t>
  </si>
  <si>
    <t>Psychology, Developmental; Pediatrics; Psychiatry</t>
  </si>
  <si>
    <t>Psychology; Pediatrics; Psychiatry</t>
  </si>
  <si>
    <t>Q9PC3</t>
  </si>
  <si>
    <t>WOS:001060753800001</t>
  </si>
  <si>
    <t>Ono, M; Kuji, N; Ueno, K; Kojima, J; Nishi, H</t>
  </si>
  <si>
    <t>Ono, Masanori; Kuji, Naoaki; Ueno, Keiko; Kojima, Junya; Nishi, Hirotaka</t>
  </si>
  <si>
    <t>The Long-Term Outcome of Children Conceived Through Assisted Reproductive Technology</t>
  </si>
  <si>
    <t>Assisted reproductive technologies; Child development; Long-term outcome; Physical development; Psychomotor development</t>
  </si>
  <si>
    <t>IN-VITRO FERTILIZATION; AUTISM SPECTRUM DISORDERS; FOLLOW-UP; PUBERTAL DEVELOPMENT; CANCER-RISK; BORN; HEALTH; BIRTH; ICSI; IVF</t>
  </si>
  <si>
    <t>Assisted reproductive technology (ART) led to the birth of 60,381 infants in 2020 in Japan. This number is set to increase as the future interest in ART is anticipated to rise. Couples receiving ART are monitoring the outcomes of these treatments to see whether any differences exist between babies conceived naturally and those conceived via ART. This study investigated the relationship between the long-term outcome of children born from ART with a focus on physical and psychomotor developments. A large volume of data concerning each relationship with ART was collected from various observational studies. Several findings indicate that, over time, the physical characteristics of babies born by ART, and those born naturally are comparable. However, some reports indicate that, until they reach school age, there may be a small difference in growth. ART and naturally conceived children do not vary in academic achievement or attention deficit hyperactivity disorder. Taken together, it is difficult to conclude with certainty that ART is the source of these differences since they may arise from the child's genetic factors or their environment.</t>
  </si>
  <si>
    <t>[Ono, Masanori; Kuji, Naoaki; Ueno, Keiko; Kojima, Junya; Nishi, Hirotaka] Tokyo Med Univ, Dept Obstet &amp; Gynecol, Shinjuku Ku, Tokyo, Japan</t>
  </si>
  <si>
    <t>Tokyo Medical University</t>
  </si>
  <si>
    <t>Ono, M (corresponding author), Tokyo Med Univ, Dept Obstet &amp; Gynecol, Shinjuku Ku, Tokyo, Japan.</t>
  </si>
  <si>
    <t>masanori@tokyo-med.ac.jp</t>
  </si>
  <si>
    <t>Ono, Masanori/F-7443-2019</t>
  </si>
  <si>
    <t>Ono, Masanori/0000-0001-9249-6813</t>
  </si>
  <si>
    <t>AMED [JP22gk0110068]</t>
  </si>
  <si>
    <t>AMED</t>
  </si>
  <si>
    <t>We would like to thank the Editage (www.editage. com) for English language editing. This study was supported by AMED under Grant Number JP22gk0110068.</t>
  </si>
  <si>
    <t>10.1007/s43032-023-01339-0</t>
  </si>
  <si>
    <t>Q9OQ1</t>
  </si>
  <si>
    <t>WOS:001060741600003</t>
  </si>
  <si>
    <t>Petelin, G; Hribar, R; Papa, G</t>
  </si>
  <si>
    <t>Petelin, Gasper; Hribar, Rok; Papa, Gregor</t>
  </si>
  <si>
    <t>Models for forecasting the traffic flow within the city of Ljubljana</t>
  </si>
  <si>
    <t>EUROPEAN TRANSPORT RESEARCH REVIEW</t>
  </si>
  <si>
    <t>Traffic modeling; Time-series forecasting; Traffic-count data set; Machine learning; Model comparison</t>
  </si>
  <si>
    <t>MEAN ABSOLUTE ERROR; NEURAL-NETWORK; PREDICTION; FUSION; LSTM</t>
  </si>
  <si>
    <t>Efficient traffic management is essential in modern urban areas. The development of intelligent traffic flow prediction systems can help to reduce travel times and maximize road capacity utilization. However, accurately modeling complex spatiotemporal dependencies can be a difficult task, especially when real-time data collection is not possible. This study aims to tackle this challenge by proposing a solution that incorporates extensive feature engineering to combine historical traffic patterns with covariates such as weather data and public holidays. The proposed approach is assessed using a new real-world data set of traffic patterns collected in Ljubljana, Slovenia. The constructed models are evaluated for their accuracy and hyperparameter sensitivity, providing insights into their performance. By providing practical solutions for real-world scenarios, the proposed approach offers an effective means to improve traffic flow prediction without relying on real-time data.</t>
  </si>
  <si>
    <t>[Petelin, Gasper; Hribar, Rok; Papa, Gregor] Jozef Stefan Inst, Comp Syst Dept, Jamova Cesta 39, Ljubljana, Slovenia; [Petelin, Gasper; Hribar, Rok; Papa, Gregor] Jozef Stefan Int Postgrad Sch, Jamova Cesta 39, Ljubljana, Slovenia</t>
  </si>
  <si>
    <t>Slovenian Academy of Sciences &amp; Arts (SASA); Jozef Stefan Institute; Slovenian Academy of Sciences &amp; Arts (SASA); Jozef Stefan Institute</t>
  </si>
  <si>
    <t>Petelin, G (corresponding author), Jozef Stefan Inst, Comp Syst Dept, Jamova Cesta 39, Ljubljana, Slovenia.;Petelin, G (corresponding author), Jozef Stefan Int Postgrad Sch, Jamova Cesta 39, Ljubljana, Slovenia.</t>
  </si>
  <si>
    <t>gasper.petelin@ijs.si</t>
  </si>
  <si>
    <t>The authors would like to express gratitude to the Municipality of Ljubljana for their contribution and support within the initial research and for providing important data about the studied case.; Municipality of Ljubljana</t>
  </si>
  <si>
    <t>The authors would like to express gratitude to the Municipality of Ljubljana for their contribution and support within the initial research and for providing important data about the studied case.</t>
  </si>
  <si>
    <t>1867-0717</t>
  </si>
  <si>
    <t>1866-8887</t>
  </si>
  <si>
    <t>EUR TRANSP RES REV</t>
  </si>
  <si>
    <t>Eur. Transp. Res. Rev.</t>
  </si>
  <si>
    <t>10.1186/s12544-023-00600-6</t>
  </si>
  <si>
    <t>Transportation; Transportation Science &amp; Technology</t>
  </si>
  <si>
    <t>Transportation</t>
  </si>
  <si>
    <t>Q8ZN4</t>
  </si>
  <si>
    <t>WOS:001060347300001</t>
  </si>
  <si>
    <t>Pluemprasit, P; Porpruksa, A; Pusansaard, W; Wongthai, K; Tongpadungrod, P; Suttikul, T; Phalakornkule, C</t>
  </si>
  <si>
    <t>Pluemprasit, Panyawut; Porpruksa, Adisak; Pusansaard, Worrapas; Wongthai, Kittitud; Tongpadungrod, Pensiri; Suttikul, Thitiporn; Phalakornkule, Chantaraporn</t>
  </si>
  <si>
    <t>Modeling of Pyrolysis Reactions of Polypropylene Using a Six-Lump Model and Simulation of Pyrolysis Process Using Aspen</t>
  </si>
  <si>
    <t>Kinetic modeling; Lump model; Plastic pyrolysis; Polypropylene; Plastic waste</t>
  </si>
  <si>
    <t>PLASTIC WASTE; THERMAL-DEGRADATION; CATALYTIC CRACKING; KINETICS; WAXES</t>
  </si>
  <si>
    <t>In the post-COVID-19 era, the demand for polypropylene (PP) has been growing for uses for medical and food packaging applications, resulting in the generation of a huge amount of plastic waste. Pyrolysis has been widely used to convert plastic waste to liquid fuels. However, the capability of predicting product yields and compositions over a wide range of pyrolysis process conditions remains a challenge, especially for industrial-scale processes. This study aimed to develop a mathemati-cal model that has predictive power for the pyrolysis of PP. To overcome the limitations of detailed kinetic data, a six-lump model was developed that consisted of plastic molecules, melted plastics, heavy and light fuel oil, non-condensable gas, char, and ten monomolecular, irreversible, first-order reactions. The initial values of the Arrhenius constants and activation ener -gies were set based on the kinetic constants from the literature. The kinetic parameters were calibrated with an experimental dataset to give a &lt; 10% difference between the compositions of the major products from the simulation and experimental data. The model was used to predict an optimum temperature for the production of pyrolysis oil, mass balances, carbon conversion, and energy efficiency of an industrial-scale integrated pyrolysis-condensation-combustion process using Aspen Plus. The simulation predicted that the proportion of pyrolysis oil was highest at 460 C, and the product composition was 59.17% pyrolysis oil, 13.18% char, and 27.65% gas with carbon conversion of 87.30%, energy efficiency of 87.56%, and a higher yield of gasoline (0.3595 kg/kg of PP) than heavy diesel (0.2675 kg/kg of PP).</t>
  </si>
  <si>
    <t>[Pluemprasit, Panyawut; Porpruksa, Adisak; Pusansaard, Worrapas; Wongthai, Kittitud; Phalakornkule, Chantaraporn] King Mongkuts Univ Technol North Bangkok, Fac Engn, Dept Chem Engn, Bangkok 10800, Thailand; [Tongpadungrod, Pensiri] King Mongkuts Univ Technol North Bangkok, Fac Engn, Dept Prod Engn, Bangkok 10800, Thailand; [Suttikul, Thitiporn] King Mongkuts Univ Technol North Bangkok, Fac Engn &amp; Technol, Div Chem Proc Engn Technol, Rayong Campus, Rayong 21120, Thailand; [Suttikul, Thitiporn] King Mongkuts Univ Technol North Bangkok, Plasma &amp; Automat Elect Technol Res Grp, Rayong Campus, Rayong 21120, Thailand; [Phalakornkule, Chantaraporn] King Mongkuts Univ Technol North Bangkok, Res Ctr Circular Prod &amp; Energy, Bangkok 10800, Thailand</t>
  </si>
  <si>
    <t>King Mongkuts University of Technology North Bangkok; King Mongkuts University of Technology North Bangkok; King Mongkuts University of Technology North Bangkok; King Mongkuts University of Technology North Bangkok; King Mongkuts University of Technology North Bangkok</t>
  </si>
  <si>
    <t>Phalakornkule, C (corresponding author), King Mongkuts Univ Technol North Bangkok, Fac Engn, Dept Chem Engn, Bangkok 10800, Thailand.;Phalakornkule, C (corresponding author), King Mongkuts Univ Technol North Bangkok, Res Ctr Circular Prod &amp; Energy, Bangkok 10800, Thailand.</t>
  </si>
  <si>
    <t>cphalak21@gmail.com</t>
  </si>
  <si>
    <t>King Mongkut's University of Technology North Bangkok [KMUTNB-KNOW-63-K-37, KMUTNB-FF-66-60]</t>
  </si>
  <si>
    <t>King Mongkut's University of Technology North Bangkok</t>
  </si>
  <si>
    <t>All of the sources of funding for the work described in this publication are acknowledged as follows: King Mongkut's University of Technology North Bangkok (Grant No. KMUTNB-KNOW-63-K-37, KMUTNB-FF-66-60) provided research funding to Pensiri Tongpadungrod and Thitiporn Suttikul for research expenses.</t>
  </si>
  <si>
    <t>10.1007/s12649-023-02261</t>
  </si>
  <si>
    <t>R4GL4</t>
  </si>
  <si>
    <t>WOS:001063946100001</t>
  </si>
  <si>
    <t>Schweitzer, BW; Garrett, RC; Carter, L; Tuiyott, A; Maurer, K; Fisher, TJ</t>
  </si>
  <si>
    <t>Schweitzer, Benjamin W.; Garrett, Robert C.; Carter, Lydia; Tuiyott, Alison; Maurer, Karsten; Fisher, Thomas J.</t>
  </si>
  <si>
    <t>An analysis of the impact of rent control on New York City housing</t>
  </si>
  <si>
    <t>COMPUTATIONAL STATISTICS</t>
  </si>
  <si>
    <t>DataExpo; Multivariate multiple regression; Rent control; Survey analysis</t>
  </si>
  <si>
    <t>MAINTENANCE; ECONOMISTS; MODEL</t>
  </si>
  <si>
    <t>It is the concern of policymakers every year in New York City to consider whether or not the enacted rent control policy has a positive effect on the rental market. In order to measure the efficacy of the rent control policy, we aim to study the change in housing quality of people who live in rent controlled homes compared to those in non-rent controlled homes. A housing quality index metric was created in order to study how housing quality changes over time and its relationship to rent control. The impact of rent control on housing quality is analyzed, thus assessing one measure of policy effectiveness. The analysis indicates that rent controlled homes are associated with higher damage rates than non-rent controlled homes, perhaps indicating that the inverse of the intended effect is occurring.</t>
  </si>
  <si>
    <t>[Schweitzer, Benjamin W.; Garrett, Robert C.; Carter, Lydia; Tuiyott, Alison; Maurer, Karsten; Fisher, Thomas J.] Miami Univ, Dept Stat, 311 Upham Hall, Oxford, OH 45056 USA</t>
  </si>
  <si>
    <t>University System of Ohio; Miami University</t>
  </si>
  <si>
    <t>Fisher, TJ (corresponding author), Miami Univ, Dept Stat, 311 Upham Hall, Oxford, OH 45056 USA.</t>
  </si>
  <si>
    <t>schweib2@miamioh.edu; garretrc@miamioh.edu; carterlf@miamioh.edu; tuiyotac@miamioh.edu; maurerkt@miamioh.edu; fishert4@miamioh.edu</t>
  </si>
  <si>
    <t>0943-4062</t>
  </si>
  <si>
    <t>1613-9658</t>
  </si>
  <si>
    <t>COMPUTATION STAT</t>
  </si>
  <si>
    <t>Comput. Stat.</t>
  </si>
  <si>
    <t>10.1007/s00180-023-01397-7</t>
  </si>
  <si>
    <t>Q9NX3</t>
  </si>
  <si>
    <t>WOS:001060722600002</t>
  </si>
  <si>
    <t>Silva, JC; Rodrigues, JC; Migueis, VL</t>
  </si>
  <si>
    <t>Silva, Joao C.; Rodrigues, Jose Coelho; Migueis, Vera L.</t>
  </si>
  <si>
    <t>Factors influencing the use of information and communication technologies by students for educational purposes</t>
  </si>
  <si>
    <t>EDUCATION AND INFORMATION TECHNOLOGIES</t>
  </si>
  <si>
    <t>ICT; Education; Performance; Use of information and communication technologies; PISA; Decision tree model</t>
  </si>
  <si>
    <t>ICT USE; TEACHERS; ACHIEVEMENT; MATHEMATICS; INTEGRATION; CLASSROOMS; LEVEL</t>
  </si>
  <si>
    <t>Implementation of information and communication technologies (ICTs) in education is defined as the incorporation of ICTs into teaching and learning activities, both inside and outside the classroom. Despite widely studied, there is still no consensus on how it affects student performance. However, before evaluating this, it is crucial to identify which factors impact students' use of ICT for educational purposes. This understanding can help educational institutions to effectively implement ICT, potentially improving student results. Thus, adapting the conceptual framework proposed by Biagi and Loi (2013) and using the 2018 database of the Program for International Student Assessment (PISA) and a decision tree classification model developed based on CRISP-DM framework, we aim to determine which socio-demographic factors influence students' use of ICT for educational purposes. First, we categorized students according to their use of ICT for educational purposes in two situations: during lessons and outside lessons. Then, we developed a decision tree model to distinguish these categories and find patterns in each group. The model was able to accurately distinguish different levels of ICT adoption and demonstrate that ICT use for entertainment and ICT access at school and at home are among the most influential variables to predict ICT use for educational purposes. Moreover, the model showed that variables related to teaching best practices of Internet utilization at school are not significant predictors of such use. Some results were found to be country-specific, leading to the recommendation that each country adapts the measures to improve ICT use according to its context.</t>
  </si>
  <si>
    <t>[Silva, Joao C.] Univ Porto, Sch Econ, Rua Dr Roberto Frias S-N, P-4200464 Porto, Portugal; [Rodrigues, Jose Coelho; Migueis, Vera L.] Univ Porto, Fac Engn, INESC TEC, Rua Dr Roberto Frias S-N, P-4200465 Porto, Portugal</t>
  </si>
  <si>
    <t>Universidade do Porto; Universidade do Porto; INESC TEC</t>
  </si>
  <si>
    <t>Rodrigues, JC (corresponding author), Univ Porto, Fac Engn, INESC TEC, Rua Dr Roberto Frias S-N, P-4200465 Porto, Portugal.</t>
  </si>
  <si>
    <t>jpedroscsilva@gmail.com; jpcr@fe.up.pt; vera.migueis@fe.up.pt</t>
  </si>
  <si>
    <t>Coelho Rodrigues, Jose/0000-0002-0951-4636; Migueis, Vera/0000-0001-7831-9140</t>
  </si>
  <si>
    <t>FCT|FCCN (b-on); Portuguese funding agency, FCT - Fundacao para a Ciencia e a Tecnologia [UIDB/50014/2020]</t>
  </si>
  <si>
    <t>FCT|FCCN (b-on); Portuguese funding agency, FCT - Fundacao para a Ciencia e a Tecnologia(Fundacao para a Ciencia e a Tecnologia (FCT))</t>
  </si>
  <si>
    <t>Open access funding provided by FCT|FCCN (b-on). This work has been partially financed by National Funds through the Portuguese funding agency, FCT - Fundacao para a Ciencia e a Tecnologia, within project UIDB/50014/2020.</t>
  </si>
  <si>
    <t>1360-2357</t>
  </si>
  <si>
    <t>1573-7608</t>
  </si>
  <si>
    <t>EDUC INF TECHNOL</t>
  </si>
  <si>
    <t>Educ. Inf. Technol.</t>
  </si>
  <si>
    <t>10.1007/s10639-023-12132-6</t>
  </si>
  <si>
    <t>Q9NX4</t>
  </si>
  <si>
    <t>WOS:001060722700001</t>
  </si>
  <si>
    <t>Singhal, M; Shinghal, K</t>
  </si>
  <si>
    <t>Singhal, Manas; Shinghal, Kshitij</t>
  </si>
  <si>
    <t>Secure deep multimodal biometric authentication using online signature and face features fusion</t>
  </si>
  <si>
    <t>Multimodal; Biometrics authentication; Deep learning; Equal Error Rate (EER)</t>
  </si>
  <si>
    <t>KINSHIP VERIFICATION; RECOGNITION; IMAGES; EAR</t>
  </si>
  <si>
    <t>In Indian banking systems, signatures and faces are the two traits of biometrics that are used for personal identification. The automation of this identification system requires the use of a multimodal verification system. Although many researchers are working in the field of multimodal biometrics, the research involving online signatures and face images is very sparse because it involves the handling of two different types of databases. As the online signature data is in sequence form while the face image data is in image form. Authentication through an online signature requires the generation of a strong feature vector and authentication through a face database requires improving the active area of the face image. The dimensionality of the feature vector generated through the face image is generally large, it needs to be minimized. In this paper, the multimodal biometrics verification method involving online signatures and face images is presented. This is performed by forming a fusion feature vector combining extracted features from online signatures and face images. To extract the features from the face images a modified context aware (MCA) algorithm and Tangential discrimination analysis (TDA) algorithm for dimensionality reduction of feature vector are proposed. The fusion feature vector is used to train a modified mixed sequence deep neural network (MMS-DNN). The proposed system provides an improvement in verification performance in terms of equal error rate (EER). The proposed system achieves the EER of 0.5%, which shows a large improvement from existing work. The proposed system also provides security to the biometric data involved as only a fusion feature vector is used in training and verification algorithms as opposed to raw online signature and face image data.</t>
  </si>
  <si>
    <t>[Singhal, Manas] Moradabad Inst Technol, Dept ECE, Moradabad 244001, Uttar Pradesh, India; [Singhal, Manas] Dr APJ Abdul Kalam Tech Univ, Lucknow, India; [Shinghal, Kshitij] Moradabad Inst Technol, Dept ECE, Moradabad 244001, India</t>
  </si>
  <si>
    <t>Singhal, M (corresponding author), Moradabad Inst Technol, Dept ECE, Moradabad 244001, Uttar Pradesh, India.;Singhal, M (corresponding author), Dr APJ Abdul Kalam Tech Univ, Lucknow, India.</t>
  </si>
  <si>
    <t>manas.singhal.ec@gmail.com</t>
  </si>
  <si>
    <t>10.1007/s11042-023-16683-1</t>
  </si>
  <si>
    <t>Q9PM3</t>
  </si>
  <si>
    <t>WOS:001060763900002</t>
  </si>
  <si>
    <t>Tanaka, Y; Kadota, S; Zhao, J; Kobayashi, H; Okano, S; Izumi, M; Honda, Y; Ichimura, H; Shiba, N; Uemura, T; Wada, Y; Chuma, S; Nakada, T; Tohyama, S; Fukuda, K; Yamada, M; Seto, T; Kuwahara, K; Shiba, Y</t>
  </si>
  <si>
    <t>Tanaka, Yuki; Kadota, Shin; Zhao, Jian; Kobayashi, Hideki; Okano, Satomi; Izumi, Masaki; Honda, Yusuke; Ichimura, Hajime; Shiba, Naoko; Uemura, Takeshi; Wada, Yuko; Chuma, Shinichiro; Nakada, Tsutomu; Tohyama, Shugo; Fukuda, Keiichi; Yamada, Mitsuhiko; Seto, Tatsuichiro; Kuwahara, Koichiro; Shiba, Yuji</t>
  </si>
  <si>
    <t>Mature human induced pluripotent stem cell-derived cardiomyocytes promote angiogenesis through alpha-B crystallin</t>
  </si>
  <si>
    <t>STEM CELL RESEARCH &amp; THERAPY</t>
  </si>
  <si>
    <t>Human induced pluripotent stem cell-derived cardiomyocytes; Engraftment; Cell transplantation; Angiogenesis; Maturation; CRYAB</t>
  </si>
  <si>
    <t>HEART FUNCTION; MATURATION; TRANSPLANTATION; REMUSCULARIZATION; ARRHYTHMIAS; SURVIVAL; PACKAGE; CANCER; GROWTH; READS</t>
  </si>
  <si>
    <t>Background Human induced pluripotent stem cell- derived cardiomyocytes (hiPSC-CMs) can be used to treat heart diseases; however, the optimal maturity of hiPSC-CMs for effective regenerative medicine remains unclear. We aimed to investigate the benefits of long-term cultured mature hiPSC-CMs in injured rat hearts. Methods Cardiomyocytes were differentiated from hiPSCs via monolayer culturing, and the cells were harvested on day 28 or 56 (D28-CMs or D56-CMs, respectively) after differentiation. We transplanted D28- CMs or D56-CMs into the hearts of rat myocardial infarction models and examined cell retention and engraftment via in vivo bioluminescence imaging and histological analysis. We performed transcriptomic sequencing analysis to elucidate the genetic profiles before and after hiPSC-CM transplantation. Results Upregulated expression of mature sarcomere genes in vitro was observed in D56- CMs compared with D28CMs. In vivo bioluminescence imaging studies revealed increased bioluminescence intensity of D56-CMs at 8 and 12 weeks post-transplantation. Histological and immunohistochemical analyses showed that D56-CMs promoted engraftment and maturation in the graft area at 12 weeks post-transplantation. Notably, D56-CMs consistently promoted microvessel formation in the graft area from 1 to 12 weeks post-transplantation. Transcriptomic sequencing analysis revealed that compared with the engrafted D28-CMs, the engrafted D56-CMs enriched genes related to blood vessel regulation at 12 weeks post-transplantation. As shown by transcriptomic and western blot analyses, the expression of a small heat shock protein, alpha-B crystallin (CRYAB), was significantly upregulated in D56-CMs compared with D28-CMs. Endothelial cell migration was inhibited by small interfering RNA-mediated knockdown of CRYAB when co-cultured with D56-CMs in vitro. Furthermore, CRYAB overexpression enhanced angiogenesis in the D28- CM grafts at 4 weeks post-transplantation. Conclusions Long-term cultured mature hiPSC-CMs promoted engraftment, maturation and angiogenesis post-transplantation in infarcted rat hearts. CRYAB, which was highly expressed in D56-CMs, was identified as an angiogenic factor from mature hiPSC-CMs. This study revealed the benefits of long-term culture, which may enhance the therapeutic potential of hiPSC-CMs.</t>
  </si>
  <si>
    <t>[Tanaka, Yuki; Kadota, Shin; Zhao, Jian; Kobayashi, Hideki; Okano, Satomi; Izumi, Masaki; Honda, Yusuke; Ichimura, Hajime; Shiba, Naoko; Shiba, Yuji] Shinshu Univ, Sch Med, Dept Regenerat Sci &amp; Med, 3-1-1 Asahi, Matsumoto 3908621, Japan; [Kadota, Shin; Uemura, Takeshi; Kuwahara, Koichiro; Shiba, Yuji] Shinshu Univ, Inst Biomed Sci, Matsumoto 3908621, Japan; [Tanaka, Yuki; Ichimura, Hajime; Wada, Yuko; Seto, Tatsuichiro] Shinshu Univ, Sch Med, Dept Surg, Div Cardiovasc Surg, Matsumoto 3908621, Japan; [Kobayashi, Hideki; Kuwahara, Koichiro] Shinshu Univ, Sch Med, Dept Cardiovasc Med, Matsumoto 3908621, Japan; [Shiba, Naoko] Shinshu Univ, Sch Med, Dept Pediat, Matsumoto 3908621, Japan; [Uemura, Takeshi] Shinshu Univ, Res Ctr Adv Sci &amp; Technol, Div Gene Res, Matsumoto 3908621, Japan; [Chuma, Shinichiro] Kyoto Univ, Inst Life &amp; Med Sci, Dept Regenerat Sci &amp; Engn, Kyoto 6068507, Japan; [Nakada, Tsutomu] Shinshu Univ, Res Ctr Adv Sci &amp; Technol, Div Instrumental Anal, Matsumoto 3908621, Japan; [Tohyama, Shugo; Fukuda, Keiichi] Keio Univ, Sch Med, Dept Cardiol, Tokyo 1608582, Japan; [Yamada, Mitsuhiko] Shinshu Univ, Sch Med, Dept Mol Pharmacol, Matsumoto 3908621, Japan; [Okano, Satomi] Iryo Sosei Univ, Fac Hlth Sci, Dept Phys Therapy, Iwaki 9708551, Japan; [Izumi, Masaki] Shinshu Univ, Sch Med, Dept Internal Med, Div Diabet Endocrinol &amp; Metab, Matsumoto 3908621, Japan</t>
  </si>
  <si>
    <t>Shinshu University; Shinshu University; Shinshu University; Shinshu University; Shinshu University; Shinshu University; Kyoto University; Shinshu University; Keio University; Shinshu University; Iryo Sosei University; Shinshu University</t>
  </si>
  <si>
    <t>Kadota, S; Shiba, Y (corresponding author), Shinshu Univ, Sch Med, Dept Regenerat Sci &amp; Med, 3-1-1 Asahi, Matsumoto 3908621, Japan.;Kadota, S; Shiba, Y (corresponding author), Shinshu Univ, Inst Biomed Sci, Matsumoto 3908621, Japan.</t>
  </si>
  <si>
    <t>shinkadota@shinshu-u.ac.jp; yshiba@shinshu-u.ac.jp</t>
  </si>
  <si>
    <t>Kuwahara, Koichiro/0000-0003-2670-7170; Kadota, Shin/0000-0001-9010-7079</t>
  </si>
  <si>
    <t>The authors thank Yuko Karatsu and Yuka Ichihara at Shinshu University, Japan, for their technical assistance and Dr. Hiroyuki Mizuguchi at Osaka University, Japan, for providing the RAD51-expressing plasmid.</t>
  </si>
  <si>
    <t>1757-6512</t>
  </si>
  <si>
    <t>STEM CELL RES THER</t>
  </si>
  <si>
    <t>Stem Cell Res. Ther.</t>
  </si>
  <si>
    <t>10.1186/s13287-023-03468-4</t>
  </si>
  <si>
    <t>Cell &amp; Tissue Engineering; Cell Biology; Medicine, Research &amp; Experimental</t>
  </si>
  <si>
    <t>Cell Biology; Research &amp; Experimental Medicine</t>
  </si>
  <si>
    <t>Q8ZY5</t>
  </si>
  <si>
    <t>WOS:001060358400001</t>
  </si>
  <si>
    <t>Wijnen-Meijer, M</t>
  </si>
  <si>
    <t>Wijnen-Meijer, Marjo</t>
  </si>
  <si>
    <t>Implications of internationalisation of medical education</t>
  </si>
  <si>
    <t>FUTURE; SCHOOL</t>
  </si>
  <si>
    <t>Internationalisation of medical education encompasses the integration of global dimensions and intercultural experiences into medical practices. This process is planned to prepare globally conscious, culturally competent medical workforce that can efficiently address international health challenges. This article describes the impact of internationalisation of medical education on students, teachers and patients.</t>
  </si>
  <si>
    <t>[Wijnen-Meijer, Marjo] Tech Univ Munich, TUM Med Educ Ctr, Sch Med, Ismaninger Str 22, D-81675 Munich, Germany</t>
  </si>
  <si>
    <t>Technical University of Munich</t>
  </si>
  <si>
    <t>Wijnen-Meijer, M (corresponding author), Tech Univ Munich, TUM Med Educ Ctr, Sch Med, Ismaninger Str 22, D-81675 Munich, Germany.</t>
  </si>
  <si>
    <t>marjo.wijnen-meijer@tum.de</t>
  </si>
  <si>
    <t>10.1186/s12909-023-04630-5</t>
  </si>
  <si>
    <t>R4IR3</t>
  </si>
  <si>
    <t>WOS:001064004100006</t>
  </si>
  <si>
    <t>Wu, JT; Yu, H; Jin, YC; Wang, JQ; Zhou, LW; Cheng, T; Zhang, Z; Lin, BH; Miao, JS; Lin, ZK</t>
  </si>
  <si>
    <t>Wu, Jingtao; Yu, Heng; Jin, Yangcan; Wang, Jingquan; Zhou, Liwen; Cheng, Teng; Zhang, Zhao; Lin, Binghao; Miao, Jiansen; Lin, Zhongke</t>
  </si>
  <si>
    <t>Ajugol &amp; apos;s upregulation of TFEB-mediated autophagy alleviates endoplasmic reticulum stress in chondrocytes and retards osteoarthritis progression in a mouse model</t>
  </si>
  <si>
    <t>CHINESE MEDICINE</t>
  </si>
  <si>
    <t>Osteoarthritis; Ajugol; TBHP; TFEB; Autophagy; ER stress; DMM</t>
  </si>
  <si>
    <t>NONPHARMACOLOGICAL CORE MANAGEMENT; UNFOLDED PROTEIN RESPONSE; EULAR RECOMMENDATIONS; HIP; PROTEOSTASIS; ELETTER</t>
  </si>
  <si>
    <t>BackgroundOsteoarthritis (OA), a degenerative disease with a high global prevalence, is characterized by the degradation of the extracellular matrix (ECM) and the apoptosis of chondrocytes. Ajugol, a extract derived from the herb Rehmannia glutinosa, has not yet been investigated for its potential in modulating the development of OA.MethodsWe employed techniques such as western blotting, immunofluorescence, immunohistochemistry, X-ray imaging, HE staining, and SO staining to provide biological evidence supporting the role of Ajugol as a potential therapeutic agent for modulating OA. Furthermore, in an in vivo experiment, intra-peritoneal injection of 50 mg/kg Ajugol effectively mitigated the progression of OA following destabilization of the medial meniscus (DMM) surgery.ResultsOur findings revealed that treatment with 50 &amp; mu;M Ajugol activated TFEB-mediated autophagy, alleviating ER stress-induced chondrocyte apoptosis and ECM degradation caused by TBHP. Furthermore, in an in vivo experiment, intra-peritoneal injection of 50 mg/kg Ajugol effectively mitigated the progression of OA following destabilization of the medial meniscus (DMM) surgery.ConclusionThese results provide compelling biological evidence supporting the role of Ajugol as a potential therapeutic agent for modulating OA by activating autophagy and attenuating ER stress-induced cell death and ECM degradation. The promising in vivo results further suggest the potential of Ajugol as a treatment strategy for OA progression.</t>
  </si>
  <si>
    <t>[Wu, Jingtao; Yu, Heng; Jin, Yangcan; Wang, Jingquan; Cheng, Teng; Zhang, Zhao; Lin, Binghao; Miao, Jiansen; Lin, Zhongke] Wenzhou Med Univ, Affiliated Hosp 2, Dept Orthopaed, Wenzhou Key Lab Perinatal Med, Wenzhou 325000, Zhejiang, Peoples R China; [Wu, Jingtao; Yu, Heng; Jin, Yangcan; Wang, Jingquan; Cheng, Teng; Zhang, Zhao; Lin, Binghao; Miao, Jiansen; Lin, Zhongke] Wenzhou Med Univ, Yuying Childrens Hosp, Wenzhou 325000, Zhejiang, Peoples R China; [Wu, Jingtao; Yu, Heng; Jin, Yangcan; Wang, Jingquan; Cheng, Teng; Zhang, Zhao; Lin, Binghao; Miao, Jiansen; Lin, Zhongke] Key Lab Orthopaed Zhejiang Prov, Wenzhou 325000, Zhejiang, Peoples R China; [Wu, Jingtao; Yu, Heng; Jin, Yangcan; Wang, Jingquan; Cheng, Teng; Zhang, Zhao; Lin, Binghao; Miao, Jiansen; Lin, Zhongke] Wenzhou Med Univ, Sch Med 2, Wenzhou 325000, Zhejiang, Peoples R China; [Zhou, Liwen] Wenzhou Med Univ, Sch Clin Med 1, Wenzhou 325000, Zhejiang, Peoples R China</t>
  </si>
  <si>
    <t>Wenzhou Medical University; Wenzhou Medical University; Wenzhou Medical University; Wenzhou Medical University</t>
  </si>
  <si>
    <t>Lin, ZK (corresponding author), Wenzhou Med Univ, Affiliated Hosp 2, Dept Orthopaed, Wenzhou Key Lab Perinatal Med, Wenzhou 325000, Zhejiang, Peoples R China.;Lin, ZK (corresponding author), Wenzhou Med Univ, Yuying Childrens Hosp, Wenzhou 325000, Zhejiang, Peoples R China.;Lin, ZK (corresponding author), Key Lab Orthopaed Zhejiang Prov, Wenzhou 325000, Zhejiang, Peoples R China.;Lin, ZK (corresponding author), Wenzhou Med Univ, Sch Med 2, Wenzhou 325000, Zhejiang, Peoples R China.</t>
  </si>
  <si>
    <t>zhongkelinspine@163.com</t>
  </si>
  <si>
    <t>Wenzhou Science and Technology Bureau Foundation [Y20180031]</t>
  </si>
  <si>
    <t>Wenzhou Science and Technology Bureau Foundation</t>
  </si>
  <si>
    <t>This study was supported by Wenzhou Science and Technology Bureau Foundation (Grant No. Y20180031).</t>
  </si>
  <si>
    <t>1749-8546</t>
  </si>
  <si>
    <t>CHIN MED-UK</t>
  </si>
  <si>
    <t>Chin. Med.</t>
  </si>
  <si>
    <t>10.1186/s13020-023-00824-7</t>
  </si>
  <si>
    <t>Integrative &amp; Complementary Medicine; Pharmacology &amp; Pharmacy</t>
  </si>
  <si>
    <t>R1FA8</t>
  </si>
  <si>
    <t>WOS:001061857500002</t>
  </si>
  <si>
    <t>Yang, HT; Tang, YC; Yu, WB; Li, XL; Zhang, P</t>
  </si>
  <si>
    <t>Yang, Hongtao; Tang, Yuchen; Yu, Weibo; Li, Xiulan; Zhang, Peng</t>
  </si>
  <si>
    <t>Robust pedestrian tracking in video sequences using an improved STF module</t>
  </si>
  <si>
    <t>Strong tracking filter; Multi-target tracking; Object tacking; Computer vision; Linear system</t>
  </si>
  <si>
    <t>Object tracking technology based on image processing has made great progress recently. Based on the track-by-detection framework, the tracking algorithms are often combined with deep neural networks to perform online target tracking. However, existing motion models assume linearity and are sensitive to sudden changes in trajectories due to occlusion, overlap, or other detection issues. In this paper, we modified the existing object tracking algorithms and introduced a strong tracking filter (STF) module to the track-by-detection framework for solving the sudden change problem of the target. The STF module is designed to have a strong ability to track sudden changes by orthogonalizing the residual sequence. When the trajectory of the target is stable, the STF module returns to the inactive state, behaving similarly to tracking algorithms that follow conventional linear models. Experimental results on a public pedestrian tracking dataset show that the proposed method improves tracking performance on various metrics, including the ability to rematch missed trajectories. Moreover, compared with existing algorithms, the proposed method exhibits strong stability under noisy conditions.</t>
  </si>
  <si>
    <t>[Yang, Hongtao; Tang, Yuchen; Yu, Weibo; Li, Xiulan] Changchun Univ Technol, Sch Elect &amp; Elect Engn, Yanan St, Changchun 130012, Jilin, Peoples R China; [Zhang, Peng] Daqing Petr Adm Co Ltd, Songyuan Equipment Mfg Branch, Hexie St, Songyuan 138000, Jilin, Peoples R China</t>
  </si>
  <si>
    <t>Changchun University of Technology</t>
  </si>
  <si>
    <t>Yu, WB (corresponding author), Changchun Univ Technol, Sch Elect &amp; Elect Engn, Yanan St, Changchun 130012, Jilin, Peoples R China.</t>
  </si>
  <si>
    <t>hongtao_3110594@126.com; cangzihan@gmail.com; yuweibo@ccut.edu.cn; 50979529@qq.com</t>
  </si>
  <si>
    <t>Science and Technology Research Project of the Education Department of Jilin Province [JJKH20210744KJ]; Jilin Province Science and Technology Development Plan Project [20200401118GX]</t>
  </si>
  <si>
    <t>Science and Technology Research Project of the Education Department of Jilin Province; Jilin Province Science and Technology Development Plan Project</t>
  </si>
  <si>
    <t>This research is supported by the Science and Technology Research Project of the Education Department of Jilin Province (JJKH20210744KJ) and Jilin Province Science and Technology Development Plan Project (20200401118GX). The funders had no role in study design, data collection and analysis, decision to publish, or preparation of the manuscript.</t>
  </si>
  <si>
    <t>10.1007/s40747-023-01224</t>
  </si>
  <si>
    <t>Q7WQ5</t>
  </si>
  <si>
    <t>WOS:001059595100001</t>
  </si>
  <si>
    <t>Zhan, GJ; Wei, TT; Xie, HC; Xie, XM; Hu, J; Tang, H; Cheng, YT; Liu, HF; Li, SJ; Yang, GH</t>
  </si>
  <si>
    <t>Zhan, Guangjie; Wei, Tiantian; Xie, Huichen; Xie, Xiaoming; Hu, Jun; Tang, Hao; Cheng, Yating; Liu, Huaifeng; Li, Shujing; Yang, Guohua</t>
  </si>
  <si>
    <t>Autophagy inhibition mediated by trillin promotes apoptosis in hepatocellular carcinoma cells via activation of mTOR/STAT3 signaling</t>
  </si>
  <si>
    <t>NAUNYN-SCHMIEDEBERGS ARCHIVES OF PHARMACOLOGY</t>
  </si>
  <si>
    <t>Trillin; Autophagy; Apoptosis; mTOR; Stat3; HCC</t>
  </si>
  <si>
    <t>CANCER; STAT3; CHEMOTHERAPY; CHLOROQUINE; SURVIVAL; MTOR; DRUG</t>
  </si>
  <si>
    <t>Apoptosis and autophagy have been shown to act cooperatively and antagonistically in self-elimination process. On the one side, apoptosis and autophagy can act as partners to induce cell death in a coordinated or cooperative manner; on the flip side, autophagy acts as an antagonist to block apoptotic cell death by promoting cell survival. Our previous research indicated that trillin could induce apoptosis of PLC/PRF/5 cells, but the effects of trillin on autophagy as well as its functional relationship to apoptosis have not been elucidated. Here, the running study aims to investigate the function and molecular mechanism of trillin on autophagy with hepatocellular carcinoma (HCC) cells. The objective of this study is to investigate the molecular mechanism of trillin on autophagy in HCC cells. Protein levels of autophagy markers beclin1, LC3B, and p62 were detected by western blotting. 6-Hydroxyflavone and stattic were used to test the role of trillin regulation of autophagy via serine threonine kinase (AKT)/extracellular-regulated protein kinases (ERK) 1/2/mammalian target of rapamycin (mTOR)/signal transducer and activator of transcription 3 (STAT3) signaling pathway. Flow cytometry was used to detect caspase 3 activity and apoptosis in PLC/PRF/5 cells treated with trillin for 24 h with or without rapamycin, stattic, and 6-hydroxyflavone. The protein level of autophagy marker beclin1 was decreased, whilst the protein level of p62 was significantly increased by trillin treatment, indicating trillin treatment led to inhibition of autophagy in HCC cells. Trillin treatment could reduce the protein levels of p-AKT and p-ERK1/2, but enhance the protein levels of mTOR and p-mTOR, suggesting that trillin could inhibit AKT/ERK rather than mTOR. The AKT/ERK activator 6-hydroxyflavone could reverse the loss of AKT and ERK1/2 phosphorylation induced by trillin, implying that trillin impairs autophagy through activated mTOR rather than AKT/ERK. STAT3 and p-STAT3 were significantly upregulated by the trillin treatment with an increase in dose from 0 to 50 &amp; mu;M, suggesting that autophagy inhibition is mediated by trillin via activation of STAT3 signaling. The STAT3 inhibitor stattic significantly reversed the increased STAT3 phosphorylation at tyrosine 705 induced by trillin. The mTOR signaling inhibitor rapamycin reversed the trillin-induced mTOR phosphorylation enhancement but exerted no effects on total mTOR levels, suggesting trillin treatment led to inhibition of autophagy in HCC cells through activating mTOR/STAT3 pathway. Furthermore, caspase 3 activities and the total rate of apoptosis were increased by trillin treatment, which was reversed by rapamycin, stattic, and 6-hydroxyflavone, proving that trillin promotes apoptosis via activation of mTOR/STAT3 signaling. Trillin induced autophagy inhibition and promoted apoptosis in PLC/PRF/5 cells via the activation of mTOR/STAT3 signaling. Trillin has the potential to be a viable therapeutic option for HCC treatment.</t>
  </si>
  <si>
    <t>[Zhan, Guangjie; Xie, Huichen] Hubei Minzu Univ, Med Sch, Hubei Prov Key Lab Occurrence &amp; Intervent Rheumat, Enshi 445000, Hubei, Peoples R China; [Wei, Tiantian; Xie, Xiaoming] Hubei Univ Med, Suizhou Hosp, Suizhou 441300, Hubei, Peoples R China; [Hu, Jun; Tang, Hao; Cheng, Yating; Yang, Guohua] Wuhan Univ, Demonstrat Ctr Expt Basic Med Educ, Sch Basic Med Sci, Dept Med Genet, Wuhan 430071, Hubei, Peoples R China; [Liu, Huaifeng; Li, Shujing] Bengbu Med Coll, Sch Life Sci, Bengbu 233030, Anhui, Peoples R China</t>
  </si>
  <si>
    <t>Hubei Minzu University; Hubei University of Medicine; Wuhan University; Bengbu Medical College</t>
  </si>
  <si>
    <t>Yang, GH (corresponding author), Wuhan Univ, Demonstrat Ctr Expt Basic Med Educ, Sch Basic Med Sci, Dept Med Genet, Wuhan 430071, Hubei, Peoples R China.;Li, SJ (corresponding author), Bengbu Med Coll, Sch Life Sci, Bengbu 233030, Anhui, Peoples R China.</t>
  </si>
  <si>
    <t>lishujing@bbmc.edu.cn; ghyang@whu.edu.cn</t>
  </si>
  <si>
    <t>Grant of National Natural Science Foundation of China [81660718, 31800996]; Project of Hubei Provincial Key Laboratory of Occurrence and Intervention of Rheumatic Diseases [PT022101]; Key Projects of University Excellent Young Talents Support Plan [gxyqZD 2018061]</t>
  </si>
  <si>
    <t>Grant of National Natural Science Foundation of China(National Natural Science Foundation of China (NSFC)); Project of Hubei Provincial Key Laboratory of Occurrence and Intervention of Rheumatic Diseases; Key Projects of University Excellent Young Talents Support Plan</t>
  </si>
  <si>
    <t>This work was supported by the Grant of National Natural Science Foundation of China (Grant No. 81660718; 31800996), the Project of Hubei Provincial Key Laboratory of Occurrence and Intervention of Rheumatic Diseases (PT022101), and Key Projects of University Excellent Young Talents Support Plan (gxyqZD 2018061).</t>
  </si>
  <si>
    <t>0028-1298</t>
  </si>
  <si>
    <t>1432-1912</t>
  </si>
  <si>
    <t>N-S ARCH PHARMACOL</t>
  </si>
  <si>
    <t>Naunyn-Schmiedebergs Arch. Pharmacol.</t>
  </si>
  <si>
    <t>10.1007/s00210-023-02700-5</t>
  </si>
  <si>
    <t>R4FY1</t>
  </si>
  <si>
    <t>WOS:001063932800001</t>
  </si>
  <si>
    <t>Bonnekoh, H; Krusche, M; Feist, E; Wagner, AD; Pankow, A</t>
  </si>
  <si>
    <t>Bonnekoh, Hanna; Krusche, Martin; Feist, Eugen; Wagner, Annette Doris; Pankow, Anne</t>
  </si>
  <si>
    <t>Autoinflammatory syndromes</t>
  </si>
  <si>
    <t>ZEITSCHRIFT FUR RHEUMATOLOGIE</t>
  </si>
  <si>
    <t>Autoinflammatory diseases; Familial Mediterranean fever; VEXAS; syndrome; Schnitzler syndrome; Still's disease; adult-onset</t>
  </si>
  <si>
    <t>FAMILIAL MEDITERRANEAN FEVER; ONSET STILLS-DISEASE; SCHNITZLER-SYNDROME; MUTANT UBA1; AMYLOIDOSIS; EFFICACY</t>
  </si>
  <si>
    <t>The concept of autoinflammation includes a heterogeneous group of monogenic and polygenic diseases. These are characterized by excessive activation of the innate immune system without antigen-specific T cells or autoantibodies. The diseases are characterized by periodic episodes of fever and increased inflammation parameters. Monogenic diseases include familial Mediterranean fever (FMF) and the newly described VEXAS (vacuoles, E1 enzyme, X-linked, autoinflammatory, somatic) syndrome. Heterogeneous diseases include adult-onset Still's disease and Schnitzler syndrome. Treatment is aimed at preventing the excessive inflammatory reaction in order to avoid long-term damage, such as amyloid A (AA) amyloidosis.</t>
  </si>
  <si>
    <t>[Bonnekoh, Hanna] Charite Univ Med Berlin, Inst Allergieforsch, Berlin, Germany; [Bonnekoh, Hanna] Fraunhofer Inst Translationale Med &amp; Pharmakol ITM, Allergol &amp; Immunol, Berlin, Germany; [Krusche, Martin] Univ klinikum Hamburg Eppendorf, Med Klin 3, Hamburg, Germany; [Krusche, Martin] Univ klinikum Hamburg Eppendorf, Poliklin Nephrol Rheumatol &amp; Endokrinol, Hamburg, Germany; [Feist, Eugen] Helios Fachklin Vogelsang Gommern, Klin Rheumatol, Gommern, Germany; [Wagner, Annette Doris; Pankow, Anne] Hannover Med Sch, Abt Nieren &amp; Hochdruckerkrankungen, Ambulanz Seltene Entzundl Systemerkrankungen Niere, Hannover, Germany; [Pankow, Anne] Charite Univ Med Berlin, Med Klin Schwerpunkt Rheumatol &amp; Klin Immunol, Berlin, Germany; [Pankow, Anne] Charite Univ Med Berlin, Med Klin Schwerpunkt Rheumatol &amp; Klin Immunol, Charite Pl 1, D-10117 Berlin, Germany</t>
  </si>
  <si>
    <t>Free University of Berlin; Humboldt University of Berlin; Charite Universitatsmedizin Berlin; University of Hamburg; University Medical Center Hamburg-Eppendorf; University of Hamburg; University Medical Center Hamburg-Eppendorf; Hannover Medical School; Free University of Berlin; Humboldt University of Berlin; Charite Universitatsmedizin Berlin; Free University of Berlin; Humboldt University of Berlin; Charite Universitatsmedizin Berlin</t>
  </si>
  <si>
    <t>Pankow, A (corresponding author), Charite Univ Med Berlin, Med Klin Schwerpunkt Rheumatol &amp; Klin Immunol, Charite Pl 1, D-10117 Berlin, Germany.</t>
  </si>
  <si>
    <t>anne.pankow@charite.de</t>
  </si>
  <si>
    <t>0340-1855</t>
  </si>
  <si>
    <t>1435-1250</t>
  </si>
  <si>
    <t>Z RHEUMATOL</t>
  </si>
  <si>
    <t>Z. Rheumatol.</t>
  </si>
  <si>
    <t>2023 SEP 6</t>
  </si>
  <si>
    <t>10.1007/s00393-023-01428-0</t>
  </si>
  <si>
    <t>R3BP3</t>
  </si>
  <si>
    <t>WOS:001063139000002</t>
  </si>
  <si>
    <t>Boonyawat, K; Phojanasenee, T; Noikongdee, P; Police, P; Chantrathammachart, P; Niparuck, P; Puavilai, T; Phuphuakrat, A; Angchaisuksiri, P</t>
  </si>
  <si>
    <t>Boonyawat, Kochawan; Phojanasenee, Tichayapa; Noikongdee, Phichchapha; Police, Pornnapa; Chantrathammachart, Pichika; Niparuck, Pimjai; Puavilai, Teeraya; Phuphuakrat, Angsana; Angchaisuksiri, Pantep</t>
  </si>
  <si>
    <t>Incidence of anti-platelet factor4/polyanionic antibodies, thrombocytopenia, and thrombosis after COVID-19 vaccination with ChAdOx1 nCoV-19 in Thais</t>
  </si>
  <si>
    <t>THROMBOSIS JOURNAL</t>
  </si>
  <si>
    <t>COVID-19 vaccines; Incidence; Anti-PF4/polyanionic antibodies; Thai</t>
  </si>
  <si>
    <t>BackgroundThe prevalence of anti-platelet factor 4 (PF4)/polyanionic antibodies occurring after vaccination with ChAdOx1 nCoV-19 is low. Most of these antibodies are not associated with vaccine-induced thrombotic thrombocytopenia. It remains unknown whether these antibodies are preexisting or occur as a result of vaccination. In this study, we demonstrated the incidence of anti-PF4/polyanionic antibodies, thrombocytopenia, and thrombosis after vaccination with ChAdOx1 nCoV-19 in a large cohort of Thais.MethodsWe conducted a prospective study in a cohort of health care workers and members of the general population who received COVID-19 vaccination with ChAdOx1 nCoV-19. Blood collection for complete blood count, D-dimer, and anti-PF4/polyanionic antibodies was performed before vaccination (day 0), day 10, and day 28 after vaccination. Anti-PF4/polyanionic antibodies were detected using enzyme-link immunosorbent assay (ELISA). Functional assay was performed for all positive ELISA tests.ResultsA total of 720 participants were included in the study. 214 participants received both the first and second doses, 91 participants received only the first, 51 received only the second, and 364 received the third booster dose of ChAdOx1 nCoV-19. Median age was 42 years (IQR, 34-53). 67% of participants were female. Three participants developed seroconversion, yielding an incidence of vaccination-induced anti-PF4/polyanionic antibodies of 0.42% (95% confidence interval 0.08, 1.23). Fourteen (1.9%) participants had preexisting anti-PF4/polyanionic antibodies before the vaccination but their optical density of anti-PF4/polyanionic antibodies did not significantly increase over time. None of the anti-PF4/polyanionic positive sera induced platelet aggregation. Abnormal D-dimer levels following vaccination were not different among the positive and negative anti-PF4/polyanionic groups (11.8% vs. 13.2%, p = 0.86). Thrombocytopenia occurred in one person with negative anti-PF4/polyanionic antibodies. No clinical thrombosis or bleeding occurred.ConclusionWe found a low incidence of seroconversion of anti-PF4/polyanionic antibodies after vaccination with ChAdOx1 nCoV-19 in Thais. Most of the anti-PF4/polyanionic antibodies were preexisting and did not significantly increase after vaccination with ChAdOx1 nCoV-19. Following vaccination, some participants with anti-PF4/polyanionic antibodies had elevated D-dimer levels, while only one developed thrombocytopenia and no thrombotic events were observed.</t>
  </si>
  <si>
    <t>[Boonyawat, Kochawan; Phojanasenee, Tichayapa; Noikongdee, Phichchapha; Police, Pornnapa; Chantrathammachart, Pichika; Niparuck, Pimjai; Puavilai, Teeraya; Phuphuakrat, Angsana; Angchaisuksiri, Pantep] Mahidol Univ, Ramathibodi Hosp, Fac Med, Dept Med, 270 Rama 6 Rd, Bangkok 10400, Thailand</t>
  </si>
  <si>
    <t>Mahidol University</t>
  </si>
  <si>
    <t>Angchaisuksiri, P (corresponding author), Mahidol Univ, Ramathibodi Hosp, Fac Med, Dept Med, 270 Rama 6 Rd, Bangkok 10400, Thailand.</t>
  </si>
  <si>
    <t>pantep.ang@mahidol.ac.th</t>
  </si>
  <si>
    <t>We thank Assistant Professor Kanlayanee Khupulsup, Department of Pathology, Faculty of Medicine, Ramathibodi Hospital, Mahidol University and all involved personnels who supported in collecting the specimen. We sincerely thank Professor Nigel Key (Universi; Program Management Unit for Competitiveness; Ramathibodi Foundation; Faculty of Medicine, Ramathibodi Hospital, Mahidol University, Bangkok, Thailand</t>
  </si>
  <si>
    <t>We thank Assistant Professor Kanlayanee Khupulsup, Department of Pathology, Faculty of Medicine, Ramathibodi Hospital, Mahidol University and all involved personnels who supported in collecting the specimen. We sincerely thank Professor Nigel Key (University of North Carolina) for reviewing the manuscript and offering comments. This study was supported by a medical research grant from the Program Management Unit for Competitiveness (PMU-C) of Thailand and the Ramathibodi Foundation, the Faculty of Medicine, Ramathibodi Hospital, Mahidol University, Bangkok, Thailand.</t>
  </si>
  <si>
    <t>1477-9560</t>
  </si>
  <si>
    <t>THROMB J</t>
  </si>
  <si>
    <t>Thromb. J.</t>
  </si>
  <si>
    <t>SEP 6</t>
  </si>
  <si>
    <t>10.1186/s12959-023-00533-z</t>
  </si>
  <si>
    <t>Hematology; Peripheral Vascular Disease</t>
  </si>
  <si>
    <t>Hematology; Cardiovascular System &amp; Cardiology</t>
  </si>
  <si>
    <t>R2PE5</t>
  </si>
  <si>
    <t>WOS:001062812000001</t>
  </si>
  <si>
    <t>Gali, D; Forcadell, E; Prime-Tous, M; Puig, O; Lera-Miguel, S</t>
  </si>
  <si>
    <t>Gali, Dafne; Forcadell, Eduard; Prime-Tous, Mireia; Puig, Olga; Lera-Miguel, Sara</t>
  </si>
  <si>
    <t>Cool Kids: Cognitive Behavioral Therapy in a Spanish Sample of Children and Adolescents with Anxiety Disorders</t>
  </si>
  <si>
    <t>CHILD PSYCHIATRY &amp; HUMAN DEVELOPMENT</t>
  </si>
  <si>
    <t>Anxiety; Cognitive behavioral therapy; Group therapy; Children; Adolescents</t>
  </si>
  <si>
    <t>PSYCHOMETRIC PROPERTIES; FOLLOW-UP; INTERVENTION; YOUTH</t>
  </si>
  <si>
    <t>Anxiety disorders (ADs) negatively impact functioning and life quality. Studies on cognitive behavioral therapy (CBT) have demonstrated its short- and long-term efficacy. Cool Kids (CK) is a 10-session CBT-based group program administered to participants with ADs aged 7-17 years and their parents, and it has demonstrated efficacy compared with control groups. This study analyzes the effectiveness of CK in a clinical cohort of Spanish children and adolescents with ADs. CK was offered to 57 patients with AD and their caregivers at the Hospital Clinic, Barcelona. In all global registered measures, the results demonstrated a reduction of symptoms and their interference in daily functioning. Moreover, a significant improvement was observed in participants who completed more sessions. Thus, CK reduced the severity of anxiety and its interference over individual and family functioning.</t>
  </si>
  <si>
    <t>[Gali, Dafne] Univ Barcelona, Barcelona, Spain; [Forcadell, Eduard; Prime-Tous, Mireia; Lera-Miguel, Sara] Univ Barcelona, Hosp Clin, Dept Child &amp; Adolescent Psychiat &amp; Psychol, Barcelona, Spain; [Puig, Olga] Hosp Clin Barcelona, CIBERSAM, Dept Child &amp; Adolescent Psychiat &amp; Psychol, IDIBAPS, Barcelona, Spain</t>
  </si>
  <si>
    <t>University of Barcelona; University of Barcelona; University of Barcelona; Hospital Clinic de Barcelona; IDIBAPS; CIBER - Centro de Investigacion Biomedica en Red; CIBERSAM</t>
  </si>
  <si>
    <t>Gali, D (corresponding author), Univ Barcelona, Barcelona, Spain.</t>
  </si>
  <si>
    <t>rapun.gali.dafne@gmail.com</t>
  </si>
  <si>
    <t>0009-398X</t>
  </si>
  <si>
    <t>1573-3327</t>
  </si>
  <si>
    <t>CHILD PSYCHIAT HUM D</t>
  </si>
  <si>
    <t>Child Psychiat. Hum. Dev.</t>
  </si>
  <si>
    <t>10.1007/s10578-023-01579</t>
  </si>
  <si>
    <t>Q7XY5</t>
  </si>
  <si>
    <t>WOS:001059629100001</t>
  </si>
  <si>
    <t>Guan, HX; Xie, C; Cao, YQ; Huang, PJ; Hou, DB; Zhang, GX</t>
  </si>
  <si>
    <t>Guan, Hanxiao; Xie, Chen; Cao, Yuqi; Huang, Pingjie; Hou, Dibo; Zhang, Guangxin</t>
  </si>
  <si>
    <t>Qualitative Identification of Sialic Acid Content Based on Terahertz Time-Domain Spectroscopy</t>
  </si>
  <si>
    <t>JOURNAL OF INFRARED MILLIMETER AND TERAHERTZ WAVES</t>
  </si>
  <si>
    <t>Terahertz time-domain spectroscopy; Sialic acid; Biomarker; Qualitative identification</t>
  </si>
  <si>
    <t>VARIATIONAL MODE DECOMPOSITION; MULTISCALE ENTROPY ANALYSIS; LIVER-INJURY; SERUM; BLOOD</t>
  </si>
  <si>
    <t>In this paper, we propose a discrimination model for abnormal sialic acid content using terahertz time and frequency-domain features of samples in an attempt to explore the significance of human serum sialic acid content in early cancer screening. Specifically, the time-domain spectral features were obtained by applying variational mode decomposition (VMD) for time-domain spectrum preprocessing and composite multi-scale entropy (CMSE) for feature extraction. The frequency-domain spectral features were acquired using principal component analysis (PCA). The model was then constructed on the basis of support vector machine (SVM). To verify the reliability of this discrimination model, we used three different concentrations of albumin solutions to simulate the serum environment in the human body and mixed them with sialic acid solutions of eight different concentrations. The results indicate that our discrimination model achieved an accuracy of 91.01% for the detection of abnormal sialic acid content. This study provides a foundation for the accurate quantitative detection of biomarkers in human serum.</t>
  </si>
  <si>
    <t>[Guan, Hanxiao; Xie, Chen; Cao, Yuqi; Huang, Pingjie; Hou, Dibo; Zhang, Guangxin] Zhejiang Univ, Coll Control Sci &amp; Engn, State Key Lab Ind Control Technol, Hangzhou 310027, Peoples R China</t>
  </si>
  <si>
    <t>Zhejiang University</t>
  </si>
  <si>
    <t>Cao, YQ (corresponding author), Zhejiang Univ, Coll Control Sci &amp; Engn, State Key Lab Ind Control Technol, Hangzhou 310027, Peoples R China.</t>
  </si>
  <si>
    <t>yuqicao1994@gmail.com</t>
  </si>
  <si>
    <t>National Natural Science Foundation of China [61873234]</t>
  </si>
  <si>
    <t>This work was supported in part by the National Natural Science Foundation of China under grant 61873234.</t>
  </si>
  <si>
    <t>1866-6892</t>
  </si>
  <si>
    <t>1866-6906</t>
  </si>
  <si>
    <t>J INFRARED MILLIM TE</t>
  </si>
  <si>
    <t>J. Infrared Millim. Terahertz Waves</t>
  </si>
  <si>
    <t>10.1007/s10762-023-00939</t>
  </si>
  <si>
    <t>Engineering, Electrical &amp; Electronic; Optics; Physics, Applied</t>
  </si>
  <si>
    <t>Engineering; Optics; Physics</t>
  </si>
  <si>
    <t>Q7WJ7</t>
  </si>
  <si>
    <t>WOS:001059588300001</t>
  </si>
  <si>
    <t>Huang, BJ; Ding, FF; Li, YM</t>
  </si>
  <si>
    <t>Huang, Binjie; Ding, Feifei; Li, Yumin</t>
  </si>
  <si>
    <t>A practical recurrence risk model based on Lasso-Cox regression for gastric cancer</t>
  </si>
  <si>
    <t>JOURNAL OF CANCER RESEARCH AND CLINICAL ONCOLOGY</t>
  </si>
  <si>
    <t>Gastric cancer; Recurrence risk; LASSO-Cox regression model; Nomogram</t>
  </si>
  <si>
    <t>RESECTION</t>
  </si>
  <si>
    <t>IntroductionGastric cancer remains huge cancer threat worldwide. Detecting the recurrence of gastric cancer after treatment is especially important in improving the prognosis of patients. We aim to fit different risk models with different clinical variables for patients with gastric cancer, which further provides applicable guidance to clinical doctors for their patients.MethodsWe collected the primary data from the medical record system in Lanzhou University Second Hospital and further cleaned the primary data via assessing data integrity artificially; meanwhile, detailed conclusion criteria and exclusion criteria were made. We used R software (version 4.1.3) and SPSS 25.0 to analyze data and build models, in which SPSS was used to analyze the correlation and difference of different items in the training set and testing set, and different R packages were used to run LASSO regression, Cox regression and nomogram for variable selection, model construction and model validation.ResultA total of 649 patients were included in our data analysis and model building. In LASSO regression selection, seven variables, pathological stage, tumor size, the number of total lymph nodes, the number of metastatic lymph nodes, intraoperative blood loss (IBL), the level of AFP and CA199, showed their correlation to the dependent variable. The multivariable Cox regression model fitted using these seven variables showed medium prediction ability, with an AUC of 0.840 in the training set and 0.756 in the testing set.ConclusionsPathological stage, tumor size, the number of total lymph nodes, the number of metastatic lymph nodes, IBL, the level of AFP and CA199 are significant in identifying recurrence risk for gastric cancer patients after radical gastrectomy.</t>
  </si>
  <si>
    <t>[Huang, Binjie; Ding, Feifei; Li, Yumin] Lanzhou Univ, Hosp 2, Dept Gen Surg, Lanzhou, Peoples R China; [Huang, Binjie; Ding, Feifei; Li, Yumin] Key Lab Digest Syst Tumors Gansu Prov, Lanzhou, Peoples R China; [Huang, Binjie; Ding, Feifei; Li, Yumin] Lanzhou Univ, Lanzhou, Peoples R China</t>
  </si>
  <si>
    <t>Lanzhou University; Lanzhou University</t>
  </si>
  <si>
    <t>Li, YM (corresponding author), Lanzhou Univ, Hosp 2, Dept Gen Surg, Lanzhou, Peoples R China.;Li, YM (corresponding author), Key Lab Digest Syst Tumors Gansu Prov, Lanzhou, Peoples R China.;Li, YM (corresponding author), Lanzhou Univ, Lanzhou, Peoples R China.</t>
  </si>
  <si>
    <t>liym@lzu.edu.cn</t>
  </si>
  <si>
    <t>Special Research Project of Lanzhou University Serving the Economic Social Development of Gansu Province [054000282]; Major Science and Technology Special Project of Gansu Province [20ZD7FA003]; Fundamental Research Funds for the Central Universities [lzujbky-2022-sp08]; Medical Innovation and Development Project of Lanzhou University [lzuyxcx-2022-154, lzuyxcx-2022-141]</t>
  </si>
  <si>
    <t>Special Research Project of Lanzhou University Serving the Economic Social Development of Gansu Province; Major Science and Technology Special Project of Gansu Province; Fundamental Research Funds for the Central Universities(Fundamental Research Funds for the Central Universities); Medical Innovation and Development Project of Lanzhou University</t>
  </si>
  <si>
    <t>This work was funded by Special Research Project of Lanzhou University Serving the Economic Social Development of Gansu Province (054000282), Major Science and Technology Special Project of Gansu Province (20ZD7FA003), Fundamental Research Funds for the Central Universities (lzujbky-2022-sp08); Medical Innovation and Development Project of Lanzhou University (lzuyxcx-2022-154, lzuyxcx-2022-141).</t>
  </si>
  <si>
    <t>0171-5216</t>
  </si>
  <si>
    <t>1432-1335</t>
  </si>
  <si>
    <t>J CANCER RES CLIN</t>
  </si>
  <si>
    <t>J. Cancer Res. Clin. Oncol.</t>
  </si>
  <si>
    <t>10.1007/s00432-023-05346-1</t>
  </si>
  <si>
    <t>R2QN1</t>
  </si>
  <si>
    <t>WOS:001062847400006</t>
  </si>
  <si>
    <t>Peng, LF</t>
  </si>
  <si>
    <t>Peng, Li-fan</t>
  </si>
  <si>
    <t>Sperm genetic abnormality testing in recurrent pregnancy loss cases: a narrative review</t>
  </si>
  <si>
    <t>MIDDLE EAST FERTILITY SOCIETY JOURNAL</t>
  </si>
  <si>
    <t>Sperm; Genetics; Recurrent pregnancy loss</t>
  </si>
  <si>
    <t>DNA FRAGMENTATION; SEMEN PARAMETERS; MALE PARTNERS; COUPLES; ANEUPLOIDY; MEN; INTEGRITY</t>
  </si>
  <si>
    <t>BackgroundRecurrent pregnancy loss (RPL), which mostly is of unknown etiology (unexplained RPL, uRPL), is defined as three or more consecutive spontaneous abortions. Recurrent pregnancy loss (RPL) is a problem affecting up to 5% of women of childbearing age due to many factors.ResultsThe underlying cause is complicated, and the etiology of over 50% of RPL patients is unclear. So far, studies on the etiology of RPL have focused on women, and little attention has been paid to the role of sperm in the development and progression of the disease. Many clinical studies have shown that sperm genetic material and embryonic development potential are closely related to pregnancy outcome. The formation and development of sperm, the combination of sperm and oocyte, and the implantation and development of fertilized oocyte are regulated by chromosome and genes. Because the genome of embryo is provided by sperm, the abnormality of sperm chromosome number and structure, sperm DNA integrity, gene mutation, and epigenetic abnormality may lead to RPL.ConclusionsThis article reviews the advances in the studies of the role of sperm genetic abnormalities in RPL, hoping to contribute to the prediction, diagnosis, and treatment of RPL in the future.</t>
  </si>
  <si>
    <t>[Peng, Li-fan] Sichuan Acad Med Sci, Ctr Reprod Med, 585 Hong He North Rd, Chengdu 610072, Peoples R China; [Peng, Li-fan] Sichuan Prov Peoples Hosp, 585 Hong He North Rd, Chengdu 610072, Peoples R China</t>
  </si>
  <si>
    <t>Sichuan Provincial People's Hospital; Sichuan Provincial People's Hospital</t>
  </si>
  <si>
    <t>Peng, LF (corresponding author), Sichuan Acad Med Sci, Ctr Reprod Med, 585 Hong He North Rd, Chengdu 610072, Peoples R China.;Peng, LF (corresponding author), Sichuan Prov Peoples Hosp, 585 Hong He North Rd, Chengdu 610072, Peoples R China.</t>
  </si>
  <si>
    <t>917611099@qq.com</t>
  </si>
  <si>
    <t>1110-5690</t>
  </si>
  <si>
    <t>2090-3251</t>
  </si>
  <si>
    <t>MIDDLE EAST FERTIL S</t>
  </si>
  <si>
    <t>Middle East Fertil. Soc. J.</t>
  </si>
  <si>
    <t>10.1186/s43043-023-00149-3</t>
  </si>
  <si>
    <t>Q9SC2</t>
  </si>
  <si>
    <t>WOS:001060832100001</t>
  </si>
  <si>
    <t>Roch, PJ; Noisser, L; Boker, KO; Hoffmann, DB; Schilling, AF; Sehmisch, S; Komrakova, M</t>
  </si>
  <si>
    <t>Roch, P. J.; Noisser, L.; Boeker, K. O.; Hoffmann, D. B.; Schilling, A. F.; Sehmisch, S.; Komrakova, M.</t>
  </si>
  <si>
    <t>Advantage of ostarine over raloxifene and their combined treatments for muscle of estrogen-deficient rats</t>
  </si>
  <si>
    <t>JOURNAL OF ENDOCRINOLOGICAL INVESTIGATION</t>
  </si>
  <si>
    <t>Ovariectomized rat model; Selective androgen receptor modulators (SARMs); Selective estrogen receptor modulators (SERMs); Muscle; Bone</t>
  </si>
  <si>
    <t>ANDROGEN RECEPTOR MODULATORS; FIBER-TYPE COMPOSITION; PREVENTS BONE LOSS; SKELETAL-MUSCLE; POSTMENOPAUSAL WOMEN; DOUBLE-BLIND; PHYSICAL FUNCTION; BODY-COMPOSITION; TESTOSTERONE; STRENGTH</t>
  </si>
  <si>
    <t>PurposeSelective androgen (ostarine, OST) and estrogen (raloxifene, RAL) receptor modulators with improved tissue selectivity have been developed as alternatives to hormone replacement therapy. We investigated the combined effects of OST and RAL on muscle tissue in an estrogen-deficient rat model of postmenopausal conditions.MethodsThree-month-old Sprague Dawley rats were divided into groups: (1) untreated non-ovariectomized rats (Non-OVX), (2) untreated ovariectomized rats (OVX), (3) OVX rats treated with OST, (4) OVX rats treated with RAL, (5) OVX rats treated with OST and RAL. Both compounds were administered in the diet. The average dose received was 0.6 &amp; PLUSMN; 0.1 mg for OST and 11.1 &amp; PLUSMN; 1.2 mg for RAL per kg body weight/day. After thirteen weeks, rat activity, muscle weight, structure, gene expression, and serum markers were analyzed.ResultsOST increased muscle weight, capillary ratio, insulin-like growth factor 1 (Igf-1) expression, serum phosphorus, uterine weight. RAL decreased muscle weight, capillary ratio, food intake, serum calcium and increased Igf-1 and Myostatin expression, serum follicle stimulating hormone (FSH). OST + RAL increased muscle nucleus ratio, uterine weight, serum phosphorus, FSH and luteinizing hormone and decreased body and muscle weight, serum calcium. Neither treatment changed muscle fiber size. OVX increased body and muscle weight, decreased uterine weight, serum calcium and magnesium.ConclusionOST had beneficial effects on muscle in OVX rats. Side effects of OST on the uterus and serum electrolytes should be considered before using it for therapeutic purposes. RAL and RAL + OST had less effect on muscle and showed endocrinological side effects on pituitary-gonadal axis.</t>
  </si>
  <si>
    <t>[Roch, P. J.; Noisser, L.; Boeker, K. O.; Hoffmann, D. B.; Schilling, A. F.; Sehmisch, S.; Komrakova, M.] Univ Gottingen, Dept Trauma Surg Plast &amp; Reconstruct Surg, Robert Koch Str 40, D-37075 Gottingen, Germany; [Sehmisch, S.] Leibniz Univ Hannover, Hannover Med Sch, Dept Trauma Surg, Carl Neuberg Str 1, D-30625 Hannover, Germany</t>
  </si>
  <si>
    <t>University of Gottingen; Hannover Medical School; Leibniz University Hannover</t>
  </si>
  <si>
    <t>Roch, PJ (corresponding author), Univ Gottingen, Dept Trauma Surg Plast &amp; Reconstruct Surg, Robert Koch Str 40, D-37075 Gottingen, Germany.</t>
  </si>
  <si>
    <t>jonathan.roch@med.uni-goettingen.de; l.noisser@stud.uni-goettingen.com; kai.boeker@med.uni-goettingen.de; daniel.hoffmann@med.uni-goettingen.de; arndt.schilling@med.uni-goettingen.de; stephan.sehmisch@mh-hannover.de; marina.komrakova@med.uni-goettingen.de</t>
  </si>
  <si>
    <t>The authors are grateful to their colleagues, R. Wigger, R. Castro-Machguth, and K. Hannke for their technical support.</t>
  </si>
  <si>
    <t>0391-4097</t>
  </si>
  <si>
    <t>1720-8386</t>
  </si>
  <si>
    <t>J ENDOCRINOL INVEST</t>
  </si>
  <si>
    <t>J. Endocrinol. Invest.</t>
  </si>
  <si>
    <t>10.1007/s40618-023-02188</t>
  </si>
  <si>
    <t>Q7XR4</t>
  </si>
  <si>
    <t>WOS:001059622000001</t>
  </si>
  <si>
    <t>Roy, JM; Rumalla, K; Skandalakis, GP; Kazim, SF; Schmidt, MH; Bowers, CA</t>
  </si>
  <si>
    <t>Roy, Joanna M.; Rumalla, Kavelin; Skandalakis, Georgios P.; Kazim, Syed Faraz; Schmidt, Meic H.; Bowers, Christian A.</t>
  </si>
  <si>
    <t>Failure to rescue as a patient safety indicator for neurosurgical patients: are we there yet? A systematic review</t>
  </si>
  <si>
    <t>NEUROSURGICAL REVIEW</t>
  </si>
  <si>
    <t>Frailty; Failure to rescue; Outcomes research; Patient safety indicator-04; Quality improvement</t>
  </si>
  <si>
    <t>TO-RESCUE; MORTALITY; SURGERY; RISK; FRAILTY; CARE</t>
  </si>
  <si>
    <t>Failure to rescue (FTR) is a standardized patient safety indicator (PSI-04) developed by the Agency for Healthcare Research and Quality (AHRQ) to assess the ability of a healthcare team to prevent mortality following a major complication. However, FTR rates vary and are impacted by non-modifiable individual patient characteristics such as baseline frailty. This raises concerns regarding the validity of FTR as an objective quality metric, as not all patients have the same baseline frailty level, or physiological reserve, to recover from major complications. Literature from other surgical specialties has identified flaws in FTR and called for risk-adjusted metrics. Currently, knowledge of factors influencing FTR and its subsequent implementation in neurosurgical patients are limited. The present review assesses trends in FTR utilization to assess how FTR performs as an objective neurosurgery quality metric. This review then proposes how FTR may be best modified to optimize use in neurosurgical patients. A PubMed search was performed to identify articles published until August 9, 2023. Studies that reported FTR as an outcome in patients undergoing neurosurgical procedures were included. A qualitative assessment was performed using the Newcastle Ottawa Scale (NOS). The initial search revealed 1232 citations. After a title and abstract screen, followed by a full text screen, 12 studies met criteria for inclusion. These articles measured FTR across a total of 764,349 patients undergoing neurosurgical procedures. Five studies analyzed FTR with regard to hospital characteristics, and three studies utilized patient characteristics to predict FTR. All studies were considered high quality based on the NOS. Modifications in criteria to measure FTR are necessary since FTR depends on patient characteristics like frailty. This would allow for the incorporation of risk-adjusted FTR metrics that would aid in clinical decision making in neurosurgical patients.</t>
  </si>
  <si>
    <t>[Roy, Joanna M.] Topiwalla Natl Med Coll, Mumbai, India; [Roy, Joanna M.; Schmidt, Meic H.; Bowers, Christian A.] Bowers Neurosurg Frailty &amp; Outcomes Data Sci Lab, Albuquerque, NM 87131 USA; [Rumalla, Kavelin; Skandalakis, Georgios P.; Kazim, Syed Faraz; Schmidt, Meic H.; Bowers, Christian A.] 1 Univ New Mexico, Univ New Mexico Hosp UNMH, Dept Neurosurg, MSC10 5615, Albuquerque, NM 87131 USA; [Bowers, Christian A.] 1 Univ New Mexico, Hlth Sci Ctr, Dept Neurosurg, MSC10 5615, Albuquerque, NM 81731 USA</t>
  </si>
  <si>
    <t>Topiwala National Medical College &amp; B Y L Nair Charitable Hospital; University of New Mexico; University of New Mexico</t>
  </si>
  <si>
    <t>Bowers, CA (corresponding author), Bowers Neurosurg Frailty &amp; Outcomes Data Sci Lab, Albuquerque, NM 87131 USA.;Bowers, CA (corresponding author), 1 Univ New Mexico, Univ New Mexico Hosp UNMH, Dept Neurosurg, MSC10 5615, Albuquerque, NM 87131 USA.;Bowers, CA (corresponding author), 1 Univ New Mexico, Hlth Sci Ctr, Dept Neurosurg, MSC10 5615, Albuquerque, NM 81731 USA.</t>
  </si>
  <si>
    <t>christianbowers4@gmail.com</t>
  </si>
  <si>
    <t>0344-5607</t>
  </si>
  <si>
    <t>1437-2320</t>
  </si>
  <si>
    <t>NEUROSURG REV</t>
  </si>
  <si>
    <t>Neurosurg. Rev.</t>
  </si>
  <si>
    <t>10.1007/s10143-023-02137-7</t>
  </si>
  <si>
    <t>R0NP8</t>
  </si>
  <si>
    <t>WOS:001061398700002</t>
  </si>
  <si>
    <t>Seto, A; Pass, A; Babkowski, R; Volpicelli, ER; Cheng, ZD; Pass, HA</t>
  </si>
  <si>
    <t>Seto, Andrew; Pass, Alexandra; Babkowski, Robert; Volpicelli, Elgida R.; Cheng, Zandra; Pass, Helen A.</t>
  </si>
  <si>
    <t>ASO Author Reflections: Standardized Mastectomy Diagrams Improve the Accuracy and Timeliness of Pathology Reports</t>
  </si>
  <si>
    <t>ANNALS OF SURGICAL ONCOLOGY</t>
  </si>
  <si>
    <t>RATES</t>
  </si>
  <si>
    <t>[Seto, Andrew; Pass, Alexandra; Cheng, Zandra; Pass, Helen A.] Stamford Hosp, Dept Surg, Stamford, CT 06902 USA; [Seto, Andrew] Columbia Univ, Vagelos Coll Phys &amp; Surg, New York, NY 10027 USA; [Pass, Alexandra] NYU, Grossman Sch Med, New York, NY USA; [Babkowski, Robert; Volpicelli, Elgida R.] Stamford Hosp, Dept Pathol, Stamford, CT USA</t>
  </si>
  <si>
    <t>Stamford Hospital; Columbia University; New York University; Stamford Hospital</t>
  </si>
  <si>
    <t>Seto, A (corresponding author), Stamford Hosp, Dept Surg, Stamford, CT 06902 USA.;Seto, A (corresponding author), Columbia Univ, Vagelos Coll Phys &amp; Surg, New York, NY 10027 USA.</t>
  </si>
  <si>
    <t>aseto@stamhealth.org</t>
  </si>
  <si>
    <t>1068-9265</t>
  </si>
  <si>
    <t>1534-4681</t>
  </si>
  <si>
    <t>ANN SURG ONCOL</t>
  </si>
  <si>
    <t>Ann. Surg. Oncol.</t>
  </si>
  <si>
    <t>10.1245/s10434-023-14263</t>
  </si>
  <si>
    <t>Oncology; Surgery</t>
  </si>
  <si>
    <t>R3AW2</t>
  </si>
  <si>
    <t>WOS:001063119700004</t>
  </si>
  <si>
    <t>Shiozaki, A; Inoue, H; Otsuji, E</t>
  </si>
  <si>
    <t>Shiozaki, Atsushi; Inoue, Hiroyuki; Otsuji, Eigo</t>
  </si>
  <si>
    <t>ASO Author Reflections: Cancer Stem Cells of Esophageal Adenocarcinoma are Suppressed by Inhibitors of TRPV2 and SLC12A2</t>
  </si>
  <si>
    <t>[Shiozaki, Atsushi; Inoue, Hiroyuki; Otsuji, Eigo] Kyoto Prefectural Univ Med, Dept Surg, Div Digest Surg, Kyoto, Japan</t>
  </si>
  <si>
    <t>Kyoto Prefectural University of Medicine</t>
  </si>
  <si>
    <t>Shiozaki, A (corresponding author), Kyoto Prefectural Univ Med, Dept Surg, Div Digest Surg, Kyoto, Japan.</t>
  </si>
  <si>
    <t>shiozaki@koto.kpu-m.ac.jp</t>
  </si>
  <si>
    <t>Shiozaki, Atsushi/0000-0003-3739-160X</t>
  </si>
  <si>
    <t>10.1245/s10434-023-14269-7</t>
  </si>
  <si>
    <t>WOS:001063119700002</t>
  </si>
  <si>
    <t>Villanthenkodath, MA; Ansari, MA</t>
  </si>
  <si>
    <t>Villanthenkodath, Muhammed Ashiq; Ansari, Mohd Arshad</t>
  </si>
  <si>
    <t>Nexus Between Indian Economic Growth and Remittance Inflows: A Non-linear ARDL Approach</t>
  </si>
  <si>
    <t>ASIA-PACIFIC FINANCIAL MARKETS</t>
  </si>
  <si>
    <t>Economic growth; Remittance inflows; NARDL; India; Official exchange rate; Export growth</t>
  </si>
  <si>
    <t>TIME-SERIES; UNIT-ROOT; EXPORT</t>
  </si>
  <si>
    <t>This study examines the empirical link between remittance inflows and India's economic growth, particularly emphasizing the association's asymmetries as the prior studies were neglected. Therefore, it formulated a growth function that assesses the non-linear influence of the remittance inflows on economic growth by endogenizing the gross fixed capital formation, official exchange rate, and export growth. Relying on the annual time series data for India, the work uses the Non-Linear Auto-Regressive Distribution Lag (NARDL) model to expose the non-linear influence of the remittance inflows on economic growth by controlling the gross fixed capital formation, official exchange rate, and export growth for the period ranges from 1975 to 2021. The outcomes show the presence of the long-run relationship among the variables vector. Further, the results indicate an asymmetric impact of remittance inflows on economic growth both in the long run and short run. Moreover, the findings reveal a rise in the remittance inflows leads to an increase in economic growth, whereas a fall in the remittance inflows ends up in a reduction of economic growth. Additionally, the outcomes show a negative and significant impact of gross fixed capital formation and official exchange rate on economic growth in the long run. It also observed an insignificant negative influence of export growth on the specified growth model.</t>
  </si>
  <si>
    <t>[Villanthenkodath, Muhammed Ashiq] Indian Inst Management Bodh Gaya IIM Bodh Gaya, Dept Econ &amp; Business Environm, Bodh Gaya 824234, Bihar, India; [Ansari, Mohd Arshad] GITAM Deemed Univ, Sch Humanities &amp; Social Sci, Dept Econ, Hyderabad 502329, Telangana, India</t>
  </si>
  <si>
    <t>Gandhi Institute of Technology &amp; Management (GITAM)</t>
  </si>
  <si>
    <t>Villanthenkodath, MA (corresponding author), Indian Inst Management Bodh Gaya IIM Bodh Gaya, Dept Econ &amp; Business Environm, Bodh Gaya 824234, Bihar, India.</t>
  </si>
  <si>
    <t>muhammedashiqv55@gmail.com; phd7895@gmail.com</t>
  </si>
  <si>
    <t>1387-2834</t>
  </si>
  <si>
    <t>1573-6946</t>
  </si>
  <si>
    <t>ASIA-PAC FINANC MARK</t>
  </si>
  <si>
    <t>Asia-Pac. Financ. Mark.</t>
  </si>
  <si>
    <t>10.1007/s10690-023-09423</t>
  </si>
  <si>
    <t>Q7XD0</t>
  </si>
  <si>
    <t>WOS:001059607600001</t>
  </si>
  <si>
    <t>Yeo, JJP; Yeo, LS; Tan, SSN; Delailah, DDRA; Lee, SWH; Hu, ATH; Foo, DHP; Sahiran, F; Yap, IKS; Fong, AYY</t>
  </si>
  <si>
    <t>Yeo, John Jui Ping; Yeo, Leh Siang; Tan, Shirley Siang Ning; Delailah, Dayang Diana Rozana Aini; Lee, Shaun Wen Huey; Hu, Anna Ting Huey; Foo, Diana Hui Ping; Sahiran, Faiz; Yap, Ivan Kok Seng; Fong, Alan Yean Yip</t>
  </si>
  <si>
    <t>Prevalence of true resistant hypertension in those referred for uncontrolled hypertension in Malaysia: A comparison using different definitions</t>
  </si>
  <si>
    <t>Resistant hypertension; Prevalence; Malaysia; Refractory hypertension</t>
  </si>
  <si>
    <t>Resistant hypertension is a well-recognised clinical challenge. However, the definition and epidemiology of true resistant hypertension (RH) are less understood, especially in Asia. This cross-sectional study examined the prevalence of RH referred from primary care clinics based on various guidelines. RH was defined as blood pressure (BP) being above the threshold using ambulatory blood pressure monitoring despite adequate lifestyle measures and optimal treatment with &amp; GE;3 medications at maximally tolerated doses. Between one in four (n = 94, 24.0% using Malaysian guidelines) and up to two-thirds (n = 249, 63.7% using 2018 American guidelines) of adults referred for uncontrolled hypertension met the criteria of true RH. Of those with RH, a further one-quarter (n = 26, 26.6%) were deemed to have refractory hypertension (elevated BP despite treatment with at least 5 antihypertensive medications). Adults with RH were generally younger, more likely to be male, had a higher BMI and were more likely to have gout, CKD, and angina compared to those with controlled hypertension. The prevalence of RH amongst Asian adults with poor hypertension control is high. A concerted effort is needed to reduce the high burden of RH, especially among this population.</t>
  </si>
  <si>
    <t>[Yeo, John Jui Ping; Yeo, Leh Siang; Tan, Shirley Siang Ning; Delailah, Dayang Diana Rozana Aini; Hu, Anna Ting Huey; Foo, Diana Hui Ping; Fong, Alan Yean Yip] Sarawak Gen Hosp, Inst Clin Res, Clin Res Ctr, Kuching, Malaysia; [Lee, Shaun Wen Huey] Monash Univ Malaysia, Subang Jaya, Selangor, Malaysia; [Sahiran, Faiz] Minist Hlth Malaysia, Klin Kesihatan Petra Jaya, Sarawak, Malaysia; [Yap, Ivan Kok Seng] Sarawak Res &amp; Dev Council, Kuching, Malaysia; [Fong, Alan Yean Yip] Sarawak Heart Ctr, Dept Cardiol, Kota Samarahan, Malaysia</t>
  </si>
  <si>
    <t>Monash University; Monash University Sunway; Kementerian Kesihatan Malaysia</t>
  </si>
  <si>
    <t>Fong, AYY (corresponding author), Sarawak Gen Hosp, Inst Clin Res, Clin Res Ctr, Kuching, Malaysia.;Fong, AYY (corresponding author), Sarawak Heart Ctr, Dept Cardiol, Kota Samarahan, Malaysia.</t>
  </si>
  <si>
    <t>alanfong@crc.gov.my</t>
  </si>
  <si>
    <t>The authors wish to thank Ang KL, Lim SR, Lee V, Lai YLC, Chieng MCH, Lim SH, Yunos NE, Parveen R and staff from Clinical Research Center, Sarawak General Hospital and all primary care facilities who were involved in the study. The authors would like to th</t>
  </si>
  <si>
    <t>The authors wish to thank Ang KL, Lim SR, Lee V, Lai YLC, Chieng MCH, Lim SH, Yunos NE, Parveen R and staff from Clinical Research Center, Sarawak General Hospital and all primary care facilities who were involved in the study. The authors would like to thank the Director General of Health Malaysia for permission to publish this manuscript.</t>
  </si>
  <si>
    <t>10.1038/s41440-023-01418-4</t>
  </si>
  <si>
    <t>R3AT9</t>
  </si>
  <si>
    <t>WOS:001063117400001</t>
  </si>
  <si>
    <t>Zhang, C; Lv, WY; Zhang, P; Song, JC</t>
  </si>
  <si>
    <t>Zhang, Ce; Lv, Wangyong; Zhang, Ping; Song, Jiacheng</t>
  </si>
  <si>
    <t>Multidimensional spatial autocorrelation analysis and it's application based on improved Moran's I</t>
  </si>
  <si>
    <t>Improved spatial Moran's I; Expanded spatial weight matrix; Moran's I matrix; Monte Carlo simulation; Wishart distribution; Comprehensive evaluation</t>
  </si>
  <si>
    <t>LOCAL INDICATORS; IDENTIFICATION; ASSOCIATION; BOOTSTRAP; CITY</t>
  </si>
  <si>
    <t>This paper aims to improve and extend the improved spatial Moran's I theory by analyzing multi-observation samples. By constructing an expanded spatial weight matrix, a vector definition of the improved spatial Moran's I is given. In order to improve the judgment basis of the improved spatial Moran's I, the range of the improved spatial Moran's I is derived using the non-negativity of variance. Since the improved Moran's I is only applicable to the analysis of a single variable with unknown distribution, a Moran's I matrix suitable for analyzing the spatial autocorrelation of multiple variables is proposed. The distribution of the elements of the Moran's I matrix is studied by Monte Carlo simulation. The simulation results show that only the elements on the non-main diagonal follow a normal distribution when the sample size is small. Any element follows a normal distribution when the sample size is large. Then it is proved that the Moran's I matrix follows a Wishart distribution when the spatial weight matrix is a positive definite matrix. Finally, several comprehensive evaluation indicators suitable for the theory of multivariate spatial autocorrelation are proposed based on the algebraic meaning of the Moran's I matrix. Spatial autocorrelation analysis is carried out in combination with multi-dimensional air pollution data.</t>
  </si>
  <si>
    <t>[Zhang, Ce; Lv, Wangyong; Zhang, Ping; Song, Jiacheng] Sichuan Normal Univ, Sch Math Sci, Chengdu 610066, Peoples R China</t>
  </si>
  <si>
    <t>Sichuan Normal University</t>
  </si>
  <si>
    <t>Lv, WY (corresponding author), Sichuan Normal Univ, Sch Math Sci, Chengdu 610066, Peoples R China.</t>
  </si>
  <si>
    <t>1574422947@qq.com; lvwangyong@sicnu.edu.cn</t>
  </si>
  <si>
    <t>10.1007/s12145-023-01090-9</t>
  </si>
  <si>
    <t>Q7XE9</t>
  </si>
  <si>
    <t>WOS:001059609500001</t>
  </si>
  <si>
    <t>Aslam, MM; Fan, KH; Lawrence, E; Bedison, MA; Snitz, BE; Dekosky, ST; Lopez, OL; Feingold, E; Kamboh, MI</t>
  </si>
  <si>
    <t>Aslam, M. Muaaz; Fan, Kang-Hsien; Lawrence, Elizabeth; Bedison, Margaret Anne; Snitz, Beth E.; Dekosky, Steven T.; Lopez, Oscar L.; Feingold, Eleanor; Kamboh, M. Ilyas</t>
  </si>
  <si>
    <t>Genome-wide analysis identifies novel loci influencing plasma apolipoprotein E concentration and Alzheimer's disease risk</t>
  </si>
  <si>
    <t>MOLECULAR PSYCHIATRY</t>
  </si>
  <si>
    <t>GINKGO-BILOBA; E GENOTYPE; A-BETA; APOE; ASSOCIATION; DEMENTIA; GENE; POLYMORPHISMS; POPULATION; INSIGHTS</t>
  </si>
  <si>
    <t>The APOE 2/3/4 polymorphism is the greatest genetic risk factor for Alzheimer's disease (AD). This polymorphism is also associated with variation in plasma ApoE level; while APOE*4 lowers, APOE*2 increases ApoE level. Lower plasma ApoE level has also been suggested to be a risk factor for incident dementia. To our knowledge, no large genome-wide association study (GWAS) has been reported on plasma ApoE level. This study aimed to identify new genetic variants affecting plasma ApoE level as well as to test if baseline ApoE level is associated with cognitive function and incident dementia in a longitudinally followed cohort of the Ginkgo Evaluation of Memory (GEM) study. Baseline plasma ApoE concentration was measured in 3031 participants (95.4% European Americans (EAs)). GWAS analysis was performed on 2580 self-identified EAs where both genotype and plasma ApoE data were available. Lower ApoE concentration was associated with worse cognitive function, but not with incident dementia. As expected, the risk for AD increased from E2/2 through to E4/4 genotypes (P for trend = 4.8E-75). In addition to confirming the expected and opposite associations of APOE*2 (P = 4.73E-79) and APOE*4 (P = 8.73E-12) with ApoE level, GWAS analysis revealed nine additional independent signals in the APOE region, and together they explained about 22% of the variance in plasma ApoE level. We also identified seven new loci on chromosomes 1, 4, 5, 7, 11, 12 and 20 (P range = 5.49E-08 to 5.36E-10) that explained about 9% of the variance in ApoE level. Plasma ApoE level-associated independent variants, especially in the APOE region, were also associated with AD risk and amyloid deposition in the brain, indicating that genetically determined ApoE level variation may be a risk factor for developing AD. These results improve our understanding of the genetic determinants of plasma ApoE level and their potential value in affecting AD risk.</t>
  </si>
  <si>
    <t>[Aslam, M. Muaaz; Fan, Kang-Hsien; Lawrence, Elizabeth; Bedison, Margaret Anne; Feingold, Eleanor; Kamboh, M. Ilyas] Univ Pittsburgh, Sch Publ Hlth, Dept Human Genet, Pittsburgh, PA 15260 USA; [Snitz, Beth E.; Lopez, Oscar L.] Univ Pittsburgh, Sch Med, Dept Neurol, Pittsburgh, PA USA; [Dekosky, Steven T.] Univ Florida, McKnight Brain Inst, Coll Med, Gainesville, FL USA; [Dekosky, Steven T.] Univ Florida, Dept Neurol, Coll Med, Gainesville, FL USA</t>
  </si>
  <si>
    <t>Pennsylvania Commonwealth System of Higher Education (PCSHE); University of Pittsburgh; Pennsylvania Commonwealth System of Higher Education (PCSHE); University of Pittsburgh; State University System of Florida; University of Florida; State University System of Florida; University of Florida</t>
  </si>
  <si>
    <t>Kamboh, MI (corresponding author), Univ Pittsburgh, Sch Publ Hlth, Dept Human Genet, Pittsburgh, PA 15260 USA.</t>
  </si>
  <si>
    <t>kamboh@pitt.edu</t>
  </si>
  <si>
    <t>lopez, oscar/0000-0002-8546-8256</t>
  </si>
  <si>
    <t>NIH [R01AG064877, R01AG041718, R01AG030653, P30AG066468]; NIA [U24 AG021886]; National Center for Complementary and Alternative Medicine, National Institutes of Health [U01 AT000162]</t>
  </si>
  <si>
    <t>NIH(United States Department of Health &amp; Human ServicesNational Institutes of Health (NIH) - USA); NIA(United States Department of Health &amp; Human ServicesNational Institutes of Health (NIH) - USANIH National Institute on Aging (NIA)); National Center for Complementary and Alternative Medicine, National Institutes of Health(United States Department of Health &amp; Human ServicesNational Institutes of Health (NIH) - USANIH National Center for Complementary &amp; Alternative Medicine)</t>
  </si>
  <si>
    <t>&amp; nbsp;The study was supported in part by NIH grants R01AG064877, R01AG041718, R01AG030653, and P30AG066468. A subset of samples used in this study was obtained from the National Centralized Repository for Alzheimer's Disease and Related Dementia (NCRAD), which receives government support under a cooperative agreement grant (U24 AG021886) awarded by the NIA. We thank contributors who collected samples used in this study, as well as patients and their families, whose help and participation made this work possible. This publication was made possible by Grant Number U01 AT000162 from the National Center for Complementary and Alternative Medicine, National Institutes of Health.</t>
  </si>
  <si>
    <t>1359-4184</t>
  </si>
  <si>
    <t>1476-5578</t>
  </si>
  <si>
    <t>MOL PSYCHIATR</t>
  </si>
  <si>
    <t>Mol. Psychiatr.</t>
  </si>
  <si>
    <t>2023 SEP 5</t>
  </si>
  <si>
    <t>10.1038/s41380-023-02170-4</t>
  </si>
  <si>
    <t>Biochemistry &amp; Molecular Biology; Neurosciences; Psychiatry</t>
  </si>
  <si>
    <t>Biochemistry &amp; Molecular Biology; Neurosciences &amp; Neurology; Psychiatry</t>
  </si>
  <si>
    <t>Q5YU9</t>
  </si>
  <si>
    <t>WOS:001058285800001</t>
  </si>
  <si>
    <t>Das, AV; Satyashree, G; Joseph, J; Bagga, B</t>
  </si>
  <si>
    <t>Das, Anthony Vipin; Satyashree, Gagan; Joseph, Joveeta; Bagga, Bhupesh</t>
  </si>
  <si>
    <t>Herpes simplex virus keratitis: electronic medical records driven big data analytics report from a tertiary eye institute of South India</t>
  </si>
  <si>
    <t>INTERNATIONAL OPHTHALMOLOGY</t>
  </si>
  <si>
    <t>HSV keratitis; Electronic medical records; Big data; India</t>
  </si>
  <si>
    <t>POLYMERASE-CHAIN-REACTION; CLINICAL-FEATURES; DISEASE; EPIDEMIOLOGY; PREVENTION; EXPERIENCE; INFECTION; DIAGNOSIS</t>
  </si>
  <si>
    <t>Objective To describe the demographics and clinical profile of Herpes Simplex Virus (HSV) Keratitis in patients presenting to a multi-tier ophthalmology hospital network in South India.Methods We have reviewed the medical records of all patients having a clinical diagnosis of any form of HSV keratitis, seen between May 2012 and August 2020 across the L V Prasad Eye Institute network.All the further analyses of the groups were performed using the keywords used for making the diagnosis of HSV keratitis and the data were collected from the electronic medical record system.Results There were a total of 8308 (N = 8897 eyes) patients. Male: female ratio was 5368 (64.61%):2940 (35.39%). Unilateral involvement was in 7719 (92.91%) patients. The most common age group affected was between the third to fifth decades of life with 1544 (18.58%). 3708 (1.68%) eyes had mild visual impairment (&lt; 20/70) while the rest of them had moderate to severe visual impairment as observed mainly (p = 0.01) in Necrotizing stromal keratitis. 7314 (82.21%) eyes had normal intraocular pressure (10-21 mm Hg) while raised most commonly in keratouveitis (P = 0.01). Epithelial Keratitis, Immune Stromal Keratitis, Endotheliitis, Neurotrophic keratopathy and Keratouveitis were observed in 1875 (17.22%) eyes, 5430 (61.03%) eyes, in 129(1.45%) eyes, 1188 (13.35%) eyes, 148 (1.66%) eyes and 256 (2.88%) eyes respectively.Conclusion Based on our institute-based data, the most common type of HSV keratitis is Immune stromal keratitis followed by epithelial keratitis. Although not representative of the general population, this data provide useful insights related to HSV keratitis from India.</t>
  </si>
  <si>
    <t>[Das, Anthony Vipin] LV Prasad Eye Inst, Dept EyeSmart EMR &amp; AEye, Hyderabad, Telangana, India; [Das, Anthony Vipin] LV Prasad Eye Inst, Indian Hlth Outcomes Publ Hlth &amp; Econ Res Ctr, Hyderabad, Telangana, India; [Satyashree, Gagan] Manipal Acad Higher Educ, Manipal, Karnataka, India; [Satyashree, Gagan; Joseph, Joveeta; Bagga, Bhupesh] Ramoji Fdn Ctr Ocular Infect, Hyderabad, India; [Joseph, Joveeta] LV Prasad Eye Inst, Jhaveri Microbiol Ctr, Hyderabad, Telangana, India; [Bagga, Bhupesh] LV Prasad Eye Inst, Cornea Inst, Hyderabad 500034, Telangana, India</t>
  </si>
  <si>
    <t>L. V. Prasad Eye Institute; L. V. Prasad Eye Institute; Manipal Academy of Higher Education (MAHE); L. V. Prasad Eye Institute; L. V. Prasad Eye Institute</t>
  </si>
  <si>
    <t>Bagga, B (corresponding author), Ramoji Fdn Ctr Ocular Infect, Hyderabad, India.</t>
  </si>
  <si>
    <t>bhupesh@lvpei.org</t>
  </si>
  <si>
    <t>The authors wish to acknowledge the support of our Department of eyeSmart EMR amp;amp; AEye team specially Mr. Ranganath Vadapalli and Mr. Mohammad Pasha.</t>
  </si>
  <si>
    <t>The authors wish to acknowledge the support of our Department of eyeSmart EMR &amp; AEye team specially Mr. Ranganath Vadapalli and Mr. Mohammad Pasha.</t>
  </si>
  <si>
    <t>0165-5701</t>
  </si>
  <si>
    <t>1573-2630</t>
  </si>
  <si>
    <t>INT OPHTHALMOL</t>
  </si>
  <si>
    <t>Int. Ophthalmol.</t>
  </si>
  <si>
    <t>10.1007/s10792-023-02866-0</t>
  </si>
  <si>
    <t>Ophthalmology</t>
  </si>
  <si>
    <t>R1PK2</t>
  </si>
  <si>
    <t>WOS:001062128700002</t>
  </si>
  <si>
    <t>Demuth, S; Muller, J; Quenardelle, V; Lauer, V; Gheoca, R; Trzeciak, M; Pierre-Paul, I; De Seze, J; Gourraud, PA; Wolff, V</t>
  </si>
  <si>
    <t>Demuth, Stanislas; Mueller, Joris; Quenardelle, Veronique; Lauer, Valerie; Gheoca, Roxana; Trzeciak, Malwina; Pierre-Paul, Irene; De Seze, Jerome; Gourraud, Pierre-Antoine; Wolff, Valerie</t>
  </si>
  <si>
    <t>Strokecopilot: a literature-based clinical decision support system for acute ischemic stroke treatment</t>
  </si>
  <si>
    <t>JOURNAL OF NEUROLOGY</t>
  </si>
  <si>
    <t>Acute ischemic stroke; Intravenous thrombolysis; Endovascular treatment; Clinical decision support systems; Neuroinformatics</t>
  </si>
  <si>
    <t>THROMBOLYSIS; MEDICINE</t>
  </si>
  <si>
    <t>BackgroundAcute ischemic stroke (AIS) is an immediate emergency whose management is becoming more and more personalized while facing a limited number of neurologists with high expertise. Clinical decision support systems (CDSS) are digital tools leveraging information and artificial intelligence technologies. Here, we present the Strokecopilot project, a CDSS for the management of the acute phase of AIS. It has been designed to support the evidence-based medicine reasoning of neurologists regarding the indications of intravenous thrombolysis (IVT) and endovascular treatments (ET).MethodsReference populations were manually extracted from the field's main guidelines and randomized clinical trials (RCT). Their characteristics were harmonized in a computerized reference database. We developed a web application whose algorithm identifies the reference populations matching the patient's characteristics. It returns the latter's outcomes in a graphical user interface (GUI), whose design has been driven by real-world practices.ResultsStrokecopilot has been released at www.digitalneurology.net. The reference database includes 25 reference populations from 2 guidelines and 15 RCTs. After a request, the reference populations matching the patient characteristics are displayed with a summary and a meta-analysis of their results. The status regarding IVT and ET indications are presented as in guidelines, in literature, or outside literature references. The GUI is updated to provide several levels of explanation. Strokecopilot may be updated as the literature evolves by loading a new version of the reference populations' database.ConclusionStrokecopilot is a literature-based CDSS, developed to support neurologists in the management of the acute phase of AIS.</t>
  </si>
  <si>
    <t>[Demuth, Stanislas; Quenardelle, Veronique; Lauer, Valerie; Gheoca, Roxana; Trzeciak, Malwina; Pierre-Paul, Irene; Wolff, Valerie] Univ Hosp Strasbourg, Stroke Unit, Strasbourg, France; [Demuth, Stanislas; De Seze, Jerome] INSERM U1119 Myelin Biopathol Neuroprotect &amp; Thera, Strasbourg, France; [Demuth, Stanislas; Gourraud, Pierre-Antoine] Nantes Univ, INSERM Ctr Res Transplantat &amp; Translat Immunol U10, Nantes, France; [Mueller, Joris] Univ Hosp Strasbourg, Publ Hlth Serv, Strasbourg, France; [De Seze, Jerome] Univ Hosp Strasbourg, Dept Neurol, Strasbourg, France; [De Seze, Jerome] Univ Hosp Strasbourg, Ctr Clin Invest, Strasbourg, France; [Gourraud, Pierre-Antoine] Nantes Univ Hosp, Data Clin, Nantes, France; [Wolff, Valerie] Univ Strasbourg, Mitochondrie Stress Oxydant &amp; Protect Musculaire, UR3072, Strasbourg, France</t>
  </si>
  <si>
    <t>CHU Strasbourg; Nantes Universite; CHU Strasbourg; CHU Strasbourg; CHU Strasbourg; Nantes Universite; CHU de Nantes; UDICE-French Research Universities; Universites de Strasbourg Etablissements Associes; Universite de Strasbourg</t>
  </si>
  <si>
    <t>Demuth, S (corresponding author), Univ Hosp Strasbourg, Stroke Unit, Strasbourg, France.;Demuth, S (corresponding author), INSERM U1119 Myelin Biopathol Neuroprotect &amp; Thera, Strasbourg, France.;Demuth, S (corresponding author), Nantes Univ, INSERM Ctr Res Transplantat &amp; Translat Immunol U10, Nantes, France.</t>
  </si>
  <si>
    <t>stanislas.demuth@chru-strasbourg.fr</t>
  </si>
  <si>
    <t>Gourraud, Pierre-Antoine/0000-0003-1131-9554</t>
  </si>
  <si>
    <t>The Strokecopilot research program has been approved by the university hospital of Strasbourg (Direction de la Recherche Clinique et des Innovations); university hospital of Strasbourg (Direction de la Recherche Clinique et des Innovations)</t>
  </si>
  <si>
    <t>The Strokecopilot research program has been approved by the university hospital of Strasbourg (Direction de la Recherche Clinique et des Innovations)</t>
  </si>
  <si>
    <t>0340-5354</t>
  </si>
  <si>
    <t>1432-1459</t>
  </si>
  <si>
    <t>J NEUROL</t>
  </si>
  <si>
    <t>J. Neurol.</t>
  </si>
  <si>
    <t>10.1007/s00415-023-11979-6</t>
  </si>
  <si>
    <t>R1RA6</t>
  </si>
  <si>
    <t>WOS:001062171400004</t>
  </si>
  <si>
    <t>Deng, MG; Liu, F; Wang, K; Liang, YH; Nie, JQ; Chai, C</t>
  </si>
  <si>
    <t>Deng, Ming-Gang; Liu, Fang; Wang, Kai; Liang, Yuehui; Nie, Jia-Qi; Chai, Chen</t>
  </si>
  <si>
    <t>Genetic association between coffee/caffeine consumption and the risk of obstructive sleep apnea in the European population: a two-sample Mendelian randomization study</t>
  </si>
  <si>
    <t>EUROPEAN JOURNAL OF NUTRITION</t>
  </si>
  <si>
    <t>Coffee/caffeine consumption; Obstructive sleep apnea; Mendelian randomization; European population</t>
  </si>
  <si>
    <t>WEIGHT CHANGE; CAFFEINE; COFFEE; MANAGEMENT; XANTHINES</t>
  </si>
  <si>
    <t>BackgroundThe association between coffee/caffeine consumption and obstructive sleep apnea (OSA) risk remains unclear.PurposeTo determine the relationship between coffee/caffeine consumption and the risk of OSA, using the Mendelian randomization (MR) method in the European population.MethodsTwo sets of coffee consumption-associated genetic variants were, respectively, extracted from the recent genome-wide meta-analysis (GWMA) and genome-wide association study (GWAS) of coffee consumption. Taking other caffeine sources into account, genetic variants associated with caffeine consumption from tea and plasma caffeine (reflecting total caffeine intake) were also obtained. The inverse variance weighted (IVW) technique was utilized as the primary analysis, supplemented by the MR-Egger, weighted-median, and MR-Pleiotropy RESidual Sum and Outlier (PRESSO) techniques. Leave-one-out (LOO) analysis was performed to assess whether the overall casual estimates were driven by a single SNP. Additional sensitivity analyses were performed using similar methods, while the genetic variants associated with confounders, e.g., body mass index and hypertension, were excluded.ResultsThe IVW method demonstrated that coffee consumption GWMA (OR: 1.065, 95% CI 0.927-1.224, p = 0.376), coffee consumption GWAS (OR: 1.665, 95% CI 0.932-2.977, p = 0.086), caffeine from tea (OR: 1.198, 95% CI 0.936-1.534, p = 0.151), and blood caffeine levels (OR: 1.054, 95% CI 0.902-1.231, p = 0.508) were unlikely to be associated with the risk of OSA. The other three methods presented similar results, where no significant associations were found. No single genetic variant was driving the overall estimates by the LOO analysis. These findings were also supported by the sensitivity analyses with no confounding genetic variants.ConclusionOur study found no association between coffee/caffeine consumption and the risk of OSA.</t>
  </si>
  <si>
    <t>[Deng, Ming-Gang] Wuhan Mental Hlth Ctr, Dept Psychiat, Wuhan 430012, Hubei, Peoples R China; [Deng, Ming-Gang] Wuhan Hosp Psychotherapy, Dept Psychiat, Wuhan 430012, Hubei, Peoples R China; [Liu, Fang; Liang, Yuehui] Wuhan Univ, Sch Publ Hlth, Wuhan 430071, Hubei, Peoples R China; [Wang, Kai] Wuhan Fourth Hosp, Dept Publ Hlth, Wuhan 430033, Hubei, Peoples R China; [Nie, Jia-Qi] Xiaogan Ctr Dis Control &amp; Prevent, , Huebi, Xiaogan 432000, Peoples R China; [Chai, Chen] Wuhan Univ, Emergency Ctr, Hubei Clin Res Ctr Emergency &amp; Resuscitat, Zhongnan Hosp, Wuhan 430071, Hubei, Peoples R China</t>
  </si>
  <si>
    <t>Wuhan University; Wuhan University</t>
  </si>
  <si>
    <t>Deng, MG (corresponding author), Wuhan Mental Hlth Ctr, Dept Psychiat, Wuhan 430012, Hubei, Peoples R China.;Deng, MG (corresponding author), Wuhan Hosp Psychotherapy, Dept Psychiat, Wuhan 430012, Hubei, Peoples R China.</t>
  </si>
  <si>
    <t>deng.minggang@outlook.com</t>
  </si>
  <si>
    <t>Deng, Ming-Gang/GPX-9117-2022; Wang, Kai/IXN-1193-2023</t>
  </si>
  <si>
    <t>Deng, Ming-Gang/0000-0002-3154-6909; Wang, Kai/0000-0003-2421-9579</t>
  </si>
  <si>
    <t>1436-6207</t>
  </si>
  <si>
    <t>1436-6215</t>
  </si>
  <si>
    <t>EUR J NUTR</t>
  </si>
  <si>
    <t>Eur. J. Nutr.</t>
  </si>
  <si>
    <t>10.1007/s00394-023-03239-0</t>
  </si>
  <si>
    <t>Nutrition &amp; Dietetics</t>
  </si>
  <si>
    <t>Q6YZ6</t>
  </si>
  <si>
    <t>WOS:001058973600001</t>
  </si>
  <si>
    <t>Elsayed, AK; Alajez, NM; Abdelalim, EM</t>
  </si>
  <si>
    <t>Elsayed, Ahmed K.; Alajez, Nehad M.; Abdelalim, Essam M.</t>
  </si>
  <si>
    <t>Genome-wide differential expression profiling of long non-coding RNAs in FOXA2 knockout iPSC-derived pancreatic cells</t>
  </si>
  <si>
    <t>CELL COMMUNICATION AND SIGNALING</t>
  </si>
  <si>
    <t>beta-cell development; lncRNAs; Epigenetic; mRNA profile; Pancreatic islets</t>
  </si>
  <si>
    <t>DOWN-REGULATION; INSULIN-SECRETION; GENE-EXPRESSION; INFLAMMATION; METASTASIS; TRANSITION; FAILURE; ALPHA</t>
  </si>
  <si>
    <t>Background Our recent studies have demonstrated the crucial involvement of FOXA2 in the development of human pancreas. Reduction of FOXA2 expression during the differentiation of induced pluripotent stem cells (iPSCs) into pancreatic islets has been found to reduce a-and ss-cell masses. However, the extent to which such changes are linked to alterations in the expression profile of long non-coding RNAs (lncRNAs) remains unraveled. Methods Here, we employed our recently established FOXA2-deficient iPSCs (FOXA2(-/-) iPSCs) to investigate changes in lncRNA profiles and their correlation with dysregulated mRNAs during the pancreatic progenitor (PP) and pancreatic islet stages. Furthermore, we constructed co-expression networks linking significantly downregulated lncRNAs with differentially expressed pancreatic mRNAs. Results Our results showed that 442 lncRNAs were downregulated, and 114 lncRNAs were upregulated in PPs lacking FOXA2 compared to controls. Similarly, 177 lncRNAs were downregulated, and 59 lncRNAs were upregulated in islet cells lacking FOXA2 compared to controls. At both stages, we observed a strong correlation between lncRNAs and several crucial pancreatic genes and TFs during pancreatic differentiation. Correlation analysis revealed 12 DElncRNAs that strongly correlated with key downregulated pancreatic genes in both PPs and islet cell stages. Selected DE-lncRNAs were validated using RT- qPCR. Conclusions Our data indicate that the observed defects in pancreatic islet development due to the FOXA2 loss is associated with significant alterations in the expression profile of lncRNAs. Therefore, our findings provide novel insights into the role of lncRNA and mRNA networks in regulating pancreatic islet development, which warrants further investigations.</t>
  </si>
  <si>
    <t>[Elsayed, Ahmed K.; Abdelalim, Essam M.] Hamad Bin Khalifa Univ HBKU, Qatar Fdn QF, Qatar Biomed Res Inst QBRI, Diabet Res Ctr DRC, POB 34110, Doha, Qatar; [Elsayed, Ahmed K.] Hamad Bin Khalifa Univ HBKU, Qatar Fdn QF, Qatar Biomed Res Inst QBRI, Stem Cell Core, POB 34110, Doha, Qatar; [Elsayed, Ahmed K.; Alajez, Nehad M.; Abdelalim, Essam M.] Hamad Bin Khalifa Univ HBKU, Qatar Fdn QF, Coll Hlth &amp; Life Sci, Doha, Qatar; [Alajez, Nehad M.] Hamad Bin Khalifa Univ HBKU, Qatar Fdn QF, Qatar Biomed Res Inst QBRI, Translat Canc &amp; Immun Ctr TCIC, POB 34110, Doha, Qatar</t>
  </si>
  <si>
    <t>Qatar Foundation (QF); Hamad Bin Khalifa University-Qatar; Qatar Biomedical Research Institute (QBRI); Qatar Foundation (QF); Hamad Bin Khalifa University-Qatar; Qatar Biomedical Research Institute (QBRI); Qatar Foundation (QF); Hamad Bin Khalifa University-Qatar; Qatar Foundation (QF); Hamad Bin Khalifa University-Qatar; Qatar Biomedical Research Institute (QBRI)</t>
  </si>
  <si>
    <t>Abdelalim, EM (corresponding author), Hamad Bin Khalifa Univ HBKU, Qatar Fdn QF, Qatar Biomed Res Inst QBRI, Diabet Res Ctr DRC, POB 34110, Doha, Qatar.;Abdelalim, EM (corresponding author), Hamad Bin Khalifa Univ HBKU, Qatar Fdn QF, Coll Hlth &amp; Life Sci, Doha, Qatar.</t>
  </si>
  <si>
    <t>emohamed@hbku.edu.qa</t>
  </si>
  <si>
    <t>We thank the Genomic Core members at QBRI for their assistance for technical support in RNA and miRNA sequencing.</t>
  </si>
  <si>
    <t>1478-811X</t>
  </si>
  <si>
    <t>CELL COMMUN SIGNAL</t>
  </si>
  <si>
    <t>Cell Commun. Signal.</t>
  </si>
  <si>
    <t>SEP 5</t>
  </si>
  <si>
    <t>10.1186/s12964-023-01212-2</t>
  </si>
  <si>
    <t>Cell Biology</t>
  </si>
  <si>
    <t>R1RS3</t>
  </si>
  <si>
    <t>WOS:001062189200001</t>
  </si>
  <si>
    <t>Farrag, A; Ghazaly, MH; Mohammed, K; Volland, R; Hero, B; Berthold, F</t>
  </si>
  <si>
    <t>Farrag, Ahmed; Ghazaly, Mohamed Hamdy; Mohammed, Khaled; Volland, Ruth; Hero, Barbara; Berthold, Frank</t>
  </si>
  <si>
    <t>Comparing presentations and outcomes of children with cancer: a study between a lower-middle-income country and a high-income country</t>
  </si>
  <si>
    <t>Cancer; Children; Lower-middle income country; Problems; Survival</t>
  </si>
  <si>
    <t>ACUTE LYMPHOBLASTIC-LEUKEMIA; CHILDHOOD-CANCER; PEDIATRIC ONCOLOGY</t>
  </si>
  <si>
    <t>Background Substantial progress has been achieved in managing childhood cancers in many high-income countries (HICs). In contrast, survival rates in lower-middle-income countries (LMICs) are less favorable. Here, we aimed to compare outcomes and associated factors between two large institutions; Egypt (LMIC) and Germany (HIC). Methods A retrospective review was conducted on newly diagnosed children with cancer between 2006 and 2010 in the departments of pediatric oncology at the South Egypt Cancer Institute (SECI) (n = 502) and the University Hospital of Cologne-Uniklinik Koln (UKK) (n = 238). Characteristics including age, sex, diagnosis, travel time from home to the cancer center, the time interval from initial symptoms to the start of treatment, treatment-related complications, compliance, and outcome were analyzed. A Cox proportional hazards regression model was applied to investigate the influence of risk factors. Results The most common diagnoses in SECI were leukemia (48.8%), lymphomas (24.1%), brain tumors (1%), and other solid tumors (24.7%), compared to 22.3%, 19.3%, 28.6%, and 26.5% in UKK, respectively. Patients from SECI were younger (5.2 vs. 9.0 years, P &lt; 0.001), needed longer travel time to reach the treatment center (1.44 +/- 0.07 vs. 0.53 +/- 0.03 h, P &lt; 0.001), received therapy earlier (7.53 +/- 0.59 vs. 12.09 +/- 1.01 days, P = 0.034), showed less compliance (85.1% vs. 97.1%, P &lt; 0.001), and relapsed earlier (7 vs. 12 months, P = 0.008). Deaths in SECI were more frequent (47.4% vs. 18.1%) and caused mainly by infection (60% in SECI, 7% in UKK), while in UKK, they were primarily disease-related (79% in UKK, 27.7% in SECI). Differences in overall and event-free survival were observed for leukemias but not for non-Hodgkin lymphoma. Conclusions Outcome differences were associated with different causes of death and other less prominent factors.</t>
  </si>
  <si>
    <t>[Farrag, Ahmed] Assiut Univ, South Egypt Canc Inst, Dept Pediat Oncol, Assiut, Egypt; [Farrag, Ahmed; Hero, Barbara; Berthold, Frank] Univ Hosp Cologne, Dept Pediat &amp; Adolescent Med, Div Pediat Hematol &amp; Oncol, Cologne, Germany; [Ghazaly, Mohamed Hamdy] Assiut Univ, Fac Med, Dept Pediat, Assiut, Egypt; [Mohammed, Khaled] Mayo Clin, Dept Pediat &amp; Adolescent Med, Rochester, MN USA; [Volland, Ruth] Univ Hosp Cologne, Dept Pediat &amp; Adolescent Med Stat, Div Pediat Hematol &amp; Oncol, Cologne, Germany</t>
  </si>
  <si>
    <t>Egyptian Knowledge Bank (EKB); Assiut University; University of Cologne; Egyptian Knowledge Bank (EKB); Assiut University; Mayo Clinic; University of Cologne</t>
  </si>
  <si>
    <t>Farrag, A (corresponding author), Univ Hosp Cologne, Dept Pediat &amp; Adolescent Med, Div Pediat Hematol &amp; Oncol, Cologne, Germany.</t>
  </si>
  <si>
    <t>ahmedfarrag@aun.edu.eg</t>
  </si>
  <si>
    <t>The principal author thanks The International Society of Pediatric Oncology (SIOP) for the SIOP Outreach Fellowship 2011 and the Pediatric Oncology department staff at Cologne University Hospital for their support.; International Society of Pediatric Oncology (SIOP)</t>
  </si>
  <si>
    <t>The principal author thanks The International Society of Pediatric Oncology (SIOP) for the SIOP Outreach Fellowship 2011 and the Pediatric Oncology department staff at Cologne University Hospital for their support.</t>
  </si>
  <si>
    <t>10.1186/s12887-023-04214-8</t>
  </si>
  <si>
    <t>R1QU3</t>
  </si>
  <si>
    <t>WOS:001062165100001</t>
  </si>
  <si>
    <t>Feneuil, J; Li, LH; Mayboroda, S</t>
  </si>
  <si>
    <t>Feneuil, Joseph; Li, Linhan; Mayboroda, Svitlana</t>
  </si>
  <si>
    <t>Green functions and smooth distances</t>
  </si>
  <si>
    <t>MATHEMATISCHE ANNALEN</t>
  </si>
  <si>
    <t>UNIFORM RECTIFIABILITY; HARMONIC MEASURE; DIRICHLET PROBLEM; POISSON KERNELS; APPROXIMATION; OPERATORS</t>
  </si>
  <si>
    <t>In the present paper, we show that for an optimal class of elliptic operators with non-smooth coefficients on a 1-sided Chord-Arc domain, the boundary of the domain is uniformly rectifiable if and only if the Green function G behaves like a distance function to the boundary, in the sense that vertical bar del G(X)/G(X) - del D(X)/D(X)vertical bar(2) D(X)dX is the density of aCarlesonmeasure, where D is a regularized distance adapted to the boundary of the domain. Themain ingredient in our proof is a corona decomposition that is compatible with Tolsa's alpha-number of uniformly rectifiable sets. We believe that the method can be applied to many other problems at the intersection of PDE and geometric measure theory, and in particular, we are able to derive a generalization of the classical F. and M. Riesz theorem to the same class of elliptic operators as above.</t>
  </si>
  <si>
    <t>[Feneuil, Joseph] Australian Natl Univ, Math Sci Inst, Acton, ACT, Australia; [Li, Linhan] Univ Edinburgh, Sch Math, Edinburgh, Scotland; [Mayboroda, Svitlana] Univ Minnesota, Sch Math, Minneapolis, MN 55455 USA</t>
  </si>
  <si>
    <t>Australian National University; University of Edinburgh; University of Minnesota System; University of Minnesota Twin Cities</t>
  </si>
  <si>
    <t>Feneuil, J (corresponding author), Australian Natl Univ, Math Sci Inst, Acton, ACT, Australia.</t>
  </si>
  <si>
    <t>joseph.feneuil@anu.edu.au; linhan.li@ed.ac.uk; svitlana@math.umn.edu</t>
  </si>
  <si>
    <t>NSF RAISE-TAQS [DMS-1839077]; Simons foundation [563916, 601941]; ERC [ERC-2019-StG 853404]</t>
  </si>
  <si>
    <t>NSF RAISE-TAQS; Simons foundation; ERC(European Research Council (ERC))</t>
  </si>
  <si>
    <t>S. Mayboroda was partly supported by the NSF RAISE-TAQS grant DMS-1839077 and the Simons foundation Grant 563916, SM. J. Feneuil was partially supported by the Simons foundation Grant 601941, GD and the ERC Grant ERC-2019-StG 853404 VAREG.</t>
  </si>
  <si>
    <t>0025-5831</t>
  </si>
  <si>
    <t>1432-1807</t>
  </si>
  <si>
    <t>MATH ANN</t>
  </si>
  <si>
    <t>Math. Ann.</t>
  </si>
  <si>
    <t>10.1007/s00208-023-02715-6</t>
  </si>
  <si>
    <t>Q6YV9</t>
  </si>
  <si>
    <t>WOS:001058969900001</t>
  </si>
  <si>
    <t>Ge, C; Zhang, Q; Zhang, RA; Yang, L</t>
  </si>
  <si>
    <t>Ge, Chao; Zhang, Qi; Zhang, Ruonan; Yang, Li</t>
  </si>
  <si>
    <t>Order-Dependent Sampling Control of Uncertain Fractional-Order Neural Networks System</t>
  </si>
  <si>
    <t>NEURAL PROCESSING LETTERS</t>
  </si>
  <si>
    <t>Fractional-order systems; Neural networks; Sampled-data control; Lyapunov function; Stability</t>
  </si>
  <si>
    <t>STABILITY ANALYSIS; SYNCHRONIZATION; MODEL</t>
  </si>
  <si>
    <t>The asymptotic stability of the fractional-order neural networks system with uncertainty by sampled-data controller is addressed in the article. First, considering the influence of uncertainty and fractional-order on the system, a novel sampled-data controller is designed with alterable sampling period. In the light of the input delay approach, the fractional system is simulated by the delay system. The main purpose of the method presented is to design a sampled-data controller, which the closed-loop fractional-order system can guarantee the asymptotic stability. Then, the fractional-order Razumikhin theorem and linear matrix inequalities (LMIs) are utilized to derive the stable conditions. The stability conditions are presented in the form of LMIs on the novel delay-dependent and order-dependent. Furthermore, the sampling controller can be acquired to promise the stability and stabilization for fractional-order system. Finally, two numerical examples are proposed to demonstrate the effectiveness and advantages for the provided method.</t>
  </si>
  <si>
    <t>[Ge, Chao; Zhang, Qi] North China Univ Sci &amp; Technol, Inst Elect Engn, Tangshan 063009, Peoples R China; [Zhang, Ruonan] Shijiazhuang Matern &amp; Child Hlth Hosp, Shijiazhuang 050000, Peoples R China; [Yang, Li] Tangshan Univ, Coll Artificial Intelligence, Tangshan 063000, Peoples R China</t>
  </si>
  <si>
    <t>North China University of Science &amp; Technology; Tangshan University</t>
  </si>
  <si>
    <t>Ge, C (corresponding author), North China Univ Sci &amp; Technol, Inst Elect Engn, Tangshan 063009, Peoples R China.</t>
  </si>
  <si>
    <t>gechao365@126.com; yangli@tsc.edu.cn</t>
  </si>
  <si>
    <t>Chao Ge received the Ph.D. degree in electrical engineering from Yanshan University, Qinhuangdao, China, in 2015. He is currently an Associate Professor with the North China University of Science and Technology, Tangshan, China, as well as a Post-Doctoral; Yanshan University, Qinhuangdao, China; North China University of Science and Technology, Tangshan, China; Hebei North University, Hebei, China</t>
  </si>
  <si>
    <t>Chao Ge received the Ph.D. degree in electrical engineering from Yanshan University, Qinhuangdao, China, in 2015. He is currently an Associate Professor with the North China University of Science and Technology, Tangshan, China, as well as a Post-Doctoral Research Fellow with the Department of Electrical Engineering, Yeungnam University, Gyeongsan, South Korea. His current research interests include time-delay systems, neural networks, fuzzy systems, and networked control systems. Qi Zhang is currently a master candidate at North China University of Science and Technology. Her major is Control engineering. Her research direction is stability and synchronization analysis of neural networks based on sampling control. Ruonan Zhang received the M.S. degree in pediatrics from Hebei North University, Hebei, China, in 2018. She is now a pediatrician at Shijiazhuang Maternity and Child Health Hospital. Her current research interests include pediatric digestive system diseases and the application of endoscopy in the diagnosis and treatment of pediatric diseases. Li Yang received the M.S. degree in Software Engineering from Yanshan University in 2011. He is now an associate professor at Tangshan University. His current research interests include artificial intelligence and big data.</t>
  </si>
  <si>
    <t>1370-4621</t>
  </si>
  <si>
    <t>1573-773X</t>
  </si>
  <si>
    <t>NEURAL PROCESS LETT</t>
  </si>
  <si>
    <t>Neural Process. Lett.</t>
  </si>
  <si>
    <t>10.1007/s11063-023-11349-3</t>
  </si>
  <si>
    <t>Q6XC2</t>
  </si>
  <si>
    <t>WOS:001058924100001</t>
  </si>
  <si>
    <t>He, CQ; Qi, R; Feng, HY; Zhao, ZZ; Wang, FS; Wang, DY; Wang, FF; Chen, XP; Zhang, P; Li, SL; Yi, YB</t>
  </si>
  <si>
    <t>He, Chiquan; Qi, Rui; Feng, Haiyue; Zhao, Zhenzhen; Wang, Fushun; Wang, Daoyuan; Wang, Feifei; Chen, Xueping; Zhang, Pu; Li, Siliang; Yi, Yuanbi</t>
  </si>
  <si>
    <t>Spatiotemporal variations and dominated environmental parameters of nitrous oxide (N2O) concentrations from cascade reservoirs in southwest China</t>
  </si>
  <si>
    <t>ENVIRONMENTAL SCIENCE AND POLLUTION RESEARCH</t>
  </si>
  <si>
    <t>Nitrous oxide (N2O); Reservoirs; Nitrification; Denitrification; Deep-water reservoir; Shallow-water reservoir</t>
  </si>
  <si>
    <t>THERMAL STRATIFICATION; IMPOUNDED RIVER; WIND-SPEED; EMISSIONS; WATER; REMOVAL; SYSTEM; FLUXES; LAKE</t>
  </si>
  <si>
    <t>Anthropogenic activity has caused rivers and reservoirs to become sources of nitrous oxide (N2O), which is thought to play an important role in global climate change. There are thermal and DO stratification in deep-water reservoirs with long hydraulic retention time, which change N2O production mechanism compared with shallow-water reservoirs. To promote our understanding of the relationship of N2O production in reservoirs at different depths, spatiotemporal variations in water environmental factors and N2O from cascade reservoirs of Chaishitan (CST), Longtan (LT), Yantan (YT) and Dahua (DH) reservoirs in the Zhujiang River were detected, and the LT and YT reservoirs were compared as representatives of deep-water and shallow-water reservoirs in April and July 2019. The average N2O concentrations in the LT and YT reservoirs were 22.82 &amp; PLUSMN; 2.21 and 21.55 &amp; PLUSMN; 1.65 nmol L-1, respectively. During spring and summer, the WT (water temperature) and DO (dissolved oxygen) concentrations in the YT reservoir were well mixed. In contrast, the LT reservoir, as a deep-water reservoir, had thermal and DO stratifications in both the shallow and middle water, especially in the summer when the solar radiation intensity was high. During summer stratification, the DO concentration in the LT reservoir showed obvious spatial variation, ranging from 1.23 to 9.84 mg L-1, while the DO concentration in the YT reservoir showed very little variation, ranging from 6.45 to 7.09 mg L-1. Structural equation modeling results showed that NH4+ was the main determinant of the N2O concentration in the YT reservoir, and DO was the most influential factor of the N2O concentration in the LT reservoir. These results suggest significant variations in the factors influencing N2O concentration among reservoirs. Additionally, the mechanisms of N2O production differ between deep-water and shallow-water reservoirs. This study highlights the spatio-temporal variations and influential factors contributing to N2O concentration. Furthermore, it discusses the production mechanisms of N2O in different types of reservoirs. These findings contribute to our understanding of N2O distribution in hydropower systems and provide valuable data for the management of hydropower facilities and research on greenhouse gas emissions.</t>
  </si>
  <si>
    <t>[He, Chiquan; Qi, Rui; Feng, Haiyue; Zhao, Zhenzhen; Wang, Fushun; Wang, Daoyuan; Wang, Feifei; Chen, Xueping; Zhang, Pu] Shanghai Univ, Sch Environm &amp; Chem Engn, 150 99 Shangda Rd, Shanghai 200444, Peoples R China; [Li, Siliang; Yi, Yuanbi] Tianjin Univ, Inst Surface Earth Syst Sci, Tianjin 300072, Peoples R China</t>
  </si>
  <si>
    <t>Shanghai University; Tianjin University</t>
  </si>
  <si>
    <t>Zhao, ZZ (corresponding author), Shanghai Univ, Sch Environm &amp; Chem Engn, 150 99 Shangda Rd, Shanghai 200444, Peoples R China.</t>
  </si>
  <si>
    <t>cqhe@shu.edu.cn; qiruistar@163.com; 18291929594@163.com; zhaozhen0828@126.com; fswang@shu.edu.cn; dywang20@shu.edu.cn; feifeiwang@shu.edu.cn; xpchen@shu.edu.cn; m13071771213_1@163.com; siliang.li@tju.edu.cn; yuanbi.yi@tju.edu.cn</t>
  </si>
  <si>
    <t>National Key R &amp; D Program of China [2016YFA0601003]; National Science Foundation of China [41971055, 41907270]; Shanghai Municipal Agricultural and Rural Committee Extention Project (2022) [2-6]</t>
  </si>
  <si>
    <t>National Key R &amp; D Program of China; National Science Foundation of China(National Natural Science Foundation of China (NSFC)); Shanghai Municipal Agricultural and Rural Committee Extention Project (2022)</t>
  </si>
  <si>
    <t>This work was financially supported by the National Key R &amp; D Program of China (2016YFA0601003), National Science Foundation of China (41971055, 41907270) and Shanghai Municipal Agricultural and Rural Committee Extention Project (2022) 2-6.</t>
  </si>
  <si>
    <t>0944-1344</t>
  </si>
  <si>
    <t>1614-7499</t>
  </si>
  <si>
    <t>ENVIRON SCI POLLUT R</t>
  </si>
  <si>
    <t>Environ. Sci. Pollut. Res.</t>
  </si>
  <si>
    <t>10.1007/s11356-023-29502-9</t>
  </si>
  <si>
    <t>R2NH8</t>
  </si>
  <si>
    <t>WOS:001062761800008</t>
  </si>
  <si>
    <t>Hill, HMM</t>
  </si>
  <si>
    <t>Hill, Heather M. Manitzas</t>
  </si>
  <si>
    <t>Cooooooommmmmmmeeeeeeeee heeeerrrrrreeeee.... Momma dolphin has something to say</t>
  </si>
  <si>
    <t>LEARNING &amp; BEHAVIOR</t>
  </si>
  <si>
    <t>Attention; Communication; Social learning</t>
  </si>
  <si>
    <t>Mother dolphins shift their signature whistles to higher frequencies and have larger bandwidths when calling to their dependent calves during separations involving stranded health assessments compared with separations when the calf is absent. While this shift may reflect a version of child-directed communication, more research is needed to understand the parameters and function of this phenomenon.</t>
  </si>
  <si>
    <t>[Hill, Heather M. Manitzas] St Marys Univ, Psychol Dept, San Antonio, TX 78228 USA</t>
  </si>
  <si>
    <t>Hill, HMM (corresponding author), St Marys Univ, Psychol Dept, San Antonio, TX 78228 USA.</t>
  </si>
  <si>
    <t>hhill1@stmarytx.edu</t>
  </si>
  <si>
    <t>Hill, Heather/0000-0001-8598-4886</t>
  </si>
  <si>
    <t>1543-4494</t>
  </si>
  <si>
    <t>1543-4508</t>
  </si>
  <si>
    <t>LEARN BEHAV</t>
  </si>
  <si>
    <t>Learn Behav.</t>
  </si>
  <si>
    <t>10.3758/s13420-023-00602-3</t>
  </si>
  <si>
    <t>Psychology, Biological; Behavioral Sciences; Psychology, Experimental; Zoology</t>
  </si>
  <si>
    <t>Psychology; Behavioral Sciences; Zoology</t>
  </si>
  <si>
    <t>Q6ZD7</t>
  </si>
  <si>
    <t>WOS:001058977700001</t>
  </si>
  <si>
    <t>Kengia, JT; Kalolo, A; Barash, D; Chwa, C; Hayirli, TC; Kapologwe, NA; Kinyaga, A; Meara, JG; Staffa, SJ; Zanial, N; Alidina, S</t>
  </si>
  <si>
    <t>Kengia, James T.; Kalolo, Albino; Barash, David; Chwa, Cindy; Hayirli, Tuna Cem; Kapologwe, Ntuli A.; Kinyaga, Ally; Meara, John G.; Staffa, Steven J.; Zanial, Noor; Alidina, Shehnaz</t>
  </si>
  <si>
    <t>Research capacity, motivators and barriers to conducting research among healthcare providers in Tanzania's public health system: a mixed methods study</t>
  </si>
  <si>
    <t>HUMAN RESOURCES FOR HEALTH</t>
  </si>
  <si>
    <t>Research capacity; Motivators; Barriers; Engagement; Healthcare providers; Tanzania</t>
  </si>
  <si>
    <t>CLINICAL-RESEARCH; MEDICINE; SUCCESS; AFRICA</t>
  </si>
  <si>
    <t>BackgroundBuilding health research capacity in low- and middle-income countries is essential to achieving universal access to safe, high-quality healthcare. It can enable healthcare workers to conduct locally relevant research and apply findings to strengthen their health delivery systems. However, lack of funding, experience, know-how, and weak research infrastructures hinders their ability. Understanding research capacity, engagement, and contextual factors that either promote or obstruct research efforts by healthcare workers can inform national strategies aimed at building research capacity.MethodsWe used a convergent mixed-methods study design to understand research capacity and research engagement of healthcare workers in Tanzania's public health system, including the barriers, motivators, and facilitators to conducting research. Our sample included 462 randomly selected healthcare workers from 45 facilities. We conducted surveys and interviews to capture data in five categories: (1) healthcare workers research capacity; (2) research engagement; (3) barriers, motivators, and facilitators; (4) interest in conducting research; and (5) institutional research capacity. We assessed quantitative and qualitative data using frequency and thematic analysis, respectively; we merged the data to identify recurring and unifying concepts.ResultsRespondents reported low experience and confidence in quantitative (34% and 28.7%, respectively) and qualitative research methods (34.5% and 19.6%, respectively). Less than half (44%) of healthcare workers engaged in research. Engagement in research was positively associated with: working at a District Hospital or above (p = 0.006), having a university degree or more (p = 0.007), and previous research experience (p = 0.001); it was negatively associated with female sex (p = 0.033). Barriers to conducting research included lack of research funding, time, skills, opportunities to practice, and research infrastructure. Motivators and facilitators included a desire to address health problems, professional development, and local and international collaborations. Almost all healthcare workers (92%) indicated interest in building their research capacity.ConclusionIndividual and institutional research capacity and engagement among healthcare workers in Tanzania is low, despite high interest for capacity building. We propose a fourfold pathway for building research capacity in Tanzania through (1) high-quality research training and mentorship; (2) strengthening research infrastructure, funding, and coordination; (3) implementing policies and strategies that stimulate engagement; and (4) strengthening local and international collaborations.</t>
  </si>
  <si>
    <t>[Kengia, James T.; Kapologwe, Ntuli A.] Presidents Off Reg Adm &amp; Local Govt, Dept Hlth Nutr Serv &amp; Social Welf, POB 1923, Dodoma, Tanzania; [Kalolo, Albino; Kinyaga, Ally] Ctr Reforms Innovat Hlth Pol &amp; Implementat Res CeR, Dodoma, Tanzania; [Kalolo, Albino] St Francis Univ, Coll Hlth &amp; Allied Sci, Dept Publ Hlth, Ifakara, Tanzania; [Barash, David] GE Fdn, Boston, MA USA; [Chwa, Cindy; Hayirli, Tuna Cem; Meara, John G.; Zanial, Noor; Alidina, Shehnaz] Harvard Med Sch, Program Global Surg &amp; Social Change, Boston, MA USA; [Meara, John G.] Boston Childrens Hosp, Dept Plast &amp; Oral Surg, Boston, MA USA; [Meara, John G.] Univ Melbourne, Dept Paediat, Melbourne, Australia; [Staffa, Steven J.] Boston Childrens Hosp, Dept Anesthesiol, Boston, MA USA</t>
  </si>
  <si>
    <t>Harvard University; Harvard Medical School; Harvard University; Boston Children's Hospital; University of Melbourne; Harvard University; Boston Children's Hospital</t>
  </si>
  <si>
    <t>Kengia, JT (corresponding author), Presidents Off Reg Adm &amp; Local Govt, Dept Hlth Nutr Serv &amp; Social Welf, POB 1923, Dodoma, Tanzania.</t>
  </si>
  <si>
    <t>jtkengia@yahoo.com</t>
  </si>
  <si>
    <t>Hayirli, Tuna/0000-0002-8736-1778; Chwa, Cindy/0000-0002-1038-8972; Kengia, James/0000-0002-2384-4586</t>
  </si>
  <si>
    <t>We would like to express our sincere thanks to the study facilities and the Regional and Council Health Management Teams for their support of the study. We are grateful to the research assistants for their assistance with collecting the data. We would like</t>
  </si>
  <si>
    <t>We would like to express our sincere thanks to the study facilities and the Regional and Council Health Management Teams for their support of the study. We are grateful to the research assistants for their assistance with collecting the data. We would like to thank all the participants who gave so generously of their time in completing surveys and interviews. We would like to express our appreciation to Sophie Blumert for her editing assistance.</t>
  </si>
  <si>
    <t>1478-4491</t>
  </si>
  <si>
    <t>HUM RESOUR HEALTH</t>
  </si>
  <si>
    <t>Hum. Resour. Health</t>
  </si>
  <si>
    <t>10.1186/s12960-023-00858-w</t>
  </si>
  <si>
    <t>Health Policy &amp; Services; Industrial Relations &amp; Labor</t>
  </si>
  <si>
    <t>Health Care Sciences &amp; Services; Business &amp; Economics</t>
  </si>
  <si>
    <t>Q6YV2</t>
  </si>
  <si>
    <t>WOS:001058969200001</t>
  </si>
  <si>
    <t>Kuang, Z; Liu, XJ; Zhang, N; Dong, JW; Sun, CC; Yin, MX; Wang, YT; Liu, L; Xiao, D; Zhou, XB; Feng, YC; Song, DQ; Deng, HB</t>
  </si>
  <si>
    <t>Kuang, Zean; Liu, Xiaojia; Zhang, Na; Dong, Jingwen; Sun, Cuicui; Yin, Mingxiao; Wang, Yuting; Liu, Lu; Xiao, Dian; Zhou, Xinbo; Feng, Yanchun; Song, Danqing; Deng, Hongbin</t>
  </si>
  <si>
    <t>USP2 promotes tumor immune evasion via deubiquitination and stabilization of PD-L1</t>
  </si>
  <si>
    <t>CELL DEATH AND DIFFERENTIATION</t>
  </si>
  <si>
    <t>ANTITUMOR IMMUNITY; QUALITY-CONTROL; T-CELLS; CANCER; DEGRADATION; MODULATION; EXPRESSION; RESISTANCE; CMTM6</t>
  </si>
  <si>
    <t>The abnormal upregulation of programmed death ligand-1 (PD-L1) on tumor cells impedes T-cell mediated cytotoxicity through PD-1 engagement, and further exploring the mechanisms regulation of PD-L1 in cancers may enhance the clinical efficacy of PD-L1 blockade. Here, using single-guide RNAs (sgRNAs) screening system, we identify ubiquitin-specific processing protease 2 (USP2) as a novel regulator of PD-L1 stabilization for tumor immune evasion. USP2 directly interacts with and increases PD-L1 abundance in colorectal and prostate cancer cells. Our results show that Thr288, Arg292 and Asp293 at USP2 control its binding to PD-L1 through deconjugating the K48-linked polyubiquitination at lysine 270 of PD-L1. Depletion of USP2 causes endoplasmic reticulum (ER)-associated degradation of PD-L1, thus attenuates PD-L1/PD-1 interaction and sensitizes cancer cells to T cell-mediated killing. Meanwhile, USP2 ablation-induced PD-L1 clearance enhances antitumor immunity in mice via increasing CD8+ T cells infiltration and reducing immunosuppressive infiltration of myeloid-derived suppressor cells (MDSCs) and regulatory T cells (Tregs), whereas PD-L1 overexpression reverses the tumor growth suppression by USP2 silencing. USP2-depletion combination with anti-PD-1 also exhibits a synergistic anti-tumor effect. Furthermore, analysis of clinical tissue samples indicates that USP2 is positively associated with PD-L1 expression in cancer. Collectively, our data reveal a crucial role of USP2 for controlling PD-L1 stabilization in tumor cells, and highlight USP2 as a potential therapeutic target for cancer immunotherapy.</t>
  </si>
  <si>
    <t>[Kuang, Zean; Zhang, Na; Dong, Jingwen; Sun, Cuicui; Yin, Mingxiao; Wang, Yuting; Song, Danqing; Deng, Hongbin] Chinese Acad Med Sci &amp; Peking Union Med Coll, Inst Med Biotechnol, Beijing 100050, Peoples R China; [Liu, Xiaojia] Capital Med Univ, Beijing Inst Clin Pharm, Beijing Friendship Hosp, Beijing, Peoples R China; [Liu, Lu] Qingdao Univ, Qingdao Women &amp; Childrens Hosp, Qingdao 266034, Peoples R China; [Xiao, Dian; Zhou, Xinbo] Beijing Inst Pharmacol &amp; Toxicol, Natl Engn Res Ctr Emergency Drug, Beijing, Peoples R China; [Feng, Yanchun] Natl Inst Food &amp; Drug Control, Beijing, Peoples R China</t>
  </si>
  <si>
    <t>Chinese Academy of Medical Sciences - Peking Union Medical College; Peking Union Medical College; Institute of Medicinal Biotechnology - CAMS; Capital Medical University; Qingdao University; National Institute of Food &amp; Drug Control - China</t>
  </si>
  <si>
    <t>Song, DQ; Deng, HB (corresponding author), Chinese Acad Med Sci &amp; Peking Union Med Coll, Inst Med Biotechnol, Beijing 100050, Peoples R China.;Feng, YC (corresponding author), Natl Inst Food &amp; Drug Control, Beijing, Peoples R China.</t>
  </si>
  <si>
    <t>fyc@nifdc.org.cn; songdanqingsdq@hotmail.com; hdeng@imb.pumc.edu.cn</t>
  </si>
  <si>
    <t>Deng, Hognbin/0000-0002-4398-8819</t>
  </si>
  <si>
    <t>National Natural Science Foundation of China [20220484116]; CAMS Innovation Fund for Medical Sciences; Beijing Nova Program; [82273960]</t>
  </si>
  <si>
    <t>National Natural Science Foundation of China(National Natural Science Foundation of China (NSFC)); CAMS Innovation Fund for Medical Sciences; Beijing Nova Program(Beijing Municipal Science &amp; Technology Commission);</t>
  </si>
  <si>
    <t>The authors sincerely thank Prof. Hong-bing Shu for providing HA-Ubiquitin KR plasmids, Prof. Ronggui Hu for providing HA-Ubiquitin K only plasmids, Prof. Han Liu for providing USP2 C276A plasmid,~and Prof. Guohui Wan for providing primary human CRC cells. This study was supported by grants from National Natural Science Foundation of China (82273960, 81973366, 82273854, 82003792 and 82304512), CAMS Innovation Fund for Medical Sciences (2021-I2M-1-070), and Beijing Nova Program (20220484116). The funding sources had no involvements in study design, data collection, data analysis, data interpretation, manuscript preparation and submission.</t>
  </si>
  <si>
    <t>1350-9047</t>
  </si>
  <si>
    <t>1476-5403</t>
  </si>
  <si>
    <t>CELL DEATH DIFFER</t>
  </si>
  <si>
    <t>Cell Death Differ.</t>
  </si>
  <si>
    <t>10.1038/s41418-023-01219-9</t>
  </si>
  <si>
    <t>Biochemistry &amp; Molecular Biology; Cell Biology</t>
  </si>
  <si>
    <t>Q6XP7</t>
  </si>
  <si>
    <t>WOS:001058937700001</t>
  </si>
  <si>
    <t>Lorentzen, MH; Rosenvinge, FS; Lassen, AT; Graumann, O; Laursen, CB; Mogensen, CB; Skjot-Arkil, H</t>
  </si>
  <si>
    <t>Lorentzen, Morten Hjarno; Rosenvinge, Flemming Schonning; Lassen, Annmarie Touborg; Graumann, Ole; Laursen, Christian B.; Mogensen, Christian Backer; Skjot-Arkil, Helene</t>
  </si>
  <si>
    <t>Empirical antibiotic treatment for community-acquired pneumonia and accuracy for Legionella pneumophila, Mycoplasma pneumoniae, and Clamydophila pneumoniae: a descriptive cross-sectional study of adult patients in the emergency department</t>
  </si>
  <si>
    <t>BMC INFECTIOUS DISEASES</t>
  </si>
  <si>
    <t>Pneumonia; CAP; Empirical Antibiotic treatment; Legionella; Infection</t>
  </si>
  <si>
    <t>DIAGNOSIS; SOCIETY; AUDIT</t>
  </si>
  <si>
    <t>Background Many factors determine empirical antibiotic treatment of community-acquired pneumonia (CAP). We aimed to describe the empirical antibiotic treatment CAP patients with an acute hospital visit and to determine if the current treatment algorithm provided specific and sufficient coverage against Legionella pneumophila, Mycoplasma pneumoniae, and Clamydophila pneumoniae (LMC).Methods A descriptive cross-sectional, multicenter study of all adults with an acute hospital visit in the Region of Southern Denmark between January 2016 and March 2018 was performed. Using medical records, we retrospectively identified the empirical antibiotic treatment and the microbiological etiology for CAP patients. CAP patients who were prescribed antibiotics within 24 h of admission and with an identified bacterial pathogen were included. The prescribed empirical antibiotic treatment and its ability to provide specific and sufficient coverage against LMC pneumonia were determined.Results Of the 19,133 patients diagnosed with CAP, 1590 (8.3%) patients were included in this study. Piperacillin-tazobactam and Beta-lactamase sensitive penicillins were the most commonly prescribed empirical treatments, 515 (32%) and 388 (24%), respectively. Our analysis showed that 42 (37%, 95% CI: 28-47%) of 113 patients with LMC pneumonia were prescribed antibiotics with LMC coverage, and 42 (12%, 95% CI: 8-15%) of 364 patients prescribed antibiotics with LMC coverage had LMC pneumonia.Conclusion Piperacillin-tazobactam, a broad-spectrum antibiotic recommended for uncertain infectious focus, was the most frequent CAP treatment and prescribed to every third patient. In addition, the current empirical antibiotic treatment accuracy was low for LMC pneumonia. Therefore, future research should focus on faster diagnostic tools for identifying the infection focus and precise microbiological testing.</t>
  </si>
  <si>
    <t>[Lorentzen, Morten Hjarno; Mogensen, Christian Backer; Skjot-Arkil, Helene] Hosp Sonderjylland, Emergency Dept, Aabenraa, Denmark; [Lorentzen, Morten Hjarno; Mogensen, Christian Backer; Skjot-Arkil, Helene] Univ Southern Denmark, Dept Reg Hlth Res, Odense, Denmark; [Rosenvinge, Flemming Schonning] Odense Univ Hosp, Clin Microbiol, Odense, Denmark; [Lassen, Annmarie Touborg] Odense Univ Hosp, Emergency Dept, Odense, Denmark; [Lassen, Annmarie Touborg] Univ Southern Denmark, Dept Clin Res, Odense, Denmark; [Graumann, Ole] Aarhus Univ Hosp, Dept Radiol, Aarhus, Denmark; [Graumann, Ole] Aarhus Univ, Dept Clin Med, Aarhus, Denmark; [Laursen, Christian B.] Odense Univ Hosp, Dept Resp Med, Odense, Denmark; [Laursen, Christian B.] Univ Southern Denmark, Dept Clin Res, Odense Resp Res Unit ODIN, Odense, Denmark</t>
  </si>
  <si>
    <t>University of Southern Denmark; University of Southern Denmark; Odense University Hospital; University of Southern Denmark; Odense University Hospital; University of Southern Denmark; Aarhus University; Aarhus University; University of Southern Denmark; Odense University Hospital; University of Southern Denmark</t>
  </si>
  <si>
    <t>Lorentzen, MH (corresponding author), Hosp Sonderjylland, Emergency Dept, Aabenraa, Denmark.;Lorentzen, MH (corresponding author), Univ Southern Denmark, Dept Reg Hlth Res, Odense, Denmark.</t>
  </si>
  <si>
    <t>morten.hjarno.lorentzen2@rsyd.dk</t>
  </si>
  <si>
    <t>Lassen, Annmarie/0000-0003-4942-6152; Laursen, Christian Borbjerg/0000-0001-6382-9906; Mogensen, Christian Backer/0000-0002-8254-089X; Skjot-Arkil, Helene/0000-0002-2236-6375; Graumann, Ole/0000-0002-9663-8361; Lorentzen, Morten/0000-0002-3326-0904</t>
  </si>
  <si>
    <t>University Library of Southern Denmark; Danish ministry of health [1608963]</t>
  </si>
  <si>
    <t>University Library of Southern Denmark; Danish ministry of health</t>
  </si>
  <si>
    <t>Open access funding provided by University Library of Southern Denmark The SODAS cohort was funded with grants from the Danish ministry of health (number 1608963), Holbergsgade 6, 1057 Copenhagen K. MHL received scholarships from Hospital Sonderjylland and University of Southern Denmark. The funders had no influence over any aspect of this study.</t>
  </si>
  <si>
    <t>1471-2334</t>
  </si>
  <si>
    <t>BMC INFECT DIS</t>
  </si>
  <si>
    <t>BMC Infect. Dis.</t>
  </si>
  <si>
    <t>10.1186/s12879-023-08565-6</t>
  </si>
  <si>
    <t>Infectious Diseases</t>
  </si>
  <si>
    <t>R1RW7</t>
  </si>
  <si>
    <t>WOS:001062193600002</t>
  </si>
  <si>
    <t>Mallor, F; Semprini-Cesari, G; Mukha, T; Rezaeiravesh, S; Schlatter, P</t>
  </si>
  <si>
    <t>Mallor, Fermin; Semprini-Cesari, Giacomo; Mukha, Timofey; Rezaeiravesh, Saleh; Schlatter, Philipp</t>
  </si>
  <si>
    <t>Bayesian Optimization of Wall-Normal Blowing and Suction-Based Flow Control of a NACA 4412 Wing Profile</t>
  </si>
  <si>
    <t>FLOW TURBULENCE AND COMBUSTION</t>
  </si>
  <si>
    <t>Flow control; Bayesian optimization; Gaussian process regression; Drag reduction; Turbulence</t>
  </si>
  <si>
    <t>TURBULENT-BOUNDARY-LAYERS</t>
  </si>
  <si>
    <t>Active flow-control techniques have shown promise for achieving high levels of drag reduction. However, these techniques are often complex and involve multiple tunable parameters, making it challenging to optimize their efficiency. Here, we present a Bayesian optimization (BO) approach based on Gaussian process regression to optimize a wall-normal blowing and suction control scheme for a NACA 4412 wing profile at two angles of attack: 5 and 11 &amp; LCIRC;\documentclass[12pt]{minimal}\usepackage{amsmath}\usepackage{wasysym}\usepackage{amsfonts}\usepackage{amssymb}\usepackage{amsbsy}\usepackage{mathrsfs}\usepackage{upgreek}\setlength{\oddsidemargin}{-69pt}\begin{document}$$&lt;^&gt;\circ$$\end{document}, corresponding to cruise and high-lift scenarios, respectively. An automated framework is developed by linking the BO code to the CFD solver OpenFOAM. RANS simulations (validated against high-fidelity LES and experimental data) are used in order to evaluate the different flow cases. BO is shown to provide rapid convergence towards a global maximum, even when the complexity of the response function is increased by introducing a model for the cost of the flow control actuation. The importance of considering the actuation cost is highlighted: while some cases yield a net drag reduction (NDR), they may result in an overall power increase. Furthermore, optimizing for NDR or net power reduction (NPR) can lead to significantly different actuation strategies. Finally, by considering losses and efficiencies representative of real-world applications, still a significant NPR is achieved in the 11 &amp; LCIRC;\documentclass[12pt]{minimal}\usepackage{amsmath}\usepackage{wasysym}\usepackage{amsfonts}\usepackage{amssymb}\usepackage{amsbsy}\usepackage{mathrsfs}\usepackage{upgreek}\setlength{\oddsidemargin}{-69pt}\begin{document}$$&lt;^&gt;\circ$$\end{document} case, while net power reduction is only marginally positive in the 5 &amp; LCIRC;\documentclass[12pt]{minimal}\usepackage{amsmath}\usepackage{wasysym}\usepackage{amsfonts}\usepackage{amssymb}\usepackage{amsbsy}\usepackage{mathrsfs}\usepackage{upgreek}\setlength{\oddsidemargin}{-69pt}\begin{document}$$&lt;^&gt;\circ$$\end{document} case.</t>
  </si>
  <si>
    <t>[Mallor, Fermin; Semprini-Cesari, Giacomo; Mukha, Timofey; Schlatter, Philipp] KTH Royal Inst Technol, FLOW, Engn Mech, S-10044 Stockholm, Sweden; [Rezaeiravesh, Saleh] Univ Manchester, Dept Fluids &amp; Environm, Manchester M13 9PL, England; [Schlatter, Philipp] Friedich Alexander Univ FAU, Inst Fluid Mech LSTM, D-10044 Erlangen, Germany</t>
  </si>
  <si>
    <t>Royal Institute of Technology; University of Manchester</t>
  </si>
  <si>
    <t>Mallor, F (corresponding author), KTH Royal Inst Technol, FLOW, Engn Mech, S-10044 Stockholm, Sweden.</t>
  </si>
  <si>
    <t>mallor@kth.se</t>
  </si>
  <si>
    <t>Simulations in this work were performed on resources provided by the National Academic Infrastructure for Supercomputing in Sweden (NAISS) at the PDC Center for High Performance Computing in KTH (Stockholm), by the PRACE project nr. 2021250090 on HAWK (Stu [EHPC-REG-2021R0088]; PRACE project; European High-Performance Computing Joint Undertaking; Knut and Alice Wallenberg Foundation; [2021250090]</t>
  </si>
  <si>
    <t>Simulations in this work were performed on resources provided by the National Academic Infrastructure for Supercomputing in Sweden (NAISS) at the PDC Center for High Performance Computing in KTH (Stockholm), by the PRACE project nr. 2021250090 on HAWK (Stu; PRACE project; European High-Performance Computing Joint Undertaking; Knut and Alice Wallenberg Foundation(Knut &amp; Alice Wallenberg Foundation);</t>
  </si>
  <si>
    <t>Simulations in this work were performed on resources provided by the National Academic Infrastructure for Supercomputing in Sweden (NAISS) at the PDC Center for High Performance Computing in KTH (Stockholm), by the PRACE project nr. 2021250090 on HAWK (Stuttgart) and by the European High-Performance Computing Joint Undertaking (EuroHPC JU) project EHPC-REG-2021R0088 in LUMI (Finland). This research is funded by the Knut and Alice Wallenberg Foundation.</t>
  </si>
  <si>
    <t>1386-6184</t>
  </si>
  <si>
    <t>1573-1987</t>
  </si>
  <si>
    <t>FLOW TURBUL COMBUST</t>
  </si>
  <si>
    <t>Flow Turbul. Combust.</t>
  </si>
  <si>
    <t>10.1007/s10494-023-00475-6</t>
  </si>
  <si>
    <t>Q6ZN6</t>
  </si>
  <si>
    <t>WOS:001058987600003</t>
  </si>
  <si>
    <t>Mamdouh, M; Elsayed, SK; El-Rammah, S</t>
  </si>
  <si>
    <t>Mamdouh, Mohamed; Elsayed, Said K.; El-Rammah, Shady</t>
  </si>
  <si>
    <t>Investigation of the Properties of Hydrocarbon Natural Gases Under Confinement in Tight Reservoirs Due to Critical Properties Shift</t>
  </si>
  <si>
    <t>ARABIAN JOURNAL FOR SCIENCE AND ENGINEERING</t>
  </si>
  <si>
    <t>Confinement effects; Critical properties shift; Gas properties; Shale gas; Tight gas reservoirs</t>
  </si>
  <si>
    <t>Pure components exhibit different phase behavior and critical properties shift when confined, primarily due to increased molecules-pore wall interactions. While extensive research has focused on modeling this behavior for pure components, there is a need to extend these models to hydrocarbon gas mixtures in tight and shale reservoirs to understand the deviation of gas properties from bulk behavior. The study utilizes the Peng-Robinson equation of state to calculate gas properties, considering the shift in critical properties of pure components due to confinement in EOS parameter calculations. Trend analysis investigates the effect of pore size reduction on gas properties, introducing the concepts of the confinement impact factor and specific pore radius. Correlation analysis explores the relationships between variables. Nonlinear regression analysis leads to the development of a new correlation that accounts for confinement effects on gas properties. The findings reveal that the deviation from bulk properties depends on the pore radius, pressure, temperature, and gas composition. The magnitude of deviation ranges from negligible to exceeding 15% under specific conditions of high pressure, low temperature, small pore radius, and rich gas composition. Gas viscosity experiences the most significant alteration, followed by density, while the gas compressibility factor also displays a noticeable impact. The isothermal gas compressibility coefficient demonstrates minimal to no response to confinement. Decreasing pore radius increases the gas compressibility factor, while gas viscosity and density decrease. The obtained results are crucial for shale and tight reservoir engineering calculations, particularly in adjusting gas properties in reservoir simulation and production modeling software.</t>
  </si>
  <si>
    <t>[Mamdouh, Mohamed; Elsayed, Said K.; El-Rammah, Shady] Suez Univ, Fac Petr &amp; Min Engn, Suez, Egypt</t>
  </si>
  <si>
    <t>Egyptian Knowledge Bank (EKB); Suez University</t>
  </si>
  <si>
    <t>Mamdouh, M (corresponding author), Suez Univ, Fac Petr &amp; Min Engn, Suez, Egypt.</t>
  </si>
  <si>
    <t>m.mamdouh.eng161@suezuni.edu.eg; s.salem@suezuni.edu.eg; Shady.Elrammah@pme.suezuni.edu.eg</t>
  </si>
  <si>
    <t>Science, Technology amp; Innovation Funding Authority (STDF); Egyptian Knowledge Bank (EKB)</t>
  </si>
  <si>
    <t>Science, Technology amp; Innovation Funding Authority (STDF)(Science and Technology Development Fund (STDF)); Egyptian Knowledge Bank (EKB)</t>
  </si>
  <si>
    <t>Open access funding provided by The Science, Technology &amp; Innovation Funding Authority (STDF) in cooperation with The Egyptian Knowledge Bank (EKB)</t>
  </si>
  <si>
    <t>2193-567X</t>
  </si>
  <si>
    <t>2191-4281</t>
  </si>
  <si>
    <t>ARAB J SCI ENG</t>
  </si>
  <si>
    <t>Arab. J. Sci. Eng.</t>
  </si>
  <si>
    <t>10.1007/s13369-023-08210</t>
  </si>
  <si>
    <t>R2MG1</t>
  </si>
  <si>
    <t>WOS:001062733100005</t>
  </si>
  <si>
    <t>Nikpey, S; Ghafourifard, M; Ghahramanian, A</t>
  </si>
  <si>
    <t>Nikpey, Shayan; Ghafourifard, Mansour; Ghahramanian, Akram</t>
  </si>
  <si>
    <t>The association of compassionate care and coping with disease among patients undergoing hemodialysis</t>
  </si>
  <si>
    <t>RENAL REPLACEMENT THERAPY</t>
  </si>
  <si>
    <t>Chronic kidney disease; Hemodialysis; Compassionate care; Coping strategies; Adaptation</t>
  </si>
  <si>
    <t>CHRONIC KIDNEY-DISEASE; DIALYSIS</t>
  </si>
  <si>
    <t>Background Compassionate care is one of the concepts that is important to the care of patients with chronic diseases, especially for patients undergoing hemodialysis who deal with all kinds of problems and sufferings. This study aimed to measure the level of compassionate care from the perspective of hemodialysis patients and to assess the relationship between compassionate care and coping with the disease.Methods This cross-sectional study was conducted on 240 patients undergoing hemodialysis in two hemodialysis centers. The participants were selected by random sampling method. Data were collected by the Schwartz Center Compassionate Care Scale (SCCCS) and the Brief COPE scale. The collected data were analyzed using SPSS (version 26) software using ANOVA, t test, and Pearson's correlation coefficient.ResultsThe mean score of compassionate care from the perspective of patients on hemodialysis was 101.20 &amp; PLUSMN; 17.47 out of 120. Among coping strategies, problem-focused strategies which are considered efficient were used more than other emotional-focused and avoidance coping strategies. Moreover, there was a significant and positive relationship of compassionate care with problem-focused and emotional-focused strategies (p &lt; 0.05).Conclusion According to the results, providing compassionate care for patients on hemodialysis could help them to cope with their disease. Moreover, the results showed that providing compassionate care is associated with positive coping strategies. Therefore, it is suggested for healthcare working in the hemodialysis units provide high-quality compassionate care and help the patients and their families to cope with their chronic diseases.</t>
  </si>
  <si>
    <t>[Nikpey, Shayan; Ghafourifard, Mansour; Ghahramanian, Akram] Tabriz Univ Med Sci, Fac Nursing &amp; Midwifery, Dept Med Surg Nursing, Shariati Jonoubi St, Tabriz 4515789589, Iran; [Ghafourifard, Mansour] Tabriz Univ Med Sci, Hlth Management &amp; Safety Promot Res Inst, Med Educ Res Ctr, Tabriz, Iran</t>
  </si>
  <si>
    <t>Tabriz University of Medical Science; Tabriz University of Medical Science</t>
  </si>
  <si>
    <t>Ghafourifard, M (corresponding author), Tabriz Univ Med Sci, Fac Nursing &amp; Midwifery, Dept Med Surg Nursing, Shariati Jonoubi St, Tabriz 4515789589, Iran.;Ghafourifard, M (corresponding author), Tabriz Univ Med Sci, Hlth Management &amp; Safety Promot Res Inst, Med Educ Res Ctr, Tabriz, Iran.</t>
  </si>
  <si>
    <t>m.ghafori@yahoo.com</t>
  </si>
  <si>
    <t>This research is related to the MSc thesis project of first author in the Tabriz University of Medical Sciences. We thank all patients who participated in this study; Tabriz University of Medical Sciences</t>
  </si>
  <si>
    <t>This research is related to the MSc thesis project of first author in the Tabriz University of Medical Sciences. We thank all patients who participated in this study</t>
  </si>
  <si>
    <t>2059-1381</t>
  </si>
  <si>
    <t>RENAL REPLACE THER</t>
  </si>
  <si>
    <t>Renal Replace. Ther.</t>
  </si>
  <si>
    <t>10.1186/s41100-023-00499-8</t>
  </si>
  <si>
    <t>Urology &amp; Nephrology</t>
  </si>
  <si>
    <t>R0PJ2</t>
  </si>
  <si>
    <t>WOS:001061445200001</t>
  </si>
  <si>
    <t>Okabe, S; Gotoh, A</t>
  </si>
  <si>
    <t>Okabe, Seiichi; Gotoh, Akihiko</t>
  </si>
  <si>
    <t>Effect of asciminib and vitamin K2 on Abelson tyrosine-kinase-inhibitor-resistant chronic myelogenous leukemia cells</t>
  </si>
  <si>
    <t>Chronic myeloid leukemia; Imatinib resistance; Ponatinib; STAMP inhibitor; Vitamin K2</t>
  </si>
  <si>
    <t>APOPTOSIS; MANAGEMENT; MECHANISMS; EXPRESSION; AUTOPHAGY; PONATINIB; EFFICACY; CANCER; ABL</t>
  </si>
  <si>
    <t>BackgroundAbelson (ABL) tyrosine kinase inhibitors (TKIs) are effective against chronic myeloid leukemia (CML); however, many patients develop resistance during ABL TKI therapy. Vitamin K2 (VK2) is a crucial fat-soluble vitamin used to activate hepatic coagulation factors and treat osteoporosis. Although VK2 has demonstrated impressive anticancer activity in various cancer cell lines, it is not known whether VK2 enhances the effects of asciminib, which specifically targets the ABL myristoyl pocket (STAMP) inhibitor.MethodIn this work, we investigated whether VK2 contributed to the development of CML cell lines. We also investigated the efficacy of asciminib and VK2 by using K562, ponatinib-resistant K562 (K562 PR), Ba/F3 BCR-ABL, and T315I point mutant Ba/F3 (Ba/F3 T315I) cells.ResultsBased on data from the Gene Expression Omnibus (GEO) database, gamma-glutamyl carboxylase (GGCX) and vitamin K epoxide reductase complex subunit 1 (VKORC1) were elevated in imatinib-resistant patients (GSE130404). UBIA Prenyltransferase Domain Containing 1 (UBIAD1) was decreased, and K562 PR cells were resistant to ponatinib. In contrast, asciminib inhibited CML cells and ponatinib resistance in a dose-dependent manner. CML cells were suppressed by VK2. Caspase 3/7 activity was also elevated, as was cellular cytotoxicity. Asciminib plus VK2 therapy induced a significantly higher level of cytotoxicity than use of each drug alone. Asciminib and VK2 therapy altered the mitochondrial membrane potential.ConclusionsAsciminib and VK2 are suggested as a novel treatment for ABL-TKI-resistant cells since they increase treatment efficacy. Additionally, this treatment option has intriguing clinical relevance for patients who are resistant to ABL TKIs.</t>
  </si>
  <si>
    <t>[Okabe, Seiichi; Gotoh, Akihiko] Tokyo Med Univ, Dept Hematol, 6-7-1 Nishi Shinjuku, Tokyo 1600023, Japan</t>
  </si>
  <si>
    <t>Okabe, S (corresponding author), Tokyo Med Univ, Dept Hematol, 6-7-1 Nishi Shinjuku, Tokyo 1600023, Japan.</t>
  </si>
  <si>
    <t>okabe@tokyo-med.ac.jp</t>
  </si>
  <si>
    <t>10.1186/s12885-023-11304-4</t>
  </si>
  <si>
    <t>Q8PD9</t>
  </si>
  <si>
    <t>WOS:001060077700004</t>
  </si>
  <si>
    <t>Oshima, K; Yamazaki, K</t>
  </si>
  <si>
    <t>Oshima, Kotoe; Yamazaki, Kentaro</t>
  </si>
  <si>
    <t>Immune checkpoint inhibitor therapy in neoadjuvant and adjuvant treatment for cancer: A paradigm shift in the treatment of resectable gastrointestinal cancer 3)A paradigm shift in the treatment of colorectal cancer</t>
  </si>
  <si>
    <t>INTERNATIONAL JOURNAL OF CLINICAL ONCOLOGY</t>
  </si>
  <si>
    <t>Immunotherapy; Colorectal cancer; Mismatch repair; Microsatellite instability; Neoadjuvant therapy; Adjuvant therapy</t>
  </si>
  <si>
    <t>MISMATCH REPAIR-DEFICIENT; MICROSATELLITE INSTABILITY; POOLED ANALYSIS; SOLID TUMORS; OPEN-LABEL; NIVOLUMAB; BLOCKADE; IMMUNOTHERAPY; CHEMOTHERAPY; LYMPHOCYTES</t>
  </si>
  <si>
    <t>Immune checkpoint inhibitors, such as anti-programmed cell death-1, programmed cell death ligand-1, and cytotoxic T-lymphocyte antigen-4 monoclonal antibodies, have been notably effective in various types of cancers. Mismatch repair deficiency and microsatellite instability-high tumors have been established as striking biomarkers for response to immune checkpoint inhibitors. These biomarkers show a higher mutational burden, have cancer-associated neoantigens, and dense immune cell infiltration, which generates a robust immune response. For metastatic colorectal cancer, pembrolizumab and nivolumab, with or without ipilimumab, are recommended for chemotherapy-refractory patients, and pembrolizumab is recommended for chemotherapy-naive patients with mismatch repair deficiency and microsatellite instability-high tumors. Conversely, patients with mismatch repair-proficient and microsatellite-stable metastatic colorectal cancer showed no clinical benefit from immune checkpoint inhibitor monotherapy. Currently, combination therapy with anti-programmed cell death-1/programmed cell death ligand-1 and cytotoxic T-lymphocyte antigen-4 monoclonal antibodies or a combination of immune checkpoint inhibitors with molecular targeting agents or radiotherapy have been investigated to modulate immune cells and enhance therapeutic efficacy in mismatch repair-proficient and microsatellite-stable metastatic colorectal cancer. Furthermore, immune checkpoint inhibitors have been developed for neoadjuvant and adjuvant settings. In this review, we summarize the existing clinical data and discuss future perspectives with a focus on immune checkpoint inhibitor-based treatments for colorectal cancer.</t>
  </si>
  <si>
    <t>[Oshima, Kotoe; Yamazaki, Kentaro] Shizuoka Canc Ctr, Div Gastrointestinal Oncol, 1007 Shimonagakubo,Nagaizumi Cho, Shizuoka 4118777, Japan</t>
  </si>
  <si>
    <t>Shizuoka Cancer Center</t>
  </si>
  <si>
    <t>Yamazaki, K (corresponding author), Shizuoka Canc Ctr, Div Gastrointestinal Oncol, 1007 Shimonagakubo,Nagaizumi Cho, Shizuoka 4118777, Japan.</t>
  </si>
  <si>
    <t>k.yamazaki1121@gmail.com</t>
  </si>
  <si>
    <t>1341-9625</t>
  </si>
  <si>
    <t>1437-7772</t>
  </si>
  <si>
    <t>INT J CLIN ONCOL</t>
  </si>
  <si>
    <t>Int. J. Clin. Oncol.</t>
  </si>
  <si>
    <t>10.1007/s10147-023-02387</t>
  </si>
  <si>
    <t>Q6XR8</t>
  </si>
  <si>
    <t>WOS:001058939800001</t>
  </si>
  <si>
    <t>Parisien, MA; Barber, QE; Bourbonnais, ML; Daniels, LD; Flannigan, MD; Gray, RW; Hoffman, KM; Jain, P; Stephens, SL; Taylor, SW; Whitman, E</t>
  </si>
  <si>
    <t>Parisien, Marc-Andre; Barber, Quinn E.; Bourbonnais, Mathieu L.; Daniels, Lori D.; Flannigan, Mike D.; Gray, Robert W.; Hoffman, Kira M.; Jain, Piyush; Stephens, Scott L.; Taylor, Steve W.; Whitman, Ellen</t>
  </si>
  <si>
    <t>Abrupt, climate-induced increase in wildfires in British Columbia since the mid-2000s</t>
  </si>
  <si>
    <t>COMMUNICATIONS EARTH &amp; ENVIRONMENT</t>
  </si>
  <si>
    <t>MOUNTAIN PINE-BEETLE; FIRE OCCURRENCE; VANCOUVER-ISLAND; FOREST; CANADA; TEMPERATE; US; ATTRIBUTION; MANAGEMENT; DYNAMICS</t>
  </si>
  <si>
    <t>In the province of British Columbia, Canada, four of the most severe wildfire seasons of the last century occurred in the past 7 years: 2017, 2018, 2021, and 2023. To investigate trends in wildfire activity and fire-conducive climate, we conducted an analysis of mapped wildfire perimeters and annual climate data for the period of 1919-2021. Results show that after a century-long decline, fire activity increased from 2005 onwards, coinciding with a sharp reversal in the wetting trend of the 20th century. Even as precipitation levels remain high, moisture deficits have increased due to rapid warming and increased evaporative demand. Bottom-up factors further influence fire activity, as the legacy of past wildfires, insect outbreaks, and land-use practices continually influence fire regimes. The compound effects of climate-induced moisture changes and altered fuels now force British Columbians to confront the harsh reality of more frequent years of intense and prolonged wildfire activity. Wildfires in British Columbia, Canada, have increased dramatically since the mid-2000s in response to shifts from wet to dry conditions, insect outbreaks and changes in land use practices, according to an analysis of fire and climate data over the period 1919-2021</t>
  </si>
  <si>
    <t>[Parisien, Marc-Andre; Barber, Quinn E.; Jain, Piyush; Whitman, Ellen] Nat Resources Canada, Canadian Forest Serv, Northern Forestry Ctr, Edmonton, AB, Canada; [Bourbonnais, Mathieu L.] Univ British Columbia Okanagan, Dept Earth Environm &amp; Geog Sci, Kelowna, BC, Canada; [Daniels, Lori D.; Hoffman, Kira M.] Univ British Columbia, Fac Forestry, Vancouver, BC, Canada; [Flannigan, Mike D.] Thompson Rivers Univ, Nat Resource Sci, Kamloops, BC, Canada; [Gray, Robert W.] RW Gray Consulting Ltd, Chilliwack, BC, Canada; [Stephens, Scott L.] Univ Calif Berkeley, Dept Environm Sci Policy &amp; Management, Berkeley, CA USA; [Taylor, Steve W.] Nat Resources Canada, Canadian Forest Serv, Pacific Forestry Ctr, Victoria, BC, Canada</t>
  </si>
  <si>
    <t>Natural Resources Canada; Canadian Forest Service; University of British Columbia; University of British Columbia Okanagan; University of British Columbia; University of California System; University of California Berkeley; Natural Resources Canada; Canadian Forest Service</t>
  </si>
  <si>
    <t>Parisien, MA (corresponding author), Nat Resources Canada, Canadian Forest Serv, Northern Forestry Ctr, Edmonton, AB, Canada.</t>
  </si>
  <si>
    <t>marc-andre.parisien@nrcan-rncan.gc.ca</t>
  </si>
  <si>
    <t>Parisien, Marc-Andre/0000-0002-8158-7434</t>
  </si>
  <si>
    <t>Natural Resources Canada as part of the work towards the Emergency Management Strategy for Canada</t>
  </si>
  <si>
    <t>Natural Resources Canada as part of the work towards the Emergency Management Strategy for Canada(Natural Resources Canada)</t>
  </si>
  <si>
    <t>We thank Andreas Hamann for his assistance with preliminary model inputs and interpretation of mid-century climate trends. M.-A.P., Q.E.B., P.J., S.G.T. and E.W. acknowledge funding from Natural Resources Canada as part of the work towards the Emergency Management Strategy for Canada.</t>
  </si>
  <si>
    <t>2662-4435</t>
  </si>
  <si>
    <t>COMMUN EARTH ENVIRON</t>
  </si>
  <si>
    <t>Commun. Earth Environ.</t>
  </si>
  <si>
    <t>10.1038/s43247-023-00977-1</t>
  </si>
  <si>
    <t>Environmental Sciences; Geosciences, Multidisciplinary; Meteorology &amp; Atmospheric Sciences</t>
  </si>
  <si>
    <t>Environmental Sciences &amp; Ecology; Geology; Meteorology &amp; Atmospheric Sciences</t>
  </si>
  <si>
    <t>R4BJ3</t>
  </si>
  <si>
    <t>WOS:001063814000003</t>
  </si>
  <si>
    <t>Paulsen, L; Benz, L; Müller, C; Wallmann-Sperlich, B; Bucksch, J</t>
  </si>
  <si>
    <t>Paulsen, Lisa; Benz, Lea; Mueller, Christina; Wallmann-Sperlich, Birgit; Bucksch, Jens</t>
  </si>
  <si>
    <t>Personal determinants of change agents' decision-making behavior in community health promotion: a qualitative study</t>
  </si>
  <si>
    <t>Determinants; Decision-making; Planning; Implementation; Intervention mapping; Change agents; Community; Local politics; Local government; Health promotion</t>
  </si>
  <si>
    <t>PHYSICAL-ACTIVITY; IMPLEMENTATION; INTERVENTION; POLICY; FACILITATORS; GUIDELINES; BARRIERS; LESSONS; OBESITY</t>
  </si>
  <si>
    <t>BackgroundImplementing environmental changes to promote healthier communities requires initial positive decisions by change agents from local politics and government. However, there is little research on what influences the change agents' decisions. This explorative, qualitative study aims to identify the personal determinants of the decision-making behavior of local change agents.MethodsWe conducted semi-structured interviews to assess the personal determinants of decision-making behavior among 22 change agents from local politics and government. Relevant determinants were identified through a structured content analysis of the interview transcripts using the software MAXQDA 2020.ResultsWe found the following seven essential clusters of personal determinants of the decision-making behavior of change agents from local politics and government: Imprinting, socialization, and biography; experiences and involvement; attitudes and outcome expectations towards important issues and aspects; knowledge; emotions; personal benefits; and the perceived influences of others.ConclusionsThe identified personal determinants might serve as a source of understanding the decision-making behavior of change agents in community decision-making processes. Our findings can contribute to the effective planning and implementation of evidence-based multilevel interventions related to changing environmental conditions in communities and provide important information on which personal determinants should be considered when derive strategies for community health promotion within a systematic approach of developing an intervention program theory.</t>
  </si>
  <si>
    <t>[Paulsen, Lisa; Benz, Lea; Bucksch, Jens] Heidelberg Univ Educ, Dept Prevent &amp; Hlth Promot, Kepler Str 87, D-69120 Heidelberg, Germany; [Mueller, Christina; Wallmann-Sperlich, Birgit] Univ Wurzburg, Inst Sport Sci, Judenbuhlweg 11, D-97082 Wurzburg, Germany</t>
  </si>
  <si>
    <t>Ruprecht Karls University Heidelberg; University of Wurzburg</t>
  </si>
  <si>
    <t>Paulsen, L (corresponding author), Heidelberg Univ Educ, Dept Prevent &amp; Hlth Promot, Kepler Str 87, D-69120 Heidelberg, Germany.</t>
  </si>
  <si>
    <t>paulsen@ph-heidelberg.de</t>
  </si>
  <si>
    <t>10.1186/s12889-023-16590-y</t>
  </si>
  <si>
    <t>R1RN1</t>
  </si>
  <si>
    <t>WOS:001062184000002</t>
  </si>
  <si>
    <t>Pociecha, A; Buczek, K; Margielewski, W; Kupryjanowicz, M; Filoc , M; Korzen, K; Krapiec, M; Sala, D; Obidowicz, A; Michczynska, DJ; Michczynski, A; Borowka, R; Tomkowiak, J</t>
  </si>
  <si>
    <t>Pociecha, Agnieszka; Buczek, Krzysztof; Margielewski, Wlodzimierz; Kupryjanowicz, Miroslawa; Filoc, Magdalena; Korzen, Katarzyna; Krapiec, Marek; Sala, Dariusz; Obidowicz, Andrzej; Michczynska, Danuta J.; Michczynski, Adam; Borowka, Ryszard; Tomkowiak, Julita</t>
  </si>
  <si>
    <t>Appearance of the rotifer community as a potential indicator of stable paleohydrological conditions in peatlands since the Late Glacial: a case study of three wetlands in Poland</t>
  </si>
  <si>
    <t>HYDROBIOLOGIA</t>
  </si>
  <si>
    <t>Rotifers; Paleoenvironment; Peatlands; Multiproxy analysis; Poland</t>
  </si>
  <si>
    <t>RAISED BOG; PALEOENVIRONMENTAL CHANGES; PEAT STRATIGRAPHY; HOLOCENE; CLIMATE; EUROPE; IMPACT; VARIABILITY; COLLAPSE; HISTORY</t>
  </si>
  <si>
    <t>In paleolimnological studies, rotifers are usually a very rare component in multiproxy research. These small invertebrates are identified from sediments by their loricas. Analysis of subfossil rotifers was conducted for sediment cores collected from three peatlands in within Poland: the Grel raised bog (S Poland, Carpathians, Orawa-Nowy Targ Basin), the Imszar raised bog (NE Poland, Podlasie Region), and the Podemszczyzna peatland (SE Poland, Sandomierz Basin). Results were compared with multiproxy analyses of peat deposits: pollen of aquatic and mire plants, non-pollen palynomorphs (NPPs), and geochemical analyses. Analysis of the rotifers indicated the occurrence of the bdelloid species Habrotrocha angusticollis (Murray, 1905). In all profiles of the studied peatlands, the occurrence of rotifers was not correlated with pollen of aquatic or mire plants or NPPs; they seem to be more related to geochemical indices. The highest densities of rotifers were found in profile sections without significant fluctuations of geochemical variables, i.e. those with higher Na/K (chemical denudation) ratios and stable redox conditions (Fe/Mn ratio). The study of subfossil rotifers supported by multiproxy analysis of peat deposits could be a useful tool for indication of periods with stable palaeohydrological conditions during the Late Glacial and Holocene.</t>
  </si>
  <si>
    <t>[Pociecha, Agnieszka; Buczek, Krzysztof; Margielewski, Wlodzimierz] Polish Acad Sci, Inst Nat Conservat, Adama Mickiewicza Ave 33, PL-31120 Krakow, Poland; [Kupryjanowicz, Miroslawa; Filoc, Magdalena] Univ Bialystok, Ciolkowskiego Str 1J, PL-15245 Bialystok, Poland; [Krapiec, Marek] AGH Univ Sci &amp; Technol, Adama Mickiewicza Ave 30, PL-30059 Krakow, Poland; [Sala, Dariusz] Polish Acad Sci, Inst Nucl Phys, Radzikowskiego Str 152, PL-31342 Krakow, Poland; [Obidowicz, Andrzej] Polish Acad Sci, W Szafer Inst Bot, Lubicz Str 46, PL-31512 Krakow, Poland; [Michczynska, Danuta J.; Michczynski, Adam] Silesian Univ Tech, Inst Phys CSE, Konarskiego 22B, PL-44100 Gliwice, Poland; [Borowka, Ryszard; Tomkowiak, Julita] Univ Szczecin, Mickiewicza Str 18, PL-70383 Szczecin, Poland</t>
  </si>
  <si>
    <t>Polish Academy of Sciences; University of Bialystok; AGH University of Krakow; Polish Academy of Sciences; Institute of Nuclear Physics - Polish Academy of Sciences; Polish Academy of Sciences; W. Szafer Institute of Botany of the Polish Academy of Sciences; Silesian University of Technology; University of Szczecin</t>
  </si>
  <si>
    <t>Pociecha, A (corresponding author), Polish Acad Sci, Inst Nat Conservat, Adama Mickiewicza Ave 33, PL-31120 Krakow, Poland.</t>
  </si>
  <si>
    <t>pociecha@iop.krakow.pl</t>
  </si>
  <si>
    <t>Michczynska, Danuta Joanna/HNS-8345-2023</t>
  </si>
  <si>
    <t>Michczynska, Danuta Joanna/0000-0001-5348-5791; Filoc, Magdalena/0000-0003-1226-2676</t>
  </si>
  <si>
    <t>National Science Centre, Poland [2017/25/B/ST10/02439]</t>
  </si>
  <si>
    <t>National Science Centre, Poland(National Science Centre, Poland)</t>
  </si>
  <si>
    <t>This study was supported with funds from the National Science Centre, Poland, Grant No. 2017/25/B/ST10/02439 (2018-2022).</t>
  </si>
  <si>
    <t>0018-8158</t>
  </si>
  <si>
    <t>1573-5117</t>
  </si>
  <si>
    <t>Hydrobiologia</t>
  </si>
  <si>
    <t>10.1007/s10750-023-05339-8</t>
  </si>
  <si>
    <t>Marine &amp; Freshwater Biology</t>
  </si>
  <si>
    <t>Q6YF7</t>
  </si>
  <si>
    <t>WOS:001058953700001</t>
  </si>
  <si>
    <t>Rodriguez, CI; Zorumski, CF</t>
  </si>
  <si>
    <t>Rodriguez, Carolyn I.; Zorumski, Charles F.</t>
  </si>
  <si>
    <t>Rapid and novel treatments in psychiatry: the future is now</t>
  </si>
  <si>
    <t>[Rodriguez, Carolyn I.] Stanford Univ, Dept Psychiat &amp; Behav Sci, Stanford, CA 94305 USA; [Rodriguez, Carolyn I.] Vet Affairs Palo Alto Hlth Care Syst, Palo Alto, CA 94304 USA; [Zorumski, Charles F.] Washington Univ, Sch Med, Dept Psychiat, Ctr Brain Res Mood Disorders,Taylor Family Inst In, St Louis, MO 63110 USA; [Zorumski, Charles F.] Washington Univ, Sch Med, Dept Neurosci, St Louis, MO 63130 USA</t>
  </si>
  <si>
    <t>Stanford University; US Department of Veterans Affairs; Veterans Health Administration (VHA); VA Palo Alto Health Care System; Washington University (WUSTL); Washington University (WUSTL)</t>
  </si>
  <si>
    <t>Rodriguez, CI (corresponding author), Stanford Univ, Dept Psychiat &amp; Behav Sci, Stanford, CA 94305 USA.;Rodriguez, CI (corresponding author), Vet Affairs Palo Alto Hlth Care Syst, Palo Alto, CA 94304 USA.;Zorumski, CF (corresponding author), Washington Univ, Sch Med, Dept Psychiat, Ctr Brain Res Mood Disorders,Taylor Family Inst In, St Louis, MO 63110 USA.;Zorumski, CF (corresponding author), Washington Univ, Sch Med, Dept Neurosci, St Louis, MO 63130 USA.</t>
  </si>
  <si>
    <t>carolynrodriguez@stanford.edu; zorumskc@wustl.edu</t>
  </si>
  <si>
    <t>Rodriguez, Carolyn/AHA-2872-2022</t>
  </si>
  <si>
    <t>Rodriguez, Carolyn/0000-0001-6697-1692</t>
  </si>
  <si>
    <t>10.1038/s41386-023-01720-2</t>
  </si>
  <si>
    <t>R2LY3</t>
  </si>
  <si>
    <t>WOS:001062724900001</t>
  </si>
  <si>
    <t>Sahini, MG</t>
  </si>
  <si>
    <t>Sahini, Mtabazi G.</t>
  </si>
  <si>
    <t>Polylactic acid (PLA)-based materials: a review on the synthesis and drug delivery applications</t>
  </si>
  <si>
    <t>EMERGENT MATERIALS</t>
  </si>
  <si>
    <t>Poly(lactic acid); Drug loading; Controlled drug release; Biocompatibility; Biodegradable polymers</t>
  </si>
  <si>
    <t>IN-VITRO; POLY(LACTIC ACID); CONTROLLED-RELEASE; BIODEGRADABLE POLYMERS; LACTIC-ACID; MOLECULAR-WEIGHT; STEREOCOMPLEX CRYSTALLIZATION; PLGA MICROSPHERES; BLOCK-COPOLYMERS; NANOPARTICLES</t>
  </si>
  <si>
    <t>Controlled drug release is an important aspect of biomedical applications of polymer materials. Polylactic acid (PLA)-based materials have been thoroughly researched for biomedical applications, owing to their attractive properties. Here, the advancements in the preparation and application of PLA-based polymers for drug delivery are reviewed. In addition to discussing the potentials of the PLA-based materials for drug delivery, the production techniques and various geometries of the drug carriers are also covered. The review has established that several drugs, including ibuprofen, amphotericin B, paclitaxel, 5-fluorouracil, doxorubicin, ketoprofen, rifampicin, salinomycin, ciprofloxacin, and ornidazole, have been successfully loaded into and released from PLA-based materials. Due to the hydrophobic nature of PLA, its modification to accommodate both the hydrophobic and hydrophilic drugs is emphasized in the literature.</t>
  </si>
  <si>
    <t>[Sahini, Mtabazi G.] Univ Dodoma, Coll Nat &amp; Math Sci, Dept Chem, POB 338, Dodoma, Tanzania</t>
  </si>
  <si>
    <t>Sahini, MG (corresponding author), Univ Dodoma, Coll Nat &amp; Math Sci, Dept Chem, POB 338, Dodoma, Tanzania.</t>
  </si>
  <si>
    <t>mtabazi.sahini@udom.ac.tz</t>
  </si>
  <si>
    <t>University of Dodoma through the Directorate of Research, Publications and Consultancy (DRPC)</t>
  </si>
  <si>
    <t>The author acknowledges the financial support from The University of Dodoma through the Directorate of Research, Publications and Consultancy (DRPC) in facilitating the completion of this manuscript writing.</t>
  </si>
  <si>
    <t>2522-5731</t>
  </si>
  <si>
    <t>2522-574X</t>
  </si>
  <si>
    <t>EMERGENT MATER</t>
  </si>
  <si>
    <t>Emerg. Mater.</t>
  </si>
  <si>
    <t>10.1007/s42247-023-00551-7</t>
  </si>
  <si>
    <t>R1PO0</t>
  </si>
  <si>
    <t>WOS:001062132500002</t>
  </si>
  <si>
    <t>Saranya, M; Samuel, GG</t>
  </si>
  <si>
    <t>Saranya, M.; Samuel, G. Giftson</t>
  </si>
  <si>
    <t>Energy management in hybrid photovoltaic-wind system using optimized neural network</t>
  </si>
  <si>
    <t>PV; Wind; PMSG; Switched TQZS boost converter; Cuckoo RBFNN; MPPT; ANN; Grid</t>
  </si>
  <si>
    <t>PV SYSTEM; MPPT TECHNIQUE; CONVERTER; CONTROLLER; ALGORITHM; DESIGN</t>
  </si>
  <si>
    <t>In recent era, the reduction of greenhouse gas emission and fuel consumption is accompanied by adopting photovoltaic (PV) and wind turbine-based hybrid renewable energy sources (HRES). In nature, an intermittent characteristic of the wind speed and solar irradiation makes these sources unpredictable, and hence, energy produced by wind and PV system generates uncertain conditions in operation of microgrid. In such cases, the security and reliability of microgrid are enhanced by integration of energy storage system (ESS). This work deals with an energy management in a hybrid system incorporating PV source and permanent magnet synchronous generator (PMSG)-based wind energy system. The PV output is enhanced with a help of switched trans-quasi-Z-source (TQZS) boost converter in which cuckoo search-assisted radial basis function neural network (RBFNN) approach is used as maximum power point tracking (MPPT) technique for tracking maximum photovoltaic power. The proposed approach results in high-power tracking efficiency with reduced power loss and settling time. A battery is incorporated to address an intermittent nature of RES. Artificial neural networks (ANN), which are capable of self-learning battery dynamics, keep track of the state-of-charge (SOC) of the battery. The system thus framed is implemented using MATLAB software, and promising results are generated in terms of power management with improved efficiency of 92%, gain ratio of 1:10 and total harmonic distortion (THD) value of 2.33%, respectively.</t>
  </si>
  <si>
    <t>[Saranya, M.] Arasu Engn Coll, Kumbakonam 612501, Tamil Nadu, India; [Samuel, G. Giftson] Sir Issac Newton Coll Engn &amp; Technol, Nagapattinam, Tamil Nadu, India</t>
  </si>
  <si>
    <t>Saranya, M (corresponding author), Arasu Engn Coll, Kumbakonam 612501, Tamil Nadu, India.</t>
  </si>
  <si>
    <t>saranyam111.eee@gmail.com; giftsam2k@gmail.com</t>
  </si>
  <si>
    <t>G, GIFTSON SAMUEL/0000-0003-2520-4870</t>
  </si>
  <si>
    <t>10.1007/s00202-023-01991-4</t>
  </si>
  <si>
    <t>Q6ZQ0</t>
  </si>
  <si>
    <t>WOS:001058990000002</t>
  </si>
  <si>
    <t>Savel, C; Chausset, A; Berland, P; Guiguet-Auclair, C; Cabane, L; Fautrel, B; Gaudin, P; Guillot, P; Hayem, G; Lafarge, D; Merlin, E; Peziere, N; Sordet, C; Trope, S; Tournadre, A; Malochet, S; Cohen, JD</t>
  </si>
  <si>
    <t>Savel, Carine; Chausset, Aurelie; Berland, Pauline; Guiguet-Auclair, Candy; Cabane, Laura; Fautrel, Bruno; Gaudin, Philippe; Guillot, Pascale; Hayem, Gilles; Lafarge, Delphine; Merlin, Etienne; Peziere, Nadine; Sordet, Christelle; Trope, Sonia; Tournadre, Anne; Malochet, Sandrine; Cohen, Jean-David</t>
  </si>
  <si>
    <t>Survey of adolescents' needs and parents' views on sexual health in juvenile idiopathic arthritis</t>
  </si>
  <si>
    <t>Juvenile idiopathic arthritis; Sexual health; Healthcare providers; Patient education; Adolescents; Parents</t>
  </si>
  <si>
    <t>QUALITY-OF-LIFE; YOUNG-ADULTS; RHEUMATOID-ARTHRITIS; CHRONIC ILLNESS; CHILDREN; EXPERIENCES; MEDIA; DISABILITY; DISEASE</t>
  </si>
  <si>
    <t>BackgroundAlthough the advent of new therapeutics for juvenile idiopathic arthritis (JIA) patients has considerably lessened the impact of the disease and reduced its sequelae, the outcomes of JIA remain important in their lives. Disease repercussions and side effects of treatments may affect sexual health and cause psychological distress. This aim of the study was to determine the expectations of adolescent JIA patients and the perceptions of their parents regarding knowledge and communication with healthcare providers (HCPs) in the field of sexual health (SH).MethodsIn France, from September 2021 to April 2022, a survey was conducted, using anonymous self-administered questionnaires, among JIA patients (adults (aged 18-45 years) to provide insights from their recollection of their adolescence) and their parents in nine rheumatology centers and three patient associations.ResultsThe responses to the 76 patient questionnaires and 43 parent questionnaires that were collected were analyzed. Half of the patients thought JIA impacted their romantic relationships, but the results were less clear-cut for their sexual activity; and 58.7% of the patients said they would be comfortable discussing the subject with HCPs, but only 26.3% had done so, mainly regarding biomedical issues. The patients and their parents thought that ideally, the topic should be addressed in an individual patient education session at the hospital (51.3% and 34.9%, respectively), in a regular consultation (47.4% and 53.5%), or in a dedicated consultation requested by the adolescent without the adolescent's parents being informed (38.2% and 20.9%). Most of the respondents thought HCPs should be proactive in SH (77.6% of the patients and 69.8% of their parents). More patients than parents said the following digital information tools must be used: videos (29.0% vs. 9.3%, p = 0.0127) and smartphone applications (25.0% vs. 9.3%, p = 0.0372).ConclusionHCPs should consider addressing the unmet need for SH discussions during their patient encounters. To meet this need, we propose concrete actions in line with the wishes of patients and parents.Clinical trial registration numberNCT04791189.</t>
  </si>
  <si>
    <t>[Savel, Carine; Chausset, Aurelie; Merlin, Etienne] CHU Clermont Ferrand, CRECHE Unit, Dept Pediat, INSERM CIC 1405, 1 Pl Lucie &amp; Raymond Aubrac, F-63100 Clermont Ferrand, France; [Savel, Carine; Guiguet-Auclair, Candy] CHU Clermont Ferrand, Dept Publ Hlth, Clermont Ferrand, France; [Chausset, Aurelie] Claude Bernard Univ Lyon 1, Res Healthcare Performance RESHAPE, INSERM U1290, Lyon, France; [Berland, Pauline] CHU Clermont Ferrand, Dept Publ Hlth, Transversal Patient Educ Unit, Clermont Ferrand, France; [Cabane, Laura] CHU Nice, Rheumatol Dept, Nice, France; [Fautrel, Bruno] Sorbonne Univ, Hop Pitie Salpetriere, AP HP, Serv Rhumatol, Paris, France; [Gaudin, Philippe] Univ Grenoble Alpes, T RAIG, TIMC IMAG, CNRS UMR 5525, Grenoble, France; [Gaudin, Philippe] Grenoble Alpes Univ Hosp, Dept Rheumatol, Grenoble, France; [Guillot, Pascale] Nantes Univ Hosp, Rheumatol Dept, 1 Pl Alexis Ricordeau, Nantes, France; [Hayem, Gilles] Paris St Joseph Hosp, Rheumatol Dept, Paris, France; [Lafarge, Delphine] Assoc France Spondyloarthr AFS, Tulle, France; [Merlin, Etienne] CHU Clermont Ferrand, Dept Pediat, Clermont Ferrand, France; [Peziere, Nadine] Assoc Kourir, Paris, France; [Sordet, Christelle] Hop Univ Strasbourg, Natl Reference Ctr Syst Autoimmune Dis RESO, Dept Rheumatol, Strasbourg, France; [Trope, Sonia] Assoc Natl Def Arthr Rhumatoide ANDAR, Paris, France; [Tournadre, Anne; Malochet, Sandrine] CHU Clermont Ferrand, Rheumatol, Clermont Ferrand, France; [Cohen, Jean-David] Ctr Hosp Univ Montpellier, Rheumatol Dept, Montpellier, France</t>
  </si>
  <si>
    <t>Institut National de la Sante et de la Recherche Medicale (Inserm); CHU Clermont Ferrand; CHU Clermont Ferrand; UDICE-French Research Universities; Universite Claude Bernard Lyon 1; CHU Clermont Ferrand; CHU Nice; Assistance Publique Hopitaux Paris (APHP); Hopital Universitaire Paul-Brousse - APHP; UDICE-French Research Universities; Universite Paris Cite; Hopital Universitaire Hotel-Dieu - APHP; Hopital Universitaire Cochin - APHP; Hopital Universitaire Saint-Louis - APHP; Hopital Universitaire Pitie-Salpetriere - APHP; Sorbonne Universite; UDICE-French Research Universities; Communaute Universite Grenoble Alpes; Institut National Polytechnique de Grenoble; Universite Grenoble Alpes (UGA); Centre National de la Recherche Scientifique (CNRS); CNRS - Institute for Engineering &amp; Systems Sciences (INSIS); Communaute Universite Grenoble Alpes; UDICE-French Research Universities; Universite Grenoble Alpes (UGA); CHU Grenoble Alpes; Nantes Universite; CHU de Nantes; UDICE-French Research Universities; Universite Paris Cite; Hopital Paris Saint-Joseph; CHU Clermont Ferrand; CHU Strasbourg; UDICE-French Research Universities; Universites de Strasbourg Etablissements Associes; Universite de Strasbourg; CHU Clermont Ferrand; Universite de Montpellier; CHU de Montpellier</t>
  </si>
  <si>
    <t>Savel, C (corresponding author), CHU Clermont Ferrand, CRECHE Unit, Dept Pediat, INSERM CIC 1405, 1 Pl Lucie &amp; Raymond Aubrac, F-63100 Clermont Ferrand, France.;Savel, C (corresponding author), CHU Clermont Ferrand, Dept Publ Hlth, Clermont Ferrand, France.</t>
  </si>
  <si>
    <t>csavel@chu-clermontferrand.fr</t>
  </si>
  <si>
    <t>The authors thank all the parents and the patients who took part in this study. We also thank Alexandre Belot (HFME, Lyon, France) for proofreading the questionnaires, Pierre Rybarczyk (child psychologist, CHU Clermont Ferrand) for his scientific expertise</t>
  </si>
  <si>
    <t>The authors thank all the parents and the patients who took part in this study. We also thank Alexandre Belot (HFME, Lyon, France) for proofreading the questionnaires, Pierre Rybarczyk (child psychologist, CHU Clermont Ferrand) for his scientific expertise, the clinical research associates, and all the professionals involved in data collection.</t>
  </si>
  <si>
    <t>10.1186/s12969-023-00884-x</t>
  </si>
  <si>
    <t>Q7BK3</t>
  </si>
  <si>
    <t>WOS:001059037100001</t>
  </si>
  <si>
    <t>Shimura, Y; Shibayama, H; Nakaya, A; Yamamura, R; Imada, K; Kaneko, H; Hanamoto, H; Fuchida, SI; Tanaka, H; Kosugi, S; Kiyota, M; Matsui, T; Kanda, J; Iida, M; Matsuda, M; Uoshima, N; Shibano, M; Karasuno, T; Hamada, T; Ohta, K; Ito, T; Yagi, H; Yoshihara, S; Shimazaki, C; Nomura, S; Hino, M; Takaori-Kondo, A; Matsumura, I; Kanakura, Y; Kuroda, J</t>
  </si>
  <si>
    <t>Shimura, Yuji; Shibayama, Hirohiko; Nakaya, Aya; Yamamura, Ryosuke; Imada, Kazunori; Kaneko, Hitomi; Hanamoto, Hitoshi; Fuchida, Shin-ichi; Tanaka, Hirokazu; Kosugi, Satoru; Kiyota, Miki; Matsui, Toshimitsu; Kanda, Junya; Iida, Masato; Matsuda, Mitsuhiro; Uoshima, Nobuhiko; Shibano, Masaru; Karasuno, Takahiro; Hamada, Tsuneyoshi; Ohta, Kensuke; Ito, Tomoki; Yagi, Hideo; Yoshihara, Satoshi; Shimazaki, Chihiro; Nomura, Shosaku; Hino, Masayuki; Takaori-Kondo, Akifumi; Matsumura, Itaru; Kanakura, Yuzuru; Kuroda, Junya</t>
  </si>
  <si>
    <t>Real-world data on induction therapy in patients with transplant-ineligible newly diagnosed multiple myeloma: retrospective analysis of 598 cases from Kansai Myeloma Forum</t>
  </si>
  <si>
    <t>INTERNATIONAL JOURNAL OF HEMATOLOGY</t>
  </si>
  <si>
    <t>Multiple myeloma; Proteosome inhibitors; Immunomodulatory drugs</t>
  </si>
  <si>
    <t>INTERNATIONAL STAGING SYSTEM; DOSE DEXAMETHASONE; BORTEZOMIB; LENALIDOMIDE; OUTCOMES; DARATUMUMAB; SURVIVAL; IMPACT; TRIAL</t>
  </si>
  <si>
    <t>To investigate the real-world clinical outcomes and management of novel drug-containing therapies for newly diagnosed multiple myeloma (MM) patients, we retrospectively analyzed data on the first-line treatment for newly diagnosed transplant-ineligible MM patients from Kansai Myeloma Forum, a registry network in Japan. A total of 598 patients treated with novel drugs between March 2007 and February 2018 were analyzed. Regimens used were VD (n = 305), Rd (n = 103), VMP (n = 97), VCD (n = 71), and VRd (n = 22). Younger patients tended to receive VRd or VCD, whereas the regimen with the highest median patient age was Rd. More than three-quarters of patients in the Rd group received a reduced dose of lenalidomide. The Rd and VRd groups had a relatively high incidence of infection and skin complications, and the VMP group had the highest incidence of peripheral neuropathy. Overall response rate did not differ significantly between regimens. Multivariate analysis in all patients revealed several poor prognostic factors, such as poor performance status. Novel drug-containing regimens for newly diagnosed MM showed a durable response with manageable AEs in the real-world setting.</t>
  </si>
  <si>
    <t>[Shimura, Yuji; Kuroda, Junya] Kyoto Prefectural Univ Med, Dept Med, Div Hematol &amp; Oncol, 465 Kajii Cho,Kamigyo Ku, Kyoto 6028566, Japan; [Shibayama, Hirohiko] Osaka Univ, Grad Sch Med, Dept Hematol &amp; Oncol, Osaka, Japan; [Nakaya, Aya] Kansai Med Univ, Med Ctr, Dept Internal Med 1, Div Hematol, Osaka, Japan; [Yamamura, Ryosuke] Osaka Saiseikai Nakatsu Hosp, Dept Hematol, Osaka, Japan; [Imada, Kazunori; Kaneko, Hitomi] Japanese Red Cross Osaka Hosp, Dept Hematol, Osaka, Japan; [Hanamoto, Hitoshi] Kindai Univ, Nara Hosp, Dept Hematol, Nara, Japan; [Fuchida, Shin-ichi; Shimazaki, Chihiro] Japan Community Hlth Care Org, Kyoto Kuramaguchi Med Ctr, Dept Hematol, Kyoto, Japan; [Tanaka, Hirokazu; Matsumura, Itaru] Kindai Univ, Fac Med, Dept Hematol &amp; Rheumatol, Osaka, Japan; [Kosugi, Satoru] Toyonaka City Hosp, Dept Internal Med Hematol, Osaka, Japan; [Kiyota, Miki] Matsushita Mem Hosp, Dept Hematol, Osaka, Japan; [Matsui, Toshimitsu] Nishiwaki Municipal Hosp, Dept Hematol, Nishiwaki, Hyogo, Japan; [Kanda, Junya; Takaori-Kondo, Akifumi] Kyoto Univ, Grad Sch Med, Dept Hematol &amp; Oncol, Kyoto, Japan; [Iida, Masato] Kawasaki Hosp Internal Med, Kobe, Hyogo, Japan; [Matsuda, Mitsuhiro] PL Gen Hosp, Dept Hematol, Osaka, Japan; [Uoshima, Nobuhiko] Japanese Red Cross Kyoto Daini Hosp, Dept Hematol, Kyoto, Japan; [Shibano, Masaru] Sakai City Med Ctr, Dept Hematol, Osaka, Japan; [Karasuno, Takahiro] Rinku Gen Med Ctr, Dept Hematol, Osaka, Japan; [Hamada, Tsuneyoshi] Kyoto Katsura Hosp, Hematol Div Int Med, Kyoto, Japan; [Ohta, Kensuke] Hematol Ohta Clin, Osaka, Japan; [Ito, Tomoki; Nomura, Shosaku] Kansai Med Univ, Dept Internal Med 1, Osaka, Japan; [Yagi, Hideo] Nara Prefecture Gen Med Ctr, Dept Hematol &amp; Oncol, Nara, Japan; [Yoshihara, Satoshi] Hyogo Coll Med, Dept Internal Med, Div Hematol, Nishinomiya, Hyogo, Japan; [Hino, Masayuki] Osaka City Univ, Grad Sch Med, Dept Hematol, Osaka, Japan; [Kanakura, Yuzuru] Sumitomo Hosp, Dept Hematol, Osaka, Japan</t>
  </si>
  <si>
    <t>Kyoto Prefectural University of Medicine; Osaka University; Kansai Medical University; Kindai University (Kinki University); Kindai University (Kinki University); Kyoto University; Kansai Medical University; Hyogo College of Medicine; Osaka Metropolitan University; Sumitomo Hospital</t>
  </si>
  <si>
    <t>Shimura, Y (corresponding author), Kyoto Prefectural Univ Med, Dept Med, Div Hematol &amp; Oncol, 465 Kajii Cho,Kamigyo Ku, Kyoto 6028566, Japan.</t>
  </si>
  <si>
    <t>yshimura@koto.kpu-m.ac.jp</t>
  </si>
  <si>
    <t>Shimura, Yuji/0000-0001-9309-7902</t>
  </si>
  <si>
    <t>This study was funded by Celgene (Current Bristol Myers Squibb). We are grateful to all the patients and their families registered in this study and all KMF members for their scientific support. We also thank to Ms. Okuyama R for her paperwork assistance.; Celgene (Current Bristol Myers Squibb)</t>
  </si>
  <si>
    <t>This study was funded by Celgene (Current Bristol Myers Squibb). We are grateful to all the patients and their families registered in this study and all KMF members for their scientific support. We also thank to Ms. Okuyama R for her paperwork assistance.</t>
  </si>
  <si>
    <t>0925-5710</t>
  </si>
  <si>
    <t>1865-3774</t>
  </si>
  <si>
    <t>INT J HEMATOL</t>
  </si>
  <si>
    <t>Int. J. Hematol.</t>
  </si>
  <si>
    <t>10.1007/s12185-023-03653-4</t>
  </si>
  <si>
    <t>Hematology</t>
  </si>
  <si>
    <t>Q6WV3</t>
  </si>
  <si>
    <t>WOS:001058917000001</t>
  </si>
  <si>
    <t>Shin, B; Yun, CS</t>
  </si>
  <si>
    <t>Shin, Bona; Yun, Changsang</t>
  </si>
  <si>
    <t>Multidimensional analysis for fabric drapability</t>
  </si>
  <si>
    <t>FASHION AND TEXTILES</t>
  </si>
  <si>
    <t>Fabric drapability; Multidimensional analysis; Drape coefficient; Drape shape; Node</t>
  </si>
  <si>
    <t>ENHANCING ACCURACY; DRAPE SIMULATION; PART I; PARAMETERS; BEHAVIOR</t>
  </si>
  <si>
    <t>This study analyzed fabric drapability in one, two, and three dimensions to provide an assessment method reflecting real conditions. One-dimensional analysis of drapability involved observing the fabric movement by reciprocating motion. The movement appeared differently depending on the fabric characteristics, and the shape and location of the node showed differently, which were considered to be influenced by the weight of the sample along with the drape coefficient. Two-dimensional analysis identified the significant factors for the drape information. This examination confirmed that, even if drape factors were similar, differences in draped shape were observed based on the factors related to node shapes. Three-dimensional analysis, using a 3D scanner, involved the use of the mean distances between draped samples and the standard truncated cone, their standard deviation, and the coefficient of variation. The coefficient of variation was high in the groups wherein the shape of the drape was irregular. In the 3D analysis, the distances between samples and the standard truncated cone were expressed in colors to intuitively deliver the drape information. To determine a factor that could indicate drapability among the factors derived from each dimension, the existing drape coefficient was employed for correlation analysis. Three pairs of samples with similar drape coefficients but different drape shapes were selected to verify the above results. In conclusion, one-dimensional node location, two-dimensional standard deviation of node severity, and three-dimensional coefficient of variation were shown to effectively demonstrate the drape characteristic that the drape coefficient could not indicate.</t>
  </si>
  <si>
    <t>[Shin, Bona; Yun, Changsang] Ewha Womans Univ, Dept Fash Ind, 52 Ewhayeodae Gil, Seoul 03760, South Korea</t>
  </si>
  <si>
    <t>Yun, CS (corresponding author), Ewha Womans Univ, Dept Fash Ind, 52 Ewhayeodae Gil, Seoul 03760, South Korea.</t>
  </si>
  <si>
    <t>cyun@ewha.ac.kr</t>
  </si>
  <si>
    <t>2198-0802</t>
  </si>
  <si>
    <t>FASH TEXT</t>
  </si>
  <si>
    <t>Fash. Text.</t>
  </si>
  <si>
    <t>10.1186/s40691-023-00352-w</t>
  </si>
  <si>
    <t>Materials Science, Textiles</t>
  </si>
  <si>
    <t>Q8CP6</t>
  </si>
  <si>
    <t>WOS:001059750400001</t>
  </si>
  <si>
    <t>Topaloglu, I</t>
  </si>
  <si>
    <t>Topaloglu, Ismail</t>
  </si>
  <si>
    <t>Sensitivity Analysis Based New Numerical Approach with Green Function for Optimization</t>
  </si>
  <si>
    <t>JOURNAL OF ELECTRICAL ENGINEERING &amp; TECHNOLOGY</t>
  </si>
  <si>
    <t>Sensitivity analysis; Shape optimization; High voltage; Electrostatic</t>
  </si>
  <si>
    <t>MAGNETIC DEVICES; DESIGN</t>
  </si>
  <si>
    <t>In this study, sensitivity analysis based on a new numerical approach is developed for the three-dimensional structural optimization of high voltage system devices. It has been developed using Green's theorem in a closed form to satisfy all boundary conditions and necessary conditions, including material and geometric dimensions. The developed sensitivity function and objective function are suitable for structural optimization of all electrostatic problems. The suitability and application of the developed function were made on the bushing. The changing geometry information was obtained from the developed sensitivity function as a result of the optimization. The analysis made with the classical design and the developed function were compared with each other. Optimization with the developed function has provided insulation and conductor size reduction. Experimental test devices before and after optimization process produced and tested. These results are presented in the study.</t>
  </si>
  <si>
    <t>[Topaloglu, Ismail] Univ Glasgow, Sci &amp; Engn Fac, Dept Elect &amp; Nanoscale Engn, Glasgow, Scotland</t>
  </si>
  <si>
    <t>University of Glasgow</t>
  </si>
  <si>
    <t>Topaloglu, I (corresponding author), Univ Glasgow, Sci &amp; Engn Fac, Dept Elect &amp; Nanoscale Engn, Glasgow, Scotland.</t>
  </si>
  <si>
    <t>Ismail.topaloglu@glasgow.ac.uk</t>
  </si>
  <si>
    <t>1975-0102</t>
  </si>
  <si>
    <t>2093-7423</t>
  </si>
  <si>
    <t>J ELECTR ENG TECHNOL</t>
  </si>
  <si>
    <t>J. Electr. Eng. Technol.</t>
  </si>
  <si>
    <t>10.1007/s42835-023-01639-0</t>
  </si>
  <si>
    <t>Q6ZY2</t>
  </si>
  <si>
    <t>WOS:001058998200003</t>
  </si>
  <si>
    <t>Villumsen, KR; Sandvang, D; Vestergard, G; Olsen, MSR; Juul, J; Dencker, M; Kudsk, J; Poulsen, LL</t>
  </si>
  <si>
    <t>Villumsen, Kasper Romer; Sandvang, Dorthe; Vestergard, Gisle; Olsen, Mia Son Raefle; Juul, Johanne; Dencker, Morten; Kudsk, Johannes; Poulsen, Louise Ladefoged</t>
  </si>
  <si>
    <t>Effects of a novel, non-invasive pre-hatch application of probiotic for broilers on development of cecum microbiota and production performance</t>
  </si>
  <si>
    <t>ANIMAL MICROBIOME</t>
  </si>
  <si>
    <t>Broiler production; Broiler performance; Field trial; Cecal microbiota; Early probiotic application</t>
  </si>
  <si>
    <t>LIVE PERFORMANCE; EXTRAPOLATION; RAREFACTION; ILEAL</t>
  </si>
  <si>
    <t>BackgroundProbiotics are used in the broiler industry to increase production performance. Most often a probiotic is applied by mixing it in the feed, but studies have shown that earlier application may be advantageous. Therefore, in ovo application where the probiotic is administrated into the egg before hatch has been investigated as an alternative application method. However, in ovo application may impact hatchability negatively and may not be feasible at all hatcheries. The purpose of this study was to investigate the effect of a novel non-invasive method for mass application before hatch. The probiotic (E. faecium 669) was applied as a single dose by spray on the unhatched eggs and production performance and development of the cecal microbiota until slaughter was compared with a control flock. Through 16S rRNA sequencing of cecal samples from 25 broilers at day 7, 21 and 37 we compared the microbiota composition and richness for each group. The study was repeated for additional recording of production performance and re-isolation of the probiotic E. faecium from the intestine.ResultsIn both trials the probiotic E. faecium could be re-isolated from the yolk sac and intestine at hatch and at day 7. Broilers in the probiotic treated groups had a higher performance in terms of bodyweight at day 34 and European production efficiency factor. Finally, a significant reduction of first-week and overall mortality was observed in the probiotic group in the first trial. Based on 16S rRNA profiling, significant differences in alpha diversity were found exclusively at day 37. Estimation of beta diversities, however, identified significant differences in microbiota composition between the control and probiotic group at day 7, 21 and 37.ConclusionThe probiotic E. faecium strain successfully colonized broilers before/during hatch after a single spray application at day 18 of incubation. Positive effects of the probiotic were observed in multiple production parameters, including reduced mortality in trial 1, and microbiota analyses indicate significantly different microbiota compositions throughout the experimental phase. Taken together, the novel low-tech mass administration of E. faecium (669) may be considered a feasible strategy for improvements of production parameters in broiler production.</t>
  </si>
  <si>
    <t>[Villumsen, Kasper Romer; Olsen, Mia Son Raefle; Poulsen, Louise Ladefoged] Univ Copenhagen, Fac Hlth &amp; Med Sci, Dept Vet &amp; Anim Sci, Stigboejlen 4, DK-1870 Frederiksberg, Denmark; [Sandvang, Dorthe; Vestergard, Gisle] Chr Hansen AS, Anim Hlth Innovat, Boege 10, Horsholm, Denmark; [Juul, Johanne] Ceva Anim Hlth, Ladegardsvej 2, DK-7100 Vejle, Denmark; [Dencker, Morten; Kudsk, Johannes] DanHatch AS, Hoertoftvej 14, DK-6400 Sonderborg, Denmark</t>
  </si>
  <si>
    <t>University of Copenhagen; Chr Hansen</t>
  </si>
  <si>
    <t>Poulsen, LL (corresponding author), Univ Copenhagen, Fac Hlth &amp; Med Sci, Dept Vet &amp; Anim Sci, Stigboejlen 4, DK-1870 Frederiksberg, Denmark.</t>
  </si>
  <si>
    <t>Ladefog@sund.ku.dk</t>
  </si>
  <si>
    <t>, Kasper/0000-0002-0616-4095</t>
  </si>
  <si>
    <t>The managers at the broiler farm and personnel at the hatchery are thanked for their participation and involvement in the experiment. Ida Thoefner is thanked for participating in the postmortem investigations.</t>
  </si>
  <si>
    <t>2524-4671</t>
  </si>
  <si>
    <t>ANIM MICROBIOME</t>
  </si>
  <si>
    <t>Anim. Microbiome</t>
  </si>
  <si>
    <t>10.1186/s42523-023-00263-7</t>
  </si>
  <si>
    <t>Microbiology; Veterinary Sciences</t>
  </si>
  <si>
    <t>Q6WI3</t>
  </si>
  <si>
    <t>WOS:001058904000001</t>
  </si>
  <si>
    <t>Wu, MY; Chong, HW; Tan, YY; Lim, BTM; Wong, AMS; Oh, RRY; Lee, JGH; Ng, EYX; Rheindt, FE</t>
  </si>
  <si>
    <t>Wu, Meng Yue; Chong, Han Wei; Tan, Yen Yi; Lim, Bryan T. M.; Wong, Anna M. S.; Oh, Rachel Rui Ying; Lee, Jessica G. H.; Ng, Elize Y. X.; Rheindt, Frank E.</t>
  </si>
  <si>
    <t>Genomic data reveal shift in geographic source of an illegally traded songbird</t>
  </si>
  <si>
    <t>CONSERVATION GENETICS</t>
  </si>
  <si>
    <t>Wildlife trade; Poaching; Sundaland; Wildlife forensics</t>
  </si>
  <si>
    <t>TOOL; DNA</t>
  </si>
  <si>
    <t>Wildlife trade is one of the major contributors to biodiversity loss in Southeast Asia, especially in songbirds. Wildlife forensics using genomic data can be instrumental in informing conservation action by identifying trade routes and animals' provenance to help law enforcement. We obtained similar to 10,000 genome-wide markers spanning a panel of 87 wild, captive, and confiscated individuals of one of the most widely traded songbirds in Southeast Asia, Swinhoe's white-eye (Zosterops simplex), to examine shifts in trade routes. Our population-genomic analyses reveal that a well-studied population of this white-eye on Singapore Island exhibits a major genomic contribution from the geographically distant subspecies simplex, reflecting historic trade into Singapore from China. In contrast, modern confiscated samples as well as a minority of wild Singapore samples carry the genomic signature of the Southeast Asian subspecies erwini, suggesting that modern trade sources in Singapore have shifted from China towards adjacent Malaysia. Our study highlights how accurate identification of trade routes can help conservationists' efforts in tackling the growing songbird crisis in the region.</t>
  </si>
  <si>
    <t>[Wu, Meng Yue; Chong, Han Wei; Tan, Yen Yi; Lim, Bryan T. M.; Ng, Elize Y. X.; Rheindt, Frank E.] Natl Univ Singapore, Dept Biol Sci, Singapore, Singapore; [Chong, Han Wei; Lim, Bryan T. M.; Wong, Anna M. S.] Natl Pk Board, Ctr Wildlife Forens, Singapore Bot Gardens, 1 Cluny Rd, Singapore 259569, Singapore; [Oh, Rachel Rui Ying] Natl Pk Board, Ctr Urban Greenery &amp; Ecol, Bot Gardens, 1 Cluny Rd, Singapore 259569, Singapore; [Lee, Jessica G. H.] Mandai Nat, 80 Mandai Lake, Singapore 729826, Singapore; [Wu, Meng Yue] Univ Basel, Zool Inst, Dept Environm Sci, Basel, Switzerland; [Oh, Rachel Rui Ying] UFZ Helmholtz Ctr Environm Res, Leipzig, Germany; [Oh, Rachel Rui Ying] German Ctr Integrat Biodivers Res iDiv, D-04103 Leipzig, Germany; [Ng, Elize Y. X.] Univ Tasmania, Sch Nat Sci, Discipline Biol Sci, Hobart, Tas, Australia</t>
  </si>
  <si>
    <t>National University of Singapore; University of Basel; Helmholtz Association; Helmholtz Center for Environmental Research (UFZ); University of Tasmania</t>
  </si>
  <si>
    <t>Rheindt, FE (corresponding author), Natl Univ Singapore, Dept Biol Sci, Singapore, Singapore.</t>
  </si>
  <si>
    <t>dbsrfe@nus.edu.sg</t>
  </si>
  <si>
    <t>1566-0621</t>
  </si>
  <si>
    <t>1572-9737</t>
  </si>
  <si>
    <t>CONSERV GENET</t>
  </si>
  <si>
    <t>Conserv. Genet.</t>
  </si>
  <si>
    <t>10.1007/s10592-023-01564-9</t>
  </si>
  <si>
    <t>Biodiversity Conservation; Genetics &amp; Heredity</t>
  </si>
  <si>
    <t>Biodiversity &amp; Conservation; Genetics &amp; Heredity</t>
  </si>
  <si>
    <t>R1PE8</t>
  </si>
  <si>
    <t>WOS:001062123300001</t>
  </si>
  <si>
    <t>Yoshimaru, K; Matsuura, T; Uchida, Y; Sonoda, S; Maeda, S; Kajihara, K; Kawano, Y; Shirai, T; Toriigahara, Y; Kalim, AS; Zhang, XY; Takahashi, Y; Kawakubo, N; Nagata, K; Yamaza, H; Yamaza, T; Taguchi, T; Tajiri, T</t>
  </si>
  <si>
    <t>Yoshimaru, Koichiro; Matsuura, Toshiharu; Uchida, Yasuyuki; Sonoda, Soichiro; Maeda, Shohei; Kajihara, Keisuke; Kawano, Yuki; Shirai, Takeshi; Toriigahara, Yukihiro; Kalim, Alvin Santoso; Zhang, Xiu-Ying; Takahashi, Yoshiaki; Kawakubo, Naonori; Nagata, Kouji; Yamaza, Haruyoshi; Yamaza, Takayoshi; Taguchi, Tomoaki; Tajiri, Tatsuro</t>
  </si>
  <si>
    <t>Cutting-edge regenerative therapy for Hirschsprung disease and its allied disorders</t>
  </si>
  <si>
    <t>SURGERY TODAY</t>
  </si>
  <si>
    <t>Hirschsprung disease; Allied disorders of Hirschsprung disease; Regenerative therapy; Stem cell therapy; Hypoganglionosis; Chronic idiopathic intestinal pseudo-obstruction</t>
  </si>
  <si>
    <t>ENTERIC NERVOUS-SYSTEM; MESENCHYMAL STEM-CELLS; INTESTINAL HYPOPERISTALSIS SYNDROME; CREST-DERIVED CELLS; SMOOTH-MUSCLE; INTERSTITIAL-CELLS; ISOLATED HYPOGANGLIONOSIS; NATIONWIDE SURVEY; ANATOMIC MODIFICATIONS; AMNIOTIC-FLUID</t>
  </si>
  <si>
    <t>Hirschsprung disease (HSCR) and its associated disorders (AD-HSCR) often result in severe hypoperistalsis caused by enteric neuropathy, mesenchymopathy, and myopathy. Notably, HSCR involving the small intestine, isolated hypoganglionosis, chronic idiopathic intestinal pseudo-obstruction, and megacystis-microcolon-intestinal hypoperistalsis syndrome carry a poor prognosis. Ultimately, small-bowel transplantation (SBTx) is necessary for refractory cases, but it is highly invasive and outcomes are less than optimal, despite advances in surgical techniques and management. Thus, regenerative therapy has come to light as a potential form of treatment involving regeneration of the enteric nervous system, mesenchyme, and smooth muscle in affected areas. We review the cutting-edge regenerative therapeutic approaches for managing HSCR and AD-HSCR, including the use of enteric nervous system progenitor cells, embryonic stem cells, induced pluripotent stem cells, and mesenchymal stem cells as cell sources, the recipient intestine's microenvironment, and transplantation methods. Perspectives on the future of these treatments are also discussed.</t>
  </si>
  <si>
    <t>[Yoshimaru, Koichiro; Matsuura, Toshiharu; Uchida, Yasuyuki; Maeda, Shohei; Kajihara, Keisuke; Kawano, Yuki; Toriigahara, Yukihiro; Kalim, Alvin Santoso; Zhang, Xiu-Ying; Kawakubo, Naonori; Nagata, Kouji; Tajiri, Tatsuro] Kyushu Univ, Grad Sch Med Sci, Dept Pediat Surg Reprod &amp; Dev Med, 3-1-1 Maidashi,Higashi Ku, Fukuoka 8128582, Japan; [Sonoda, Soichiro; Yamaza, Takayoshi] Kyushu Univ, Grad Sch Dent Sci, Dept Mol Cell Biol &amp; Oral Anat, 3-1-1 Maidashi,Higashi Ku, Fukuoka 8128582, Japan; [Shirai, Takeshi] Miyazaki Prefectural Miyazaki Hosp, Dept Pediat Surg, 5-30 Kitatakamatsu Cho, Miyazaki, Miyazaki 8808510, Japan; [Takahashi, Yoshiaki] Niigata Univ, Grad Sch Med &amp; Dent Sci, Dept Pediat Surg, 1-757 Asahimachi Dori,Chuo Ku, Niigata, Japan; [Yamaza, Haruyoshi] Kyushu Univ, Grad Sch Dent Sci, Dept Pediat Dent, 3-1-1 Maidashi,Higashi Ku, Fukuoka 8128582, Japan; [Taguchi, Tomoaki] Fukuoka Coll Hlth Sci, 2-15-1 Tamura,Sawara Ku, Fukuoka 8140193, Japan</t>
  </si>
  <si>
    <t>Kyushu University; Kyushu University; Niigata University; Kyushu University</t>
  </si>
  <si>
    <t>Matsuura, T (corresponding author), Kyushu Univ, Grad Sch Med Sci, Dept Pediat Surg Reprod &amp; Dev Med, 3-1-1 Maidashi,Higashi Ku, Fukuoka 8128582, Japan.</t>
  </si>
  <si>
    <t>yosimaru@med.kyushu-u.ac.jp; matsuura@pedsurg.med.kyushu-u.ac.jp; uchida.yasuyuki.149@s.kyushu-u.ac.jp; ilikeanimalaso@dent.kyushu-u.ac.jp; shyo735@yahoo.co.jp; kay.kajihara@gmail.com; y-kawano@pedsurg.med.kyushu-u.ac.jp; shiraitk.fku.2837@gmail.com; trghr.ykhr@live.jp; kalim.alvin.217@s.kyushu-u.ac.jp; zhang.xiuying.740@m.kyushu-u.ac.jp; yoshiaki-t@med.niigata-u.ac.jp; naonori@med.kyushu-u.ac.jp; nagata.koji.318@m.kyushu-u.ac.jp; hyamaza@dent.kyushu-u.ac.jp; yamazata@dent.kyushu-u.ac.jp; taguchi.tomoaki.223@m.kyushu-u.ac.jp; tajiri.tatsuro.909@m.kyushu-u.ac.jp</t>
  </si>
  <si>
    <t>The authors would like to thank Brian Quinn (Editor-in-Chief, Japan Medical Communication) for his assistance with the English language in the manuscript. The authors would also like to express sincere gratitude to the other members of the Department of Pe</t>
  </si>
  <si>
    <t>The authors would like to thank Brian Quinn (Editor-in-Chief, Japan Medical Communication) for his assistance with the English language in the manuscript. The authors would also like to express sincere gratitude to the other members of the Department of Pediatric Surgery, Kyushu University Hospital for their extraordinary support and excellent technical assistance. The illustration was created using Biorender.com.</t>
  </si>
  <si>
    <t>0941-1291</t>
  </si>
  <si>
    <t>1436-2813</t>
  </si>
  <si>
    <t>SURG TODAY</t>
  </si>
  <si>
    <t>Surg. Today</t>
  </si>
  <si>
    <t>10.1007/s00595-023-02741-6</t>
  </si>
  <si>
    <t>Q6WZ9</t>
  </si>
  <si>
    <t>WOS:001058921700001</t>
  </si>
  <si>
    <t>Zhang, QY; Wang, TZ; Zhu, XY</t>
  </si>
  <si>
    <t>Zhang, Qiyao; Wang, Tianzhen; Zhu, Xiaoyuan</t>
  </si>
  <si>
    <t>Fixed-time extended disturbance observer-based switching control of quadrotor UAV under marine wind condition</t>
  </si>
  <si>
    <t>Quadrotor UAV; Switching control; Fixed-time extended disturbance observer; Active disturbance rejection control; Marine wind condition</t>
  </si>
  <si>
    <t>TRACKING CONTROL; ATTITUDE-CONTROL; HELICOPTER</t>
  </si>
  <si>
    <t>In this paper, an observer-based switching control scheme is proposed for quadrotor unmanned aerial vehicle (UAV) against complex and variable marine wind. Firstly, dynamics model of quadrotor UAV along with marine wind field model is established. A fixed-time extended disturbance observer (FTEDO) is then developed to improve performance of active disturbance rejection control (ADRC) against strong wind disturbance, which is also further utilized to realize wind speed estimation simultaneously. Based on the estimated wind speed, switching mechanism is constructed for quadrotor UAV to select appropriate controller between traditional PID and FTEDO-based ADRC. Finally, effectiveness as well as performance of the proposed switching control strategy is verified by using comparative simulation tests.</t>
  </si>
  <si>
    <t>[Zhang, Qiyao; Wang, Tianzhen] Shanghai Maritime Univ, Sch Logist Engn, Shanghai 201306, Peoples R China; [Zhu, Xiaoyuan] Southeast Univ, Sch Mech Engn, Nanjing 211189, Peoples R China</t>
  </si>
  <si>
    <t>Shanghai Maritime University; Southeast University - China</t>
  </si>
  <si>
    <t>Zhu, XY (corresponding author), Southeast Univ, Sch Mech Engn, Nanjing 211189, Peoples R China.</t>
  </si>
  <si>
    <t>zhuxyc@gmail.com</t>
  </si>
  <si>
    <t>Zhu, Xiaoyuan/0000-0001-7012-5237</t>
  </si>
  <si>
    <t>National Natural Science Foundation of China [52172402]</t>
  </si>
  <si>
    <t>Funding is provided by the National Natural Science Foundation of China (Grant No. 52172402).</t>
  </si>
  <si>
    <t>10.1007/s40435-023-01295-2</t>
  </si>
  <si>
    <t>Q6YZ9</t>
  </si>
  <si>
    <t>WOS:001058973900002</t>
  </si>
  <si>
    <t>Zhang, ZF; Wang, DZ; Zhang, JJ; Ruan, YL; Zhao, L; Yang, L; Liu, Z; Yang, L; Lou, CJ</t>
  </si>
  <si>
    <t>Zhang, Zhengfeng; Wang, Dazhen; Zhang, Jianji; Ruan, Yuli; Zhao, Lu; Yang, Liu; Liu, Ze; Yang, Lei; Lou, Changjie</t>
  </si>
  <si>
    <t>Comparison of the effectiveness of chemotherapy combined with immunotherapy and chemotherapy alone in advanced biliary tract cancer and construction of the nomogram for survival prediction based on the inflammatory index and controlling nutritional status score</t>
  </si>
  <si>
    <t>CANCER IMMUNOLOGY IMMUNOTHERAPY</t>
  </si>
  <si>
    <t>Nomogram; Advanced biliary tract cancer; Immune checkpoint inhibitors; Inflammatory index; Controlling nutritional status score</t>
  </si>
  <si>
    <t>Objective To analyze the effectiveness of combining immune checkpoint inhibitors (ICIs) with first-line therapy in patients with advanced biliary tract cancer (BTC) and explore the biomarkers affecting the prognosis of immunotherapy, to construct a nomogram for the prediction of survival.Methods A retrospective study was conducted to include a total of 209 patients with advanced BTC treated in the first line from 2018 to 2022, divided into a combination therapy group (n = 129) and a chemotherapy-only group (n = 80) according to whether ICIs were applied in combination. Univariate and multifactorial COX regression analyses were performed on variables that may affect prognosis to identify independent influences on patient prognosis, and this was used to create nomograms, which were then prospectively validated and calibrated.Results The median progression-free survival (mPFS) and median overall survival (mOS) of patients in the combination therapy group were higher than those in the chemotherapy alone group [hazard ratio (HR) = 1.152, 95% confidence interval (CI): 0.7848-1.692, p = 0.0004, and HR = 1.067, 95% CI: 0.7474-1.524, p = 0.0016]. The objective response rate (ORR) of patients in the combination therapy and chemotherapy alone groups was 39.5% (51/129) vs. 27.5% (22/80), and the disease control rate (DCR) between the two groups was 89.9% (116/129) vs. 83.8% (67/80). Univariate analysis revealed the gender, presence of long-term tobacco and alcohol, degree of histological differentiation, serum albumin level, presence of liver metastases, presence of multi-visceral metastases, response, neutrophil-to-lymphocyte ratio (NLR), platelet-to-lymphocyte ratio (PLR), monocyte-to-lymphocyte ratio (MLR), glycoprotein antigen 19-9 (CA19-9), systemic inflammatory index (SII), and controlling nutritional status (CONUT) scores were statistically significant with patient prognosis (all P values &lt; 0.05). Multi-factor COX regression analysis was continued for the above variables, and the results showed that NLR, MLR, PLR, SII, and CONUT scores were independent influences on patients' OS (all p values &lt; 0.05). A nomogram (C-index 0.77, 95% CI: 0.71-0.84) was created based on these independent influences and later validated using a validation cohort (C-index 0.75, 95% CI: 0.68-0.81). The time-dependent receiver operator characteristic curve (ROC) showed that the area under curve (AUC) of the training cohort patients at 12, 18, and 24 months was 0.72 (95% CI: 0.63-0.81), 0.75 (95% CI: 0.67-0.85), and 0.77 (95% CI: 0.66-0.87) and the AUC of the validation cohort was 0.69 (95% CI: 0.58-0.79), 0.74 (95% CI: 0.65-0.87), and 0.71 (95% CI: 0.64-0.89), respectively. Finally, calibration was performed using calibration curves, and the results showed that nomograms based on inflammatory metrics and CONUT scores could be used to assess survival (12, 18, and 24 months) in patients with advanced BTC treated with ICIs in the first line.Conclusion Patients with advanced BTC benefit more from first-line treatment with standard chemotherapy in combination with ICIs than with chemotherapy alone. In addition, nomograms based on inflammatory metrics and CONUT scores can be used to predict survival at 12, 18, and 24 months in patients with advanced BTC treated with ICIs.</t>
  </si>
  <si>
    <t>[Zhang, Zhengfeng; Wang, Dazhen; Ruan, Yuli; Zhao, Lu; Yang, Liu; Liu, Ze; Yang, Lei; Lou, Changjie] Harbin Med Univ, Dept Gastroenterol, Canc Hosp, 150 Haping Rd, Harbin 150081, Heilongjiang, Peoples R China; [Zhang, Jianji] MianYang Cent Hosp, Mianyang 621000, Peoples R China</t>
  </si>
  <si>
    <t>Harbin Medical University</t>
  </si>
  <si>
    <t>Lou, CJ (corresponding author), Harbin Med Univ, Dept Gastroenterol, Canc Hosp, 150 Haping Rd, Harbin 150081, Heilongjiang, Peoples R China.</t>
  </si>
  <si>
    <t>9337768@qq.com</t>
  </si>
  <si>
    <t>Haiyan Scientific Research Fund of Harbin Medical University Cancer Hospital [JJZD2020-03]; Beijing Medical Award Foundation [YXJL-2022-0800-0015]</t>
  </si>
  <si>
    <t>Haiyan Scientific Research Fund of Harbin Medical University Cancer Hospital; Beijing Medical Award Foundation</t>
  </si>
  <si>
    <t>This study was funded by the Haiyan Scientific Research Fund of Harbin Medical University Cancer Hospital (JJZD2020-03) and Beijing Medical Award Foundation (YXJL-2022-0800-0015).</t>
  </si>
  <si>
    <t>0340-7004</t>
  </si>
  <si>
    <t>1432-0851</t>
  </si>
  <si>
    <t>CANCER IMMUNOL IMMUN</t>
  </si>
  <si>
    <t>Cancer Immunol. Immunother.</t>
  </si>
  <si>
    <t>10.1007/s00262-023-03513-4</t>
  </si>
  <si>
    <t>Oncology; Immunology</t>
  </si>
  <si>
    <t>R2MQ1</t>
  </si>
  <si>
    <t>WOS:001062743200003</t>
  </si>
  <si>
    <t>Zhao, YT; Huang, YS; Wang, L</t>
  </si>
  <si>
    <t>Zhao, Yun Tao; Huang, Yen Shu; Wang, Lei</t>
  </si>
  <si>
    <t>Slow bidirectional ventricular tachycardia associated with immune checkpoint inhibitor myocarditis</t>
  </si>
  <si>
    <t>[Zhao, Yun Tao; Wang, Lei] Aerosp Ctr Hosp, Dept Cardiol, 15 Yuquan Rd, Beijing 100049, Peoples R China; [Huang, Yen Shu] Xiamen Chang Gung Mem Hosp, XinYang Ind Area, 123 Xia Fei Rd, Xiamen 361028, Peoples R China</t>
  </si>
  <si>
    <t>Wang, L (corresponding author), Aerosp Ctr Hosp, Dept Cardiol, 15 Yuquan Rd, Beijing 100049, Peoples R China.</t>
  </si>
  <si>
    <t>fromwanglei@126.com</t>
  </si>
  <si>
    <t>The human study was approved by the Ethical Review Board and had been performed in accordance with the ethical standards laid down in the 1964 Declaration of Helsinki and its later amendments. Written consent for publication was obtained from the immediate</t>
  </si>
  <si>
    <t>The human study was approved by the Ethical Review Board and had been performed in accordance with the ethical standards laid down in the 1964 Declaration of Helsinki and its later amendments. Written consent for publication was obtained from the immediate the patient himself.</t>
  </si>
  <si>
    <t>10.1007/s00134-023-07207-4</t>
  </si>
  <si>
    <t>R1QP9</t>
  </si>
  <si>
    <t>WOS:001062160700002</t>
  </si>
  <si>
    <t>Aaberge, R; Langorgen, A; Lindgren, PY</t>
  </si>
  <si>
    <t>Aaberge, Rolf; Langorgen, Audun; Lindgren, Petter Y.</t>
  </si>
  <si>
    <t>A European equivalence scale for public in-kind transfers</t>
  </si>
  <si>
    <t>JOURNAL OF ECONOMIC INEQUALITY</t>
  </si>
  <si>
    <t>Income distribution; Poverty; Equivalence scales; Relative needs; Public services; Public in-kind transfers; D30; H40; I30</t>
  </si>
  <si>
    <t>DISTRIBUTIONAL IMPACT; SECTOR EFFICIENCY; INDIRECT TAXES; INEQUALITY; WELFARE; CONSUMPTION; POVERTY; INCOME; NEEDS; BENEFITS</t>
  </si>
  <si>
    <t>This paper introduces a theory-based equivalence scale for public in-kind transfers, which justifies comparison of distributions of extended income (cash income plus the value of public services) between European countries. We demonstrate the usefulness of the proposed equivalence scale in an empirical analysis of the effects of public health care, long-term care, education and childcare expenditure on estimates of income inequality and poverty for 24 European countries. The empirical results show significant effects of public in-kind transfers on the level of income inequality and poverty for all countries. Over the period 2006-2018, inequality and poverty estimates display rather different trends across European countries.</t>
  </si>
  <si>
    <t>[Aaberge, Rolf] Stat Norway, Oslo, Norway; [Aaberge, Rolf] Univ Oslo, Dept Econ, NFS, Oslo, Norway; [Aaberge, Rolf] Stat Norway, Res Dept, Dept Econ, Oslo, Norway; [Aaberge, Rolf] Stat Norway, Dept Econ, NFS, Oslo, Norway; [Aaberge, Rolf] Univ Oslo, Oslo, Norway; [Langorgen, Audun; Lindgren, Petter Y.] Stat Norway, Res Dept, Oslo, Norway</t>
  </si>
  <si>
    <t>Statistics Norway; University of Oslo; Statistics Norway; Statistics Norway; University of Oslo; Statistics Norway</t>
  </si>
  <si>
    <t>Aaberge, R (corresponding author), Stat Norway, Oslo, Norway.;Aaberge, R (corresponding author), Univ Oslo, Dept Econ, NFS, Oslo, Norway.;Aaberge, R (corresponding author), Stat Norway, Res Dept, Dept Econ, Oslo, Norway.;Aaberge, R (corresponding author), Stat Norway, Dept Econ, NFS, Oslo, Norway.;Aaberge, R (corresponding author), Univ Oslo, Oslo, Norway.</t>
  </si>
  <si>
    <t>rolf.aaberge@ssb.no; audun.langorgen@ssb.no; petter.lindgren@ssb.no</t>
  </si>
  <si>
    <t>We are grateful to two anonymous referees for helpful comments and to Eurostat, the OECD, the Ageing Working Group Secretariat, and national statistical agencies for helpful clarifications and permissions to use the data on public in-kind transfers. We wou; Ageing Working Group Secretariat; Eurostat; Norwegian Ministry of Finance [341250]; Norwegian Research Council; [261985]</t>
  </si>
  <si>
    <t>We are grateful to two anonymous referees for helpful comments and to Eurostat, the OECD, the Ageing Working Group Secretariat, and national statistical agencies for helpful clarifications and permissions to use the data on public in-kind transfers. We wou; Ageing Working Group Secretariat; Eurostat; Norwegian Ministry of Finance; Norwegian Research Council(Research Council of Norway);</t>
  </si>
  <si>
    <t>We are grateful to two anonymous referees for helpful comments and to Eurostat, the OECD, the Ageing Working Group Secretariat, and national statistical agencies for helpful clarifications and permissions to use the data on public in-kind transfers. We would also like to thank Udo Ebert and Francesco Figari for helpful comments and suggestions on a previous version of this paper. This work has been supported by the second Network for the analysis of EU-SILC (Net-SILC2) coordinated by CEPS/INSTEAD (Luxembourg). Financial support from Eurostat, the Norwegian Ministry of Finance, and the Norwegian Research Council (grant numbers 261985 and 341250) is gratefully acknowledged.</t>
  </si>
  <si>
    <t>1569-1721</t>
  </si>
  <si>
    <t>1573-8701</t>
  </si>
  <si>
    <t>J ECON INEQUAL</t>
  </si>
  <si>
    <t>J. Econ. Inequal.</t>
  </si>
  <si>
    <t>2023 SEP 4</t>
  </si>
  <si>
    <t>10.1007/s10888-023-09586-6</t>
  </si>
  <si>
    <t>Q5XG5</t>
  </si>
  <si>
    <t>WOS:001058244900001</t>
  </si>
  <si>
    <t>Agnaou, A; Mhaira, W; Essalim, R; Alga, M; Zamama, M; Mauvy, F; Ammar, A</t>
  </si>
  <si>
    <t>Agnaou, A.; Mhaira, W.; Essalim, R.; Alga, M.; Zamama, M.; Mauvy, F.; Ammar, A.</t>
  </si>
  <si>
    <t>Effect of the doping element on the structure and UV-visible properties in the system Bi4V1.7( Si,Me)0.3O11-δ (Me = Si, P, Cu, and Co)</t>
  </si>
  <si>
    <t>BISIMEVOX.15; XRD; DSC; SEM; UV-visible</t>
  </si>
  <si>
    <t>CRYSTAL-STRUCTURE DETERMINATION; ELECTROLYTE BIMEVOX SYSTEM; ELECTRICAL-PROPERTIES; PHOTOCATALYTIC DEGRADATION; GAMMA-BI4V2O11 POLYMORPHS; SOLID ELECTROLYTES; PHASE-TRANSITIONS; PART II; BI4V2O11; OXIDE</t>
  </si>
  <si>
    <t>While BIMEVOX systems have attracted the attention of researchers for their electrical conductivity by O-2- oxide ions at relatively low temperatures, there is only a limited number of works concerning their local structure. In this work, the Bi4V1.7( Si.Me)(0.3)O11-delta (Me = Si, P, Cu, and Co) system is studied using X-ray powder diffraction (XRD), Raman spectroscopy, IR spectroscopy, SEM-EDX, UV-visible spectrophotometry, and differential scanning calorimetry (DSC). The three main polymorphs a, ss, and. are obtained at room temperature. In the case of the Bi4Si0.15P0.15V1.70O11-delta compound, two successive structural transitions were observed, while only one structural transition was observed for the Bi(4)Si(0.30)V(1.7)0O(11-delta) compound. The UV-vis diffuse reflectance spectroscopy (DRS) indicates that the double-doped Bi4V1.7( Si. Me) O-0.3(11-delta) compounds present a band gap energy in the range 1.76 &lt;= Eg &lt;= 2.36 eV and Bi4Si0.15Co0.15V1.70O11-delta presents the narrowest band gap.</t>
  </si>
  <si>
    <t>[Agnaou, A.; Mhaira, W.; Essalim, R.; Alga, M.; Zamama, M.; Ammar, A.] Cadi Ayyad Univ, Fac Sci Semlalia, Lab Mat Sci &amp; Proc Optimizat SCIMATOP, Av My Abdellah, BP 2390, Marrakech, Morocco; [Mauvy, F.] Univ Bordeaux, ICMCB, CNRS, UMR 5026, 87 Av Dr A Schweitzer, F-33608 Pessac, France</t>
  </si>
  <si>
    <t>Cadi Ayyad University of Marrakech; UDICE-French Research Universities; Universite de Bordeaux; Centre National de la Recherche Scientifique (CNRS)</t>
  </si>
  <si>
    <t>Agnaou, A (corresponding author), Cadi Ayyad Univ, Fac Sci Semlalia, Lab Mat Sci &amp; Proc Optimizat SCIMATOP, Av My Abdellah, BP 2390, Marrakech, Morocco.</t>
  </si>
  <si>
    <t>agnaouabdelmajid@gmail.com</t>
  </si>
  <si>
    <t>The authors are grateful to the Cadi Ayyad University Analysis and Characterization Center (CAC) for providing them with materials characterization techniques.</t>
  </si>
  <si>
    <t>10.1007/s11581-023-05185-7</t>
  </si>
  <si>
    <t>R1GT8</t>
  </si>
  <si>
    <t>WOS:001061902700003</t>
  </si>
  <si>
    <t>Aldisi, R; Hassanin, E; Sivalingam, S; Buness, A; Klinkhammer, H; Mayr, A; Frohlich, H; Krawitz, P; Maj, C</t>
  </si>
  <si>
    <t>Aldisi, Rana; Hassanin, Emadeldin; Sivalingam, Sugirthan; Buness, Andreas; Klinkhammer, Hannah; Mayr, Andreas; Froehlich, Holger; Krawitz, Peter; Maj, Carlo</t>
  </si>
  <si>
    <t>Gene-based burden scores identify rare variant associations for 28 blood biomarkers</t>
  </si>
  <si>
    <t>BMC GENOMIC DATA</t>
  </si>
  <si>
    <t>Gene associations; Blood biomarkers; Genetic prediction; Rare variants; PRS; Complex phenotypes</t>
  </si>
  <si>
    <t>INSIGHTS; CANCER</t>
  </si>
  <si>
    <t>BackgroundA relevant part of the genetic architecture of complex traits is still unknown; despite the discovery of many disease-associated common variants. Polygenic risk score (PRS) models are based on the evaluation of the additive effects attributable to common variants and have been successfully implemented to assess the genetic susceptibility for many phenotypes. In contrast, burden tests are often used to identify an enrichment of rare deleterious variants in specific genes. Both kinds of genetic contributions are typically analyzed independently. Many studies suggest that complex phenotypes are influenced by both low effect common variants and high effect rare deleterious variants. The aim of this paper is to integrate the effect of both common and rare functional variants for a more comprehensive genetic risk modeling.MethodsWe developed a framework combining gene-based scores based on the enrichment of rare functionally relevant variants with genome-wide PRS based on common variants for association analysis and prediction models. We applied our framework on UK Biobank dataset with genotyping and exome data and considered 28 blood biomarkers levels as target phenotypes. For each biomarker, an association analysis was performed on full cohort using gene-based scores (GBS). The cohort was then split into 3 subsets for PRS construction and feature selection, predictive model training, and independent evaluation, respectively. Prediction models were generated including either PRS, GBS or both (combined).ResultsAssociation analyses of the cohort were able to detect significant genes that were previously known to be associated with different biomarkers. Interestingly, the analyses also revealed heterogeneous effect sizes and directionality highlighting the complexity of the blood biomarkers regulation. However, the combined models for many biomarkers show little or no improvement in prediction accuracy compared to the PRS models.ConclusionThis study shows that rare variants play an important role in the genetic architecture of complex multifactorial traits such as blood biomarkers. However, while rare deleterious variants play a strong role at an individual level, our results indicate that classical common variant based PRS might be more informative to predict the genetic susceptibility at the population level.</t>
  </si>
  <si>
    <t>[Aldisi, Rana; Hassanin, Emadeldin; Sivalingam, Sugirthan; Buness, Andreas; Klinkhammer, Hannah; Krawitz, Peter; Maj, Carlo] Univ Hosp Bonn, Inst Genom Stat &amp; Bioinformat, Bonn, Germany; [Hassanin, Emadeldin] Univ Luxembourg, Luxembourg Ctr Syst Biomed, Esch Sur Alzette, Luxembourg; [Sivalingam, Sugirthan; Buness, Andreas] Univ Hosp Bonn, Core Unit Bioinformat Anal, Bonn, Germany; [Sivalingam, Sugirthan; Buness, Andreas; Klinkhammer, Hannah; Mayr, Andreas] Univ Hosp Bonn, Inst Med Biometry Informat &amp; Epidemiol, Bonn, Germany; [Froehlich, Holger] Fraunhofer Inst Algorithms &amp; Sci Comp, St Augustin, Germany; [Froehlich, Holger] Univ Bonn, Bonn Aachen Int Ctr IT B It, Bonn, Germany; [Maj, Carlo] Univ Marburg, Ctr Human Genet, Marburg, Germany</t>
  </si>
  <si>
    <t>University of Bonn; University of Luxembourg; University of Bonn; University of Bonn; Fraunhofer Gesellschaft; University of Bonn; Philipps University Marburg</t>
  </si>
  <si>
    <t>Aldisi, R (corresponding author), Univ Hosp Bonn, Inst Genom Stat &amp; Bioinformat, Bonn, Germany.</t>
  </si>
  <si>
    <t>s0raaldi@uni-bonn.de</t>
  </si>
  <si>
    <t>2730-6844</t>
  </si>
  <si>
    <t>BMC Genomic Data</t>
  </si>
  <si>
    <t>SEP 4</t>
  </si>
  <si>
    <t>10.1186/s12863-023-01155-0</t>
  </si>
  <si>
    <t>Q8FL0</t>
  </si>
  <si>
    <t>WOS:001059824200001</t>
  </si>
  <si>
    <t>Ali, MS; Al-Lohedan, HA</t>
  </si>
  <si>
    <t>Ali, Mohd Sajid; Al-Lohedan, Hamad A.</t>
  </si>
  <si>
    <t>Spectroscopic and Molecular Docking Studies of the Interaction of Non-steroidal Anti-inflammatory Drugs with a Carrier Protein: an Interesting Case of Inner Filter Effect and Intensity Enhancement in Protein Fluorescence</t>
  </si>
  <si>
    <t>JOURNAL OF FLUORESCENCE</t>
  </si>
  <si>
    <t>Lysozyme; Indomethacin; Diclofenac; Fluorescence enhancement; Inner filter effect; Molecular docking</t>
  </si>
  <si>
    <t>HUMAN-SERUM-ALBUMIN; DICLOFENAC SODIUM; BINDING-SITES; INDOMETHACIN; LYSOZYME; MECHANISM; NAPROXEN; INSIGHTS</t>
  </si>
  <si>
    <t>Interaction of diclofenac and indomethacin with lysozyme was studied using several spectroscopic and molecular docking methods. Difference UV-visible spectra showed that the absorption profile of lysozyme changed when both diclofenac and indomethacin were mixed with the former. The sequential addition of both drugs to the lysozyme solution caused the decrease of the intrinsic fluorescence of the latter, however, when the data were corrected for inner filter effect, an enhancement in the fluorescence of lysozyme was detected. Accordingly, the fluorescence enhancement data were analyzed using Benesi-Hildebrand equation. Both, diclofenac and indomethacin showed good interaction with lysozyme, although, the association constants of indomethacin were nearly two-fold higher as compared to that of diclofenac. The binding was slightly more spontaneous in case of indomethacin and the major forces involved in the binding of both drugs with lysozyme were hydrogen bonding and hydrophobic interactions. Secondary structural analysis revealed that both drugs partially unfolded lysozyme. Results obtained through molecular docking were also in good agreement with the experimental outcomes. Both, diclofenac and indomethacin, are bounded at the same site inside lysozyme which is located in the big hydrophobic cavity of the protein.</t>
  </si>
  <si>
    <t>[Ali, Mohd Sajid; Al-Lohedan, Hamad A.] King Saud Univ, Coll Sci, Dept Chem, POB 2455, Riyadh 11451, Saudi Arabia</t>
  </si>
  <si>
    <t>King Saud University</t>
  </si>
  <si>
    <t>Ali, MS (corresponding author), King Saud Univ, Coll Sci, Dept Chem, POB 2455, Riyadh 11451, Saudi Arabia.</t>
  </si>
  <si>
    <t>smsajidali@gmail.com</t>
  </si>
  <si>
    <t>King Saud University, Riyadh, Saudi Arabia [RSPD2023R724]</t>
  </si>
  <si>
    <t>King Saud University, Riyadh, Saudi Arabia(King Saud University)</t>
  </si>
  <si>
    <t>The authors acknowledge the financial support through the Researchers Supporting Project number (RSPD2023R724), King Saud University, Riyadh, Saudi Arabia.</t>
  </si>
  <si>
    <t>1053-0509</t>
  </si>
  <si>
    <t>1573-4994</t>
  </si>
  <si>
    <t>J FLUORESC</t>
  </si>
  <si>
    <t>J. Fluoresc.</t>
  </si>
  <si>
    <t>10.1007/s10895-023-03422</t>
  </si>
  <si>
    <t>Biochemical Research Methods; Chemistry, Analytical; Chemistry, Physical</t>
  </si>
  <si>
    <t>Biochemistry &amp; Molecular Biology; Chemistry</t>
  </si>
  <si>
    <t>R1GX9</t>
  </si>
  <si>
    <t>WOS:001061906800002</t>
  </si>
  <si>
    <t>Araya, S; Elia, P; Quigley, CV; Song, QJ</t>
  </si>
  <si>
    <t>Araya, Susan; Elia, Patrick; Quigley, Charles V.; Song, Qijian</t>
  </si>
  <si>
    <t>Genetic variation and genetic complexity of nodule occupancy in soybean inoculated with USDA110 and USDA123 rhizobium strains</t>
  </si>
  <si>
    <t>BMC GENOMICS</t>
  </si>
  <si>
    <t>Soybean; rhizobium; USDA110; USDA123; GWAS; Nodulation restriction</t>
  </si>
  <si>
    <t>CONDITIONING INEFFECTIVE NODULATION; BRADYRHIZOBIUM-JAPONICUM; ROOT-NODULES; NITROGEN-FIXATION; RESTRICTS NODULATION; MEDICAGO-SATIVA; GLYCINE; COMPETITION; L.; SEROGROUPS</t>
  </si>
  <si>
    <t>BackgroundSymbiotic nitrogen fixation differs among Bradyrhizobium japonicum strains. Soybean inoculated with USDA123 has a lower yield than strains known to have high nitrogen fixation efficiency, such as USDA110. In the main soybean-producing area in the Midwest of the United States, USDA123 has a high nodule incidence in field-grown soybean and is competitive but inefficient in nitrogen fixation. In this study, a high-throughput system was developed to characterize nodule number among 1,321 Glycine max and 69 Glycine soja accessions single inoculated with USDA110 and USDA123.ResultsSeventy-three G. max accessions with significantly different nodule number of USDA110 and USDA123 were identified. After double inoculating 35 of the 73 accessions, it was observed that PI189939, PI317335, PI324187B, PI548461, PI562373, and PI628961 were occupied by USDA110 and double-strain nodules but not by USDA123 nodules alone. PI567624 was only occupied by USDA110 nodules, and PI507429 restricted all strains. Analysis showed that 35 loci were associated with nodule number in G. max when inoculated with strain USDA110 and 35 loci with USDA123. Twenty-three loci were identified in G. soja when inoculated with strain USDA110 and 34 with USDA123. Only four loci were common across two treatments, and each locus could only explain 0.8 to 1.5% of phenotypic variation.ConclusionsHigh-throughput phenotyping systems to characterize nodule number and occupancy were developed, and soybean germplasm restricting rhizobium strain USDA123 but preferring USDA110 was identified. The larger number of minor effects and a small few common loci controlling the nodule number indicated trait genetic complexity and strain-dependent nodulation restriction. The information from the present study will add to the development of cultivars that limit USDA123, thereby increasing nitrogen fixation efficiency and productivity.</t>
  </si>
  <si>
    <t>[Araya, Susan; Elia, Patrick; Quigley, Charles V.; Song, Qijian] USDA ARS, Soybean Genom &amp; Improvement Lab, Beltsville, MD 20705 USA</t>
  </si>
  <si>
    <t>United States Department of Agriculture (USDA)</t>
  </si>
  <si>
    <t>Song, QJ (corresponding author), USDA ARS, Soybean Genom &amp; Improvement Lab, Beltsville, MD 20705 USA.</t>
  </si>
  <si>
    <t>Qijian.Song@usda.gov</t>
  </si>
  <si>
    <t>U.S. Department of Agriculture-Agricultural Research Service [8042-21000-304-00D]; Ridge Institute for Science and Education (ORISE)</t>
  </si>
  <si>
    <t>U.S. Department of Agriculture-Agricultural Research Service(United States Department of Agriculture (USDA)USDA Agricultural Research Service); Ridge Institute for Science and Education (ORISE)</t>
  </si>
  <si>
    <t>This research was funded by the U.S. Department of Agriculture-Agricultural Research Service, Project Number: 8042-21000-304-00D. We thank the Oak Ridge Institute for Science and Education (ORISE) for the support of the Agricultural Research Service (ARS) Research Participation Program between the U.S. Department of Energy (DOE) and the U.S. Department of Agriculture (USDA).</t>
  </si>
  <si>
    <t>1471-2164</t>
  </si>
  <si>
    <t>BMC Genomics</t>
  </si>
  <si>
    <t>10.1186/s12864-023-09627-4</t>
  </si>
  <si>
    <t>R2WF7</t>
  </si>
  <si>
    <t>WOS:001062997800002</t>
  </si>
  <si>
    <t>Bhatia, P; Virender; Sharma, HK; Singh, G; Mohan, B</t>
  </si>
  <si>
    <t>Bhatia, Pankaj; Virender, Harish Kumar; Sharma, Harish Kumar; Singh, Gurjaspreet; Mohan, Brij</t>
  </si>
  <si>
    <t>Extractive Spectrophotometric Detection of Sn(II) Using 6-bromo-3-hydroxy-2-(5-methylfuran-2-yl)-4H-chromen-4-one</t>
  </si>
  <si>
    <t>Spectroscopic; Tin(II); Metal ions; Detection; Beer-Lambert law</t>
  </si>
  <si>
    <t>METAL</t>
  </si>
  <si>
    <t>For the determination of tin(II) traces, an extractive spectrophotometric approach is devised. The applied method serves a powerful tool for determination of tin(II), involves the formation of yellow colored complex after the binding of 6-bromo-3-hydroxy-2-(5-methylfuran-2-yl)-4H-chromen-4-one (BHMF) and tin(II) in 1:2 stiochiometry in a slightly acidic medium (HCl). The complex shows absorbance at 434 nm with respect of the blank reagent. The outcomes of spectral investigation for complexation showed a Beer's range of 0-1.3 &amp; mu;g Sn mL-1, molar absorptivity, specific absorptivity and Sandell's complex sensitivity are 9.291 x 104 L mol-1 cm-1, 0.490 mL g-1 cm-1 and 0.002040 &amp; mu;g cm-2 at 434 nm that was stable for two days. The interferences study results showed that this method is free from interferences, when tested with metal ions including Ag, Be, Bi, Ca, Cd, Ce, Co, Hg, Mo, Re, Pt, Se,Ti, U, V, W and other common cations, anions, and complexing agents. The applied method is quite simple, highly selective, and sensitive with good re-producibility. This method has been satisfactorily by utilizing the proposed procedure, and its applicability has been tested by analyzing synthetic samples and an alloy sample of gunmetal. The procedure assumes this because of the scarcity of better methods for determining tin(II). The results are in good agreement with the certified value.</t>
  </si>
  <si>
    <t>[Bhatia, Pankaj; Sharma, Harish Kumar] Kurukshetra Univ Kurukshetra, Dept Chem, Kurukshetra 136119, India; [Singh, Gurjaspreet] Panjab Univ, Dept Chem, Chandigarh 160014, India; [Mohan, Brij] Univ Lisbon, Inst Mol Sci, Ctr Quim Estrutural, Inst Super Tecn, Av Rovisco Pais, P-1049001 Lisbon, Portugal</t>
  </si>
  <si>
    <t>Kurukshetra University; Panjab University; Universidade de Lisboa; Instituto Superior Tecnico</t>
  </si>
  <si>
    <t>Bhatia, P (corresponding author), Kurukshetra Univ Kurukshetra, Dept Chem, Kurukshetra 136119, India.;Singh, G (corresponding author), Panjab Univ, Dept Chem, Chandigarh 160014, India.</t>
  </si>
  <si>
    <t>pankajbhatia457@gmail.com; gjpsingh@pu.ac.in</t>
  </si>
  <si>
    <t>Human Resource Development Group (HRDG) Council of Scientific &amp; Industrial Research (CSIR), New Delhi, India [09/105(0212)/2013-EMR-1]</t>
  </si>
  <si>
    <t>Human Resource Development Group (HRDG) Council of Scientific &amp; Industrial Research (CSIR), New Delhi, India</t>
  </si>
  <si>
    <t>The financial assistance provided by Human Resource Development Group (HRDG) Council of Scientific &amp; Industrial Research (CSIR), New Delhi, India, to carry out this work under reference no. 09/105(0212)/2013-EMR-1.</t>
  </si>
  <si>
    <t>10.1007/s10895-023-03413</t>
  </si>
  <si>
    <t>WOS:001061906800005</t>
  </si>
  <si>
    <t>Chen, H; Erley, J; Muellerleile, K; Saering, D; Jahnke, C; Cavus, E; Schneider, JN; Blankenberg, S; Lund, GK; Adam, G; Tahir, E; Sinn, M</t>
  </si>
  <si>
    <t>Chen, Hang; Erley, Jennifer; Muellerleile, Kai; Saering, Dennis; Jahnke, Charlotte; Cavus, Ersin; Schneider, Jan N.; Blankenberg, Stefan; Lund, Gunnar K.; Adam, Gerhard; Tahir, Enver; Sinn, Martin</t>
  </si>
  <si>
    <t>Contrast-enhanced cardiac MRI is superior to non-contrast mapping to predict left ventricular remodeling at 6 months after acute myocardial infarction</t>
  </si>
  <si>
    <t>EUROPEAN RADIOLOGY</t>
  </si>
  <si>
    <t>Multiparametric magnetic resonance imaging; Myocardial infarction; Extracellular matrix; Ventricular remodeling</t>
  </si>
  <si>
    <t>MAGNETIC-RESONANCE; EXTRACELLULAR-MATRIX; FUNCTIONAL RECOVERY; CMR; EDEMA; SIZE; MECHANISMS; SEQUENCES; INSIGHTS; OUTCOMES</t>
  </si>
  <si>
    <t>Objectives Parametric mapping constitutes a novel cardiac magnetic resonance (CMR) technique enabling quantitative assessment of pathologic alterations of left ventricular (LV) myocardium. This study aimed to investigate the clinical utility of mapping techniques with and without contrast agent compared to standard CMR to predict adverse LV remodeling following acute myocardial infarction ( AMI). Materials and methods A post hoc analysis was performed on sixty-four consecutively enrolled patients (57 +/- 12 years, 54 men) with first-time reperfused AMI. Baseline CMR was obtained at 8 +/- 5 days post-AMI, and follow-up CMR at 6 +/- 1.4 months. T1/T2 mapping, T2-weighted, and late gadolinium enhancement (LGE) acquisitions were performed at baseline and cine imaging was used to determine adverse LV remodeling, defined as end-diastolic volume increase by 20% at 6 months. Results A total of 11 (17%) patients developed adverse LV remodeling. At baseline, patients with LV remodeling showed larger edema (30 +/- 11 vs. 22 +/- 10%LV; p &lt; 0.05), infarct size (24 +/- 11 vs. 14 +/- 8%LV; p &lt; 0.001), extracellular volume (ECVinfarct; 63 +/- 12 vs. 47 +/- 11%; p &lt; 0.001), and native T2(infarct) (95 +/- 16 vs. 78 +/- 17 ms; p &lt; 0.01). ECVinfarct and infarct size by LGE were the best predictors of LV remodeling with areas under the curve (AUCs) of 0.843 and 0.789, respectively (all p &lt; 0.01). Native T1(infarct) had the lowest AUC of 0.549 (p = 0.668) and was inferior to edema size by T2-weighted imaging (AUC = 0.720; p &lt; 0.05) and native T2(infarct) (AUC = 0.766; p &lt; 0.01). Conclusion In this study, ECVinfarct and infarct size by LGE were the best predictors for the development of LV remodeling within 6 months after AMI, with a better discriminative performance than non-contrast mapping CMR. Clinical relevance statement This study demonstrates the predictive value of contrast-enhanced and non-contrast as well as conventional and novel CMR techniques for the development of LV remodeling following AMI, which might help define precise CMR endpoints in experimental and clinical myocardial infarction trials.</t>
  </si>
  <si>
    <t>[Chen, Hang; Erley, Jennifer; Lund, Gunnar K.; Adam, Gerhard; Tahir, Enver; Sinn, Martin] Univ Hosp Hamburg Eppendorf, Dept Diagnost &amp; Intervent Radiol &amp; Nucl Med, Martinistr 52, D-20251 Hamburg, Germany; [Muellerleile, Kai; Jahnke, Charlotte; Cavus, Ersin; Schneider, Jan N.; Blankenberg, Stefan] Univ Heart Ctr, Dept Gen &amp; Intervent Cardiol, Hamburg, Germany; [Muellerleile, Kai; Jahnke, Charlotte; Cavus, Ersin; Schneider, Jan N.; Blankenberg, Stefan] German Ctr Cardiovasc Res DZHK, Partner Site Hamburg Kiel Lubeck, Hamburg, Germany; [Saering, Dennis] Univ Appl Sci, Informat Technol &amp; Image Proc, Wedel, Germany</t>
  </si>
  <si>
    <t>University of Hamburg; University Medical Center Hamburg-Eppendorf; University of Hamburg; University Medical Center Hamburg-Eppendorf; German Centre for Cardiovascular Research</t>
  </si>
  <si>
    <t>Tahir, E (corresponding author), Univ Hosp Hamburg Eppendorf, Dept Diagnost &amp; Intervent Radiol &amp; Nucl Med, Martinistr 52, D-20251 Hamburg, Germany.</t>
  </si>
  <si>
    <t>e.tahir@uke.de</t>
  </si>
  <si>
    <t>0938-7994</t>
  </si>
  <si>
    <t>1432-1084</t>
  </si>
  <si>
    <t>EUR RADIOL</t>
  </si>
  <si>
    <t>Eur. Radiol.</t>
  </si>
  <si>
    <t>10.1007/s00330-023-10100-9</t>
  </si>
  <si>
    <t>R1GH6</t>
  </si>
  <si>
    <t>WOS:001061890500001</t>
  </si>
  <si>
    <t>Chen, XX; Chen, YZ; Xiao, FP; Liu, M; Gu, Z; Li, Y; Hong, M</t>
  </si>
  <si>
    <t>Chen, Xiaoxiao; Chen, Yizhou; Xiao, Fangping; Liu, Meng; Gu, Zhan; Li, Yi; Hong, Mei</t>
  </si>
  <si>
    <t>Survival and analysis of prognostic factors for primary malignant cardiac tumors based on the SEER database</t>
  </si>
  <si>
    <t>Primary malignant cardiac tumor (PMCT); Surveillance, epidemiology, and end results (SEER); Survival</t>
  </si>
  <si>
    <t>CANCER; EPIDEMIOLOGY; SURVEILLANCE; BIOMARKER; TOOL</t>
  </si>
  <si>
    <t>PurposeThe purpose of this study was to use the Surveillance, Epidemiology, and End Results (SEER) database to evaluate the survival rate of primary malignant cardiac tumors (PMCTs), assess the risk factors affecting survival, and calculate the number of PMCT cases in recent years.MethodsSEER 22 registries were used to calculate the number of cases PMCT. Data on age, sex, race, marital status, tumor size, the American Joint Committee on Cancer (AJCC) stage, lymph node involvement, metastasis, treatment, and survival were collected to analyze the survival and prognostic factors of SEER 17 registries. Using the Kaplan-Meier estimation method, a survival curve was obtained according to the influencing factors, and a multivariable Cox regression model was established.ResultsIn recent years, the average annual number of PMCT cases was 20.56 &amp; PLUSMN; 7.12, significantly higher than the average before 2004 (P = 0.015; 95% CI 1.14-8.98). The 1-, 3-, and 5-year survival rates were 45.6%, 18.8%, and 11.2%, respectively. Multivariate analysis revealed that age (risk ratio [HR], 2.047; 95% CI 1.381-3.034), AJCC stage III (HR, 1.786; 95% CI 1.123-2.839), AJCC staging with distant metastasis (HR, 2.666; 95% CI 1.509-4.709), no chemotherapy (HR, 2.011; 95% CI 1.561-2.590), and tumor size larger than 99 mm (HR, 1.766; 95% CI 1.132-2.756) were independent risk factors for poor prognosis. Only age over 76 years and distant metastasis were independent risk factors for prognosis in the chemotherapy group.ConclusionIn recent years, the annual number of patients with PMCT has increased significantly. Due to developments in chemotherapy, we should re-evaluate the traditional tumor staging and prognostic risk indicators to improve clinical applications.</t>
  </si>
  <si>
    <t>[Chen, Xiaoxiao; Chen, Yizhou; Xiao, Fangping; Liu, Meng; Gu, Zhan; Li, Yi; Hong, Mei] Nanjing Med Univ, Affiliated Hosp 2, 121 Jiangjiayuan, Nanjing, Peoples R China</t>
  </si>
  <si>
    <t>Nanjing Medical University</t>
  </si>
  <si>
    <t>Hong, M (corresponding author), Nanjing Med Univ, Affiliated Hosp 2, 121 Jiangjiayuan, Nanjing, Peoples R China.</t>
  </si>
  <si>
    <t>50329787@qq.com</t>
  </si>
  <si>
    <t>10.1007/s00432-023-05351-4</t>
  </si>
  <si>
    <t>Q6AA5</t>
  </si>
  <si>
    <t>WOS:001058317400001</t>
  </si>
  <si>
    <t>Chung, P; Fong, CT; Walters, AM; Yetisgen, M; O'Reilly-Shah, VN</t>
  </si>
  <si>
    <t>Chung, Philip; Fong, Christine T.; Walters, Andrew M.; Yetisgen, Meliha; O'Reilly-Shah, Vikas N.</t>
  </si>
  <si>
    <t>Prediction of American Society of Anesthesiologists Physical Status Classification from preoperative clinical text narratives using natural language processing</t>
  </si>
  <si>
    <t>Natural language processing; Perioperative risk; Machine learning</t>
  </si>
  <si>
    <t>BackgroundElectronic health records (EHR) contain large volumes of unstructured free-form text notes that richly describe a patient's health and medical comorbidities. It is unclear if perioperative risk stratification can be performed directly from these notes without manual data extraction. We conduct a feasibility study using natural language processing (NLP) to predict the American Society of Anesthesiologists Physical Status Classification (ASA-PS) as a surrogate measure for perioperative risk. We explore prediction performance using four different model types and compare the use of different note sections versus the whole note. We use Shapley values to explain model predictions and analyze disagreement between model and human anesthesiologist predictions.MethodsSingle-center retrospective cohort analysis of EHR notes from patients undergoing procedures with anesthesia care spanning all procedural specialties during a 5 year period who were not assigned ASA VI and also had a preoperative evaluation note filed within 90 days prior to the procedure. NLP models were trained for each combination of 4 models and 8 text snippets from notes. Model performance was compared using area under the receiver operating characteristic curve (AUROC) and area under the precision recall curve (AUPRC). Shapley values were used to explain model predictions. Error analysis and model explanation using Shapley values was conducted for the best performing model.ResultsFinal dataset includes 38,566 patients undergoing 61,503 procedures with anesthesia care. Prevalence of ASA-PS was 8.81% for ASA I, 31.4% for ASA II, 43.25% for ASA III, and 16.54% for ASA IV-V. The best performing models were the BioClinicalBERT model on the truncated note task (macro-average AUROC 0.845) and the fastText model on the full note task (macro-average AUROC 0.865). Shapley values reveal human-interpretable model predictions. Error analysis reveals that some original ASA-PS assignments may be incorrect and the model is making a reasonable prediction in these cases.ConclusionsText classification models can accurately predict a patient's illness severity using only free-form text descriptions of patients without any manual data extraction. They can be an additional patient safety tool in the perioperative setting and reduce manual chart review for medical billing. Shapley feature attributions produce explanations that logically support model predictions and are understandable to clinicians.</t>
  </si>
  <si>
    <t>[Chung, Philip; Fong, Christine T.; Walters, Andrew M.; O'Reilly-Shah, Vikas N.] Univ Washington, Dept Anesthesiol &amp; Pain Med, 1959 NE Pacific St,BB 1469,Box 356540, Seattle, WA 98195 USA; [Yetisgen, Meliha] Univ Washington, Dept Biomed &amp; Hlth Informat, 850 Republican St,Box 358047, Seattle, WA 98109 USA; [Yetisgen, Meliha] Univ Washington, Dept Linguist, 850 Republican St,Box 358047, Seattle, WA 98109 USA</t>
  </si>
  <si>
    <t>University of Washington; University of Washington Seattle; University of Washington; University of Washington Seattle; University of Washington; University of Washington Seattle</t>
  </si>
  <si>
    <t>Chung, P (corresponding author), Univ Washington, Dept Anesthesiol &amp; Pain Med, 1959 NE Pacific St,BB 1469,Box 356540, Seattle, WA 98195 USA.</t>
  </si>
  <si>
    <t>chungph@uw.edu</t>
  </si>
  <si>
    <t>The authors would like to acknowledge: University of Washington Anesthesia Department's Perioperative amp;amp; Pain initiatives in Quality Safety Outcome group for assistance on data extraction and initial compute resources for data exploration, Universit; University of Washington Anesthesia Department's Perioperative amp;amp; Pain initiatives in Quality</t>
  </si>
  <si>
    <t>The authors would like to acknowledge: University of Washington Anesthesia Department's Perioperative &amp; amp; Pain initiatives in Quality Safety Outcome group for assistance on data extraction and initial compute resources for data exploration, University of Washington Department of Medicine for computational environment support, Roland Lai and Robert Fabiano from University of Washington Research IT for creating a digital research environment within the Microsoft Azure Cloud where model development and experiments were performed, and the University of Washington Biomedical Natural Language Processing group for providing early feedback on experimental design and results.</t>
  </si>
  <si>
    <t>10.1186/s12871-023-02248-0</t>
  </si>
  <si>
    <t>R1HB7</t>
  </si>
  <si>
    <t>WOS:001061910600001</t>
  </si>
  <si>
    <t>de Castro, A; Oyarzabal, E; Alegre, D; Tafalla, D; Gonzalez, M; McCarthy, KJ; Scholte, JGA; Morgan, TW; Tabares, FL; OLMAT Team</t>
  </si>
  <si>
    <t>de Castro, A.; Oyarzabal, E.; Alegre, D.; Tafalla, D.; Gonzalez, M.; McCarthy, K. J.; Scholte, J. G. A.; Morgan, T. W.; Tabares, F. L.; OLMAT Team, O. L. M. A. T. Team</t>
  </si>
  <si>
    <t>Physics and Technology Research for Liquid-Metal Divertor Development, Focused on a Tin-Capillary Porous System Solution, at the OLMAT High Heat-Flux Facility</t>
  </si>
  <si>
    <t>JOURNAL OF FUSION ENERGY</t>
  </si>
  <si>
    <t>Liquid metal divertor; Plasma-surface interaction; High heat flux facility; Capillary Porous System; Tin</t>
  </si>
  <si>
    <t>The operation of the Optimization of Liquid Metal Advanced Targets (OLMAT) facility began in April 2021 with the scientific objective of exposing liquid-metal plasma facing components (PFCs) to the particle and power fluxes provided by one of the hydrogen neutral beam injectors of the TJ-II stellarator. The system can deliver heat fluxes from 5 to 58 MW m-2 of high energy hydrogen neutral particles (&amp; LE; 33 keV) with fluxes up to 1022 m2 s-1 (containing an ion fraction &amp; LE; 33% in some instances), pulsed operation of 30-150 ms duration and repetition rates up to 2 min-1. These characteristics enable OLMAT as a high heat flux (HHF) facility for PFC evaluation in terms of power exhaust capabilities, thermal fatigue and resilience to material damage. Additionally, the facility is equipped with a wide range of diagnostics that includes tools for analyzing the thermal response of the targets as well as for monitoring atomic/plasma physics phenomena. These include spectroscopy, pyrometry, electrical probing and visualization (fast and IR cameras) units. Such particularities make OLMAT a unique installation that can combine pure technological PFC research with the investigation of physical phenomena such as vapor shielding, thermal sputtering, the formation/characterization of plasma plumes with significant content of evaporated metal and the detection of impurities in front of the studied targets. Additionally, a myriad of surface characterization techniques as SEM/EDX for material characterization of the exposed PFC prototypes are available at CIEMAT. In this article, first we provide an overview of the current facility upgrade in which a high-power CW laser, that can be operated in continuous and pulsed modes (0.2-10 ms), dump and electrical (single Langmuir) probe embedded on the target surface have been installed. This laser operation will allow simulating more relevant heat loading scenarios such as nominal steady-state divertor heat fluxes (10-20 MW m-2 in continuous mode) and transients including ELM loading and disruption-like events (ms time scales and power densities up to GW m-2 range). The work later focuses on the more recent experimentation (2022 fall campaign) where a 3D printed Tungsten (W) Capillary Porous System (CPS) target, with approximated 30 &amp; mu;m pore size and a 37% porosity and filled with liquid tin. This porous surface was a mock-up of the PFC investigated in the ASDEX Upgrade divertor manipulator. The target composed with this element was eventually exposed to a sequence of shots with the maximum heat flux that OLMAT provides (58 &amp; PLUSMN; 14 MWm-2). Key questions as resilience to dry-out and particle ejection of the liquid metal layer, its refilling, the induced damage/modification of the porous W matrix and the global performance of the component are addressed, attempting to shed light on the issues encountered with the PFC at tokamak scale testing.</t>
  </si>
  <si>
    <t>[de Castro, A.; Oyarzabal, E.; Alegre, D.; Tafalla, D.; Gonzalez, M.; McCarthy, K. J.; Tabares, F. L.] Lab Nacl Fus, Ave Complutense 40, Madrid 28040, Spain; [Scholte, J. G. A.; Morgan, T. W.] Eindhoven Univ Technol, Dept Appl Phys &amp; Sci Educ, Groene Loper 19, NL-5612 AP Eindhoven, Netherlands; [Scholte, J. G. A.; Morgan, T. W.] DIFFER Dutch Inst Fundamental Energy Res, De Zaale 20, NL-5612 AJ Eindhoven, Netherlands</t>
  </si>
  <si>
    <t>de Castro, A (corresponding author), Lab Nacl Fus, Ave Complutense 40, Madrid 28040, Spain.</t>
  </si>
  <si>
    <t>alfonsodcc11@gmail.com</t>
  </si>
  <si>
    <t>Spanish 'Ministry of Science and Innovation' [ENE2014-58918-R, RTI2018-096967-B-I00, PID2020-116599RB-I00]; Euratom research and training program 2014-2018 [633053]</t>
  </si>
  <si>
    <t>Spanish 'Ministry of Science and Innovation'(Spanish Government); Euratom research and training program 2014-2018</t>
  </si>
  <si>
    <t>The authors want to thank I. Voldiner and G. Martin for their valuable help related to the electrical configuration and data acquisition of the Langmuir probe measurements. This work was partially financed by the Spanish 'Ministry of Science and Innovation' under projects ENE2014-58918-R, RTI2018-096967-B-I00 and PID2020-116599RB-I00. This work has been carried out within the framework of the Eurofusion Consortium and has received funding from the Euratom research and training program 2014-2018 under Grant Agreement No. 633053. The views and opinions expressed herein do not necessarily reflect those of the European Commission.</t>
  </si>
  <si>
    <t>0164-0313</t>
  </si>
  <si>
    <t>1572-9591</t>
  </si>
  <si>
    <t>J FUSION ENERG</t>
  </si>
  <si>
    <t>J. Fusion Energy</t>
  </si>
  <si>
    <t>10.1007/s10894-023-00373-9</t>
  </si>
  <si>
    <t>Nuclear Science &amp; Technology</t>
  </si>
  <si>
    <t>Q7DF7</t>
  </si>
  <si>
    <t>WOS:001059084700001</t>
  </si>
  <si>
    <t>Feldman, G</t>
  </si>
  <si>
    <t>Feldman, Gennadiy</t>
  </si>
  <si>
    <t>Heyde Theorem on Locally Compact Abelian Groups with the Connected Component of Zero of Dimension 1</t>
  </si>
  <si>
    <t>POTENTIAL ANALYSIS</t>
  </si>
  <si>
    <t>Locally compact Abelian group; Topological automorphism; Characterization theorem; Gaussian distribution; Conditional distribution</t>
  </si>
  <si>
    <t>Let X be a locally compact Abelian group with the connected component of zero of dimension 1. Let xi(1) and xi(2) be independent random variables with values in X with nonvanishing characteristic functions. We prove that if a topological automorphism alpha of the group X satisfies the condition Ker(I + alpha) = {0} and the conditional distribution of the linear form L-2 = xi(1) + alpha xi(2) given L-1 = xi(1) + xi(2) is symmetric, then the distributions of xi(j) are convolutions of Gaussian distributions on X and distributions supported in the subgroup {x is an element of X : 2x = 0}. This result can be viewed as a generalization of the well-known Heyde theorem on the characterization of the Gaussian distribution on the real line.</t>
  </si>
  <si>
    <t>[Feldman, Gennadiy] Natl Acad Sci Ukraine, B Verkin Inst Low Temp Phys &amp; Engn, 47 Nauky Ave, UA-61103 Kharkiv, Ukraine</t>
  </si>
  <si>
    <t>National Academy of Sciences Ukraine; B. Verkin Institute for Low Temperature Physics &amp; Engineering of the National Academy of Sciences of Ukraine</t>
  </si>
  <si>
    <t>Feldman, G (corresponding author), Natl Acad Sci Ukraine, B Verkin Inst Low Temp Phys &amp; Engn, 47 Nauky Ave, UA-61103 Kharkiv, Ukraine.</t>
  </si>
  <si>
    <t>feldman@ilt.kharkov.ua</t>
  </si>
  <si>
    <t>0926-2601</t>
  </si>
  <si>
    <t>1572-929X</t>
  </si>
  <si>
    <t>POTENTIAL ANAL</t>
  </si>
  <si>
    <t>Potential Anal.</t>
  </si>
  <si>
    <t>10.1007/s11118-023-10095-4</t>
  </si>
  <si>
    <t>Q5ZH9</t>
  </si>
  <si>
    <t>WOS:001058298800001</t>
  </si>
  <si>
    <t>Finkelstein, ER; Hui-Chou, H; Fullerton, N; Jose, J</t>
  </si>
  <si>
    <t>Finkelstein, Emily R.; Hui-Chou, Helen; Fullerton, Natalia; Jose, Jean</t>
  </si>
  <si>
    <t>Experience with ultrasound neurography for postoperative evaluation of targeted muscle reinnervation</t>
  </si>
  <si>
    <t>TMR; Reinnervation; Nerve transfer; Ultrasound; Neuroma</t>
  </si>
  <si>
    <t>PROSTHESIS CONTROL</t>
  </si>
  <si>
    <t>Targeted muscle reinnervation (TMR) was originally developed as a means for increasing intuitive prosthesis control, though later found to play a role in phantom limb pain and neuroma prevention. There is a paucity of literature describing the clinical course of patients with poor TMR surgical outcomes and the value of imaging in the postoperative recovery period. This report will illustrate the potential utility of ultrasound neurography to accurately differentiate TMR surgical outcomes in two patients that received upper extremity amputation and subsequent reconstruction with TMR. Ultrasound evaluation of TMR sites in patient 1 confirmed successful reinnervation, evident by nerve fascicle continuity and eventual integration of the transferred nerve into the target muscle. Conversely, the ultrasound of patient 2 showed discontinuity of the nerve fascicles, neuroma formation, and muscle atrophy in all three sites of nerve transfer, suggesting an unsuccessful procedure and poor functional recovery. Ultrasound neurography is uniquely able to capture the longitudinal trajectory of rerouted nerves to confirm continuity and eventual reinnervation into muscle. Therefore, the application of ultrasound in a postoperative setting can correctly identify instances of failed TMR before this information would become available through clinical evaluation. Early identification of poor TMR outcomes may benefit future patients by fostering the discovery of failure mechanisms and aiding in further surgical planning to improve functional outcomes.</t>
  </si>
  <si>
    <t>[Finkelstein, Emily R.; Fullerton, Natalia] Univ Miami, Miller Sch Med, Dewitt Daughtry Family Dept Surg, Div Plast &amp; Reconstruct Surg, Miami, FL 33146 USA; [Finkelstein, Emily R.] Univ Miami Hosp, Div Plast Surg, 1400 NW 12Th Ave, Miami, FL 33136 USA; [Hui-Chou, Helen] Univ Miami, Dept Orthoped Surg, Divison Hand Peripheral Nervem &amp; Upper Extrem Reco, Miller Sch Med, Miami, FL USA; [Jose, Jean] Univ Miami, Miller Sch Med, Dept Clin Radiol, Miami, FL USA</t>
  </si>
  <si>
    <t>University of Miami; University of Miami; University of Miami; University of Miami</t>
  </si>
  <si>
    <t>Finkelstein, ER (corresponding author), Univ Miami, Miller Sch Med, Dewitt Daughtry Family Dept Surg, Div Plast &amp; Reconstruct Surg, Miami, FL 33146 USA.;Finkelstein, ER (corresponding author), Univ Miami Hosp, Div Plast Surg, 1400 NW 12Th Ave, Miami, FL 33136 USA.</t>
  </si>
  <si>
    <t>erf92@miami.edu</t>
  </si>
  <si>
    <t>Finkelstein, Emily/0000-0003-4666-0912</t>
  </si>
  <si>
    <t>10.1007/s00256-023-04441-1</t>
  </si>
  <si>
    <t>Q6AA3</t>
  </si>
  <si>
    <t>WOS:001058317200001</t>
  </si>
  <si>
    <t>He, K; Wang, Y; Xie, XP; Shao, D</t>
  </si>
  <si>
    <t>He, Kai; Wang, Yan; Xie, Xuping; Shao, Dan</t>
  </si>
  <si>
    <t>A multi-task positive-unlabeled learning framework to predict secreted proteins in human body fluids</t>
  </si>
  <si>
    <t>Secreted protein discovery; Semi-supervised learning; Convolutional neural network; Multi-task learning</t>
  </si>
  <si>
    <t>PLASMA PROTEOME DATABASE; CEREBROSPINAL-FLUID; WEB SERVER; BIOMARKERS; RESOURCE; DISCOVERY</t>
  </si>
  <si>
    <t>Body fluid biomarkers are very important, because they can be detected in a non-invasive or minimally invasive way. The discovery of secreted proteins in human body fluids is an essential step toward proteomic biomarker identification for human diseases. Recently, many computational methods have been proposed to predict secreted proteins and achieved some success. However, most of them are based on a manual negative dataset, which is usually biased and therefore limits the prediction performances. In this paper, we first propose a novel positive-unlabeled learning framework to predict secreted proteins in a single body fluid. The secreted protein discovery in a single body fluid is transformed into multiple binary classifications and solved via multi-task learning. Also, an effective convolutional neural network is employed to reduce the overfitting problem. After that, we then improve this framework to predict secreted proteins in multiple body fluids simultaneously. The improved framework adopts a globally shared network to further improve the prediction performances of all body fluids. The improved framework was trained and evaluated on datasets of 17 body fluids, and the average benchmarks of 17 body fluids achieved an accuracy of 89.48%, F1 score of 56.17%, and PRAUC of 58.93%. The comparative results demonstrate that the improved framework performs much better than other state-of-the-art methods in secreted protein discovery.</t>
  </si>
  <si>
    <t>[He, Kai; Wang, Yan; Xie, Xuping] Jilin Univ, Coll Comp Sci &amp; Technol, Key Lab Symbol Computat &amp; Knowledge Engn, Minist Educ, Changchun 130012, Peoples R China; [Wang, Yan] Jilin Univ, Sch Artificial Intelligence, Changchun 130012, Peoples R China; [Shao, Dan] Changchun Univ, Coll Comp Sci &amp; Technol, Changchun 130022, Peoples R China</t>
  </si>
  <si>
    <t>Jilin University; Jilin University; Changchun University</t>
  </si>
  <si>
    <t>Wang, Y (corresponding author), Jilin Univ, Coll Comp Sci &amp; Technol, Key Lab Symbol Computat &amp; Knowledge Engn, Minist Educ, Changchun 130012, Peoples R China.;Wang, Y (corresponding author), Jilin Univ, Sch Artificial Intelligence, Changchun 130012, Peoples R China.</t>
  </si>
  <si>
    <t>hekai20@mails.jlu.edu.cn; wy6868@jlu.edu.cn; xiexp21@mails.jlu.edu.cn; shaodan@ccu.edu.cn</t>
  </si>
  <si>
    <t>This work was supported by the National Natural Science Foundation of China (No. 62072212), the Development Project of Jilin Province of China (No. 20220508125RC, 20230201065GX), and the Jilin Provincial Key Laboratory of Big Data Intelligent Cognition (No [20220508125RC]; National Natural Science Foundation of China [20230201065GX, 20210504003GH]; Development Project of Jilin Province of China; Jilin Provincial Key Laboratory of Big Data Intelligent Cognition; [62072212]</t>
  </si>
  <si>
    <t>This work was supported by the National Natural Science Foundation of China (No. 62072212), the Development Project of Jilin Province of China (No. 20220508125RC, 20230201065GX), and the Jilin Provincial Key Laboratory of Big Data Intelligent Cognition (No; National Natural Science Foundation of China(National Natural Science Foundation of China (NSFC)); Development Project of Jilin Province of China; Jilin Provincial Key Laboratory of Big Data Intelligent Cognition;</t>
  </si>
  <si>
    <t>This work was supported by the National Natural Science Foundation of China (No. 62072212), the Development Project of Jilin Province of China (No. 20220508125RC, 20230201065GX), and the Jilin Provincial Key Laboratory of Big Data Intelligent Cognition (No. 20210504003GH).</t>
  </si>
  <si>
    <t>10.1007/s40747-023-01221-1</t>
  </si>
  <si>
    <t>Q5WC1</t>
  </si>
  <si>
    <t>WOS:001058214500002</t>
  </si>
  <si>
    <t>Kaplan, V; Duken, ME</t>
  </si>
  <si>
    <t>Kaplan, Veysel; Duken, Mehmet Emin</t>
  </si>
  <si>
    <t>Mental health states of the refugee women in the 10-year visiting process: an assessment in context of the sociocultural adaptation</t>
  </si>
  <si>
    <t>Refugee women; Mental health states; Migration; Sociocultural adaptation</t>
  </si>
  <si>
    <t>SYRIAN REFUGEES; ACCULTURATION; EXPERIENCES; VIOLENCE; GENDER; SCALE</t>
  </si>
  <si>
    <t>BackgroundIn this study, it is aimed to determine the relationship between the sociocultural adaptation levels and the mental states of women who fled their countries due to the war and settled in Turkey. In this context, the study was carried out with descriptive, cross-sectional, and relational design. In the study, 948 refugee women living in Turkey were interviewed. Personal information form, Brief Symptom Inventory, and Sociocultural Adaptation Scale were used in the interviews. In the analysis of the data, SPSS package program was used, and descriptive statistics were made with linear regression.ResultsAs a result of the study, it was determined that 47% of refugee women were illiterate, 70% had poor Turkish speaking level, and 51% could not establish good relations with Turkish people. The mean age of the women was 28.78 &amp; PLUSMN; 7.01, the mean anxiety score was 24.33 &amp; PLUSMN; 7.86, the mean depression score was 23.95 &amp; PLUSMN; 8.1, the mean negative self-concept score was 23.85 &amp; PLUSMN; 8.05, the mean somatization score was 14.99 &amp; PLUSMN; 5.77, the mean hostility score was 13.63 &amp; PLUSMN; 4.29, and the mean sociocultural adaptation score was 53.15 &amp; PLUSMN; 16.94.ConclusionIt was determined that the sociocultural adaptation level of refugee women is low. In addition, it has been determined that women experience psychological symptoms such as anxiety, depression, somatization, negative self-perception, and hostility intensely, and these symptoms are more common in refugee women with low sociocultural adaptation level.</t>
  </si>
  <si>
    <t>[Kaplan, Veysel; Duken, Mehmet Emin] Harran Univ, Fac Hlth Sci, Nursing Dept, Sanliurfa TR-63300, Turkiye</t>
  </si>
  <si>
    <t>Harran University</t>
  </si>
  <si>
    <t>Kaplan, V (corresponding author), Harran Univ, Fac Hlth Sci, Nursing Dept, Sanliurfa TR-63300, Turkiye.</t>
  </si>
  <si>
    <t>vyslkpln@hotmail.com</t>
  </si>
  <si>
    <t>DÜKEN, Mehmet Emin/W-5709-2019; Kaplan, Veysel/ABF-4212-2020</t>
  </si>
  <si>
    <t>DÜKEN, Mehmet Emin/0000-0002-1902-9669; Kaplan, Veysel/0000-0001-9082-1379</t>
  </si>
  <si>
    <t>We would like to thank all the women who participated in the research.</t>
  </si>
  <si>
    <t>10.1186/s43045-023-00345-x</t>
  </si>
  <si>
    <t>Q4UG3</t>
  </si>
  <si>
    <t>WOS:001057480800001</t>
  </si>
  <si>
    <t>Khan, MW; Ahmad, S; Dahri, ZH; Syed, Z; Ahmad, K; Khan, F; Azmat, M</t>
  </si>
  <si>
    <t>Khan, Muhammad Wasif; Ahmad, Shakil; Dahri, Zakir Hussain; Syed, Zain; Ahmad, Khalil; Khan, Firdos; Azmat, Muhammad</t>
  </si>
  <si>
    <t>Development of high resolution daily gridded precipitation and temperature dataset for potohar plateau of indus basin</t>
  </si>
  <si>
    <t>THEORETICAL AND APPLIED CLIMATOLOGY</t>
  </si>
  <si>
    <t>MEAN-SQUARE ERROR; CLIMATE-CHANGE; GLOBAL PRECIPITATION; BIAS CORRECTION; GAUGE OBSERVATIONS; DENSE NETWORK; SAMPLE-SIZE; SATELLITE; RAINFALL; IMPACT</t>
  </si>
  <si>
    <t>Reliable spatial and temporal meteorological estimates are essential for accurately modeling hydrological, ecological, and climatic processes. High-resolution gridded datasets can be utilized for such applications, particularly in data-sparse regions. However, the validation of the accuracy of these products is necessary before their application in hydrological modeling for the assessment and management of water resources. In this study, high-resolution (0.08 &amp; DEG; x 0.08 &amp; DEG;), long-term station-based gridded datasets for precipitation and maximum and minimum temperatures were developed for the Potohar Plateau. Linear regression analysis was performed against the datasets and nearby stations for gap-filling during the base period. The observed gap-filled data were spatially interpolated using the ordinary kriging technique to obtain an observed gridded dataset. Five datasets for precipitation and three datasets for temperature were selected for evaluation in this study. GPCC, APHRODITE, ERA5-Land, MSWEP, and PERSIANN-CDR for precipitation, and CPC, CRU, and ERA5 for temperature were selected. The performance evaluation was performed using widely used statistical parameters (KGE, R2, MAE, and RMSE). Bias correction was performed by selecting the best technique between linear scaling and quantile mapping. The results revealed that GPCC and ERA5 were the best-performing datasets for precipitation and temperature, respectively, among the evaluated datasets. For GPCC, KGE, R2, MAE, and RMSE values were 0.75, 0.79, 21.22 mm, and 35.11 mm correspondingly, whereas, for ERA5, the aforementioned values were 0.87, 0.97, 1.5 mm, and 1.85 mm, and 0.92, 0.98, 1.05 mm, and 1.25 mm, respectively, for maximum and minimum temperature. Furthermore, linear scaling performed better than quantile mapping in bias correction. Finally, the GPCC and ERA5 datasets were bias-corrected to develop the final gridded dataset products for precipitation and temperature. This dataset will be utilized in hydro-climatological studies, which would be helpful in policy-making for sustainable water resources management.</t>
  </si>
  <si>
    <t>[Khan, Muhammad Wasif; Ahmad, Shakil; Syed, Zain; Azmat, Muhammad] Natl Univ Sci &amp; Technol NUST, Sch Civil &amp; Environm Engn SCEE, Sect H 12, Islamabad 44000, Pakistan; [Dahri, Zakir Hussain] Pakistan Agr Res Council, Sect G-5, Islamabad 44000, Pakistan; [Ahmad, Khalil] King Abdulaziz Univ, Dept Civil &amp; Environm Engn, Jeddah 22254, Saudi Arabia; [Khan, Firdos] Natl Univ Sci &amp; Technol NUST, Sch Nat Sci SNS, Sect H-12, Islamabad 44000, Pakistan</t>
  </si>
  <si>
    <t>National University of Sciences &amp; Technology - Pakistan; National Agricultural Research Council - Pakistan; King Abdulaziz University; National University of Sciences &amp; Technology - Pakistan</t>
  </si>
  <si>
    <t>Ahmad, S (corresponding author), Natl Univ Sci &amp; Technol NUST, Sch Civil &amp; Environm Engn SCEE, Sect H 12, Islamabad 44000, Pakistan.</t>
  </si>
  <si>
    <t>mwasif.ms19nice@student.nust.edu.pk; shakilahmad@nice.nust.edu.pk; zakir.dahri@parc.gov.pk; zsyed.ms18nice@student.nust.edu.pk; kjameel@kau.edu.sa; firdos.khan@sns.nust.edu.pk; azmat@igis.nust.edu.pk</t>
  </si>
  <si>
    <t>Khan, Firdos/AAE-7252-2019</t>
  </si>
  <si>
    <t>Khan, Firdos/0000-0002-0869-943X</t>
  </si>
  <si>
    <t>The authors thank PMD and WAPDA for providing the observed data for this study.</t>
  </si>
  <si>
    <t>0177-798X</t>
  </si>
  <si>
    <t>1434-4483</t>
  </si>
  <si>
    <t>THEOR APPL CLIMATOL</t>
  </si>
  <si>
    <t>Theor. Appl. Climatol.</t>
  </si>
  <si>
    <t>10.1007/s00704-023-04626-7</t>
  </si>
  <si>
    <t>Q6AI3</t>
  </si>
  <si>
    <t>WOS:001058325200005</t>
  </si>
  <si>
    <t>Li, CW; Young, TH; Wang, MH; Pei, MY; Hsieh, TY; Hsu, CL; Cheng, NC</t>
  </si>
  <si>
    <t>Li, Chun-Wei; Young, Tai-Horng; Wang, Mu-Hui; Pei, Ming-Ying; Hsieh, Tsung-Yu; Hsu, Chia-Lang; Cheng, Nai-Chen</t>
  </si>
  <si>
    <t>Low-glucose culture environment can enhance the wound healing capability of diabetic adipose-derived stem cells</t>
  </si>
  <si>
    <t>Stem cell culture; Diabetes; Adipose-derived stem cell; Stem cell transplantation; Tissue regeneration</t>
  </si>
  <si>
    <t>GROWTH-FACTOR PRODUCTION; REPLICATIVE SENESCENCE; DIFFERENTIATION; SUPPRESSION; GENERATION; THERAPY; MODEL</t>
  </si>
  <si>
    <t>BackgroundApplication of autologous adipose-derived stem cells (ASC) for diabetic chronic wounds has become an emerging treatment option. However, ASCs from diabetic individuals showed impaired cell function and suboptimal wound healing effects. We proposed that adopting a low-glucose level in the culture medium for diabetic ASCs may restore their pro-healing capabilities.MethodsASCs from diabetic humans and mice were retrieved and cultured in high-glucose (HG, 4.5 g/L) or low-glucose (LG, 1.0 g/L) conditions. Cell characteristics and functions were investigated in vitro. Moreover, we applied diabetic murine ASCs cultured in HG or LG condition to a wound healing model in diabetic mice to compare their healing capabilities in vivo.ResultsHuman ASCs exhibited decreased cell proliferation and migration with enhanced senescence when cultured in HG condition in vitro. Similar findings were noted in ASCs derived from diabetic mice. The inferior cellular functions could be partially recovered when they were cultured in LG condition. In the animal study, wounds healed faster when treated with HG- or LG-cultured diabetic ASCs relative to the control group. Moreover, higher collagen density, more angiogenesis and cellular retention of applied ASCs were found in wound tissues treated with diabetic ASCs cultured in LG condition.ConclusionsIn line with the literature, our study showed that a diabetic milieu exerts an adverse effect on ASCs. Adopting LG culture condition is a simple and effective approach to enhance the wound healing capabilities of diabetic ASCs, which is valuable for the clinical application of autologous ASCs from diabetic patients.</t>
  </si>
  <si>
    <t>[Li, Chun-Wei] Chang Gung Univ, Chang Gung Mem Hosp Keelung, Dept Plast &amp; Reconstruct Surg, Keelung, Taiwan; [Li, Chun-Wei] Coll Med, Keelung, Taiwan; [Young, Tai-Horng; Pei, Ming-Ying; Hsieh, Tsung-Yu] Natl Taiwan Univ, Coll Med, Dept Biomed Engn, Taipei, Taiwan; [Young, Tai-Horng; Pei, Ming-Ying; Hsieh, Tsung-Yu] Natl Taiwan Univ, Coll Engn, Taipei, Taiwan; [Wang, Mu-Hui; Cheng, Nai-Chen] Natl Taiwan Univ Hosp, Dept Surg, 7 Chung Shan S Rd, Taipei 100, Taiwan; [Wang, Mu-Hui; Cheng, Nai-Chen] Coll Med, 7 Chung Shan S Rd, Taipei 100, Taiwan; [Hsu, Chia-Lang] Natl Taiwan Univ Hosp, Dept Med Res, Taipei, Taiwan; [Cheng, Nai-Chen] Natl Taiwan Univ, Res Ctr Dev Biol &amp; Regenerat Med, Taipei, Taiwan</t>
  </si>
  <si>
    <t>Chang Gung University; Chang Gung Memorial Hospital; National Taiwan University; National Taiwan University; National Taiwan University; National Taiwan University Hospital; National Taiwan University; National Taiwan University Hospital; National Taiwan University</t>
  </si>
  <si>
    <t>Cheng, NC (corresponding author), Natl Taiwan Univ Hosp, Dept Surg, 7 Chung Shan S Rd, Taipei 100, Taiwan.;Cheng, NC (corresponding author), Coll Med, 7 Chung Shan S Rd, Taipei 100, Taiwan.;Cheng, NC (corresponding author), Natl Taiwan Univ, Res Ctr Dev Biol &amp; Regenerat Med, Taipei, Taiwan.</t>
  </si>
  <si>
    <t>nccheng@ntu.edu.tw</t>
  </si>
  <si>
    <t>; Cheng, Naichen/H-7596-2013</t>
  </si>
  <si>
    <t>Li, Chun-Wei/0000-0001-8444-8950; Cheng, Naichen/0000-0003-4071-5628</t>
  </si>
  <si>
    <t>The authors acknowledge the technical assistance of the staff of the Sequencing Core, the Second and the Eighth Core Lab of National Taiwan University Hospital.</t>
  </si>
  <si>
    <t>10.1186/s13287-023-03478-2</t>
  </si>
  <si>
    <t>R2UJ5</t>
  </si>
  <si>
    <t>WOS:001062949500003</t>
  </si>
  <si>
    <t>Li, J; Ji, Z</t>
  </si>
  <si>
    <t>Li, J.; Ji, Z.</t>
  </si>
  <si>
    <t>Comment to: Subcutaneous and visceral adipose tissue in patients with primary and recurrent incisional hernia</t>
  </si>
  <si>
    <t>HERNIA</t>
  </si>
  <si>
    <t>[Li, J.; Ji, Z.] Southeast Univ, Affiliated Zhongda Hosp, Dept Gen Surg, Nanjing 210009, Peoples R China</t>
  </si>
  <si>
    <t>Li, J (corresponding author), Southeast Univ, Affiliated Zhongda Hosp, Dept Gen Surg, Nanjing 210009, Peoples R China.</t>
  </si>
  <si>
    <t>Lijunshenghd@126.com</t>
  </si>
  <si>
    <t>1265-4906</t>
  </si>
  <si>
    <t>1248-9204</t>
  </si>
  <si>
    <t>Hernia</t>
  </si>
  <si>
    <t>10.1007/s10029-023-02880-2</t>
  </si>
  <si>
    <t>R1GE1</t>
  </si>
  <si>
    <t>WOS:001061887000001</t>
  </si>
  <si>
    <t>Liechti, R; Merky, DN; Sutter, D; Ipaktchi, R; Voegelin, E</t>
  </si>
  <si>
    <t>Liechti, Remy; Merky, Dominique Nellie; Sutter, Damian; Ipaktchi, Ramin; Voegelin, Esther</t>
  </si>
  <si>
    <t>Collagenase clostridium histolyticum injection versus limited fasciectomy for the treatment of Dupuytren's disease: a systematic review and meta-analysis of comparative studies</t>
  </si>
  <si>
    <t>ARCHIVES OF ORTHOPAEDIC AND TRAUMA SURGERY</t>
  </si>
  <si>
    <t>Dupuytren's disease; Collagenase injection; Limited fasciectomy; Meta-analysis</t>
  </si>
  <si>
    <t>COST-EFFECTIVENESS; CONTRACTURE; POPULATION; PREVALENCE; FASCIOTOMY; SURGERY; SAFETY</t>
  </si>
  <si>
    <t>Introduction The aim of the present study is to systematically review the literature on well-selected comparative studies for meta-analysis on outcome differences between collagenase clostridium histolyticum (CCH) injection and limited fasciectomy (LF) for Dupuytren's disease. Materials and methods PubMed/Medline, Embase, and the Cochrane Library were searched for comparative studies assessing differences in outcomes of CCH and LF. Effect estimates were pooled across studies using random effects models and presented as weighted mean difference (MD) and odds ratio (OR) with corresponding 95% confidence interval (CI). Results A total of 11 studies encompassing 1'051 patients was included (619 patients in the CCH and 432 in the LF group). The residual contracture at a minimal average follow-up of three months was higher in the CCH group than in the LF group (27.8 vs. 16.2 degrees, MD 11.6 degrees, 95% CI [8.7, 14.5 degrees], p &lt; 0.001). The recurrence rate was significantly higher in the CCH group (25.8 vs. 9.3%, OR 5.2, 95% CI [1.5, 18.8], p = 0.01) while the rate of severe complications was significantly higher in the LF group (0.3 vs. 7.3%, OR 0.12, 95% CI [0.03, 0.42], p = 0.001). Conclusions Evidence of the present study confirms that CCH injection has a higher rate of disease recurrence whereas LF carries a higher risk for severe complications. It's imperative that the trade-off between these aspects is considered, keeping in mind that CCH injections may be repeated in case of disease recurrence without increasing procedure related risks, especially in complex cases.</t>
  </si>
  <si>
    <t>[Liechti, Remy; Merky, Dominique Nellie; Sutter, Damian; Ipaktchi, Ramin; Voegelin, Esther] Univ Hosp Bern, Dept Plast &amp; Hand Surg, Inselspital, Freiburgstr 18, CH-3010 Bern, Switzerland</t>
  </si>
  <si>
    <t>University of Bern; University Hospital of Bern</t>
  </si>
  <si>
    <t>Liechti, R (corresponding author), Univ Hosp Bern, Dept Plast &amp; Hand Surg, Inselspital, Freiburgstr 18, CH-3010 Bern, Switzerland.</t>
  </si>
  <si>
    <t>remy_liechti@hotmail.com</t>
  </si>
  <si>
    <t>Liechti, Remy/0000-0002-2206-4297</t>
  </si>
  <si>
    <t>0936-8051</t>
  </si>
  <si>
    <t>1434-3916</t>
  </si>
  <si>
    <t>ARCH ORTHOP TRAUM SU</t>
  </si>
  <si>
    <t>Arch. Orthop. Trauma Surg.</t>
  </si>
  <si>
    <t>10.1007/s00402-023-05004-8</t>
  </si>
  <si>
    <t>Orthopedics; Surgery</t>
  </si>
  <si>
    <t>R1FO8</t>
  </si>
  <si>
    <t>WOS:001061871700001</t>
  </si>
  <si>
    <t>Liu, JN; Wang, H; Gu, W; Zhao, TT; Fan, WX; Peng, SM</t>
  </si>
  <si>
    <t>Liu, Jiannan; Wang, Hao; Gu, Wei; Zhao, Tingting; Fan, Wenxue; Peng, Shaomin</t>
  </si>
  <si>
    <t>Safety of YAG laser vitreolysis for intraocular tissues: analysis of postoperative complications</t>
  </si>
  <si>
    <t>YAG laser vitreolysis; Vitreous floaters; Floaters ablation; Vitreous opacities</t>
  </si>
  <si>
    <t>PARS-PLANA VITRECTOMY; VITREOUS FLOATERS; NEODYMIUM; EFFICACY; LYSIS</t>
  </si>
  <si>
    <t>PurposeTo evaluate the safety of yttrium-aluminum-garnet (YAG) laser vitreolysis for intraocular tissues.MethodsThirty-six New Zealand rabbits were divided as follows: Group 1000 (n = 12) treated with YAG laser of 1000 mJ (5 mJ x 200 shots), Group 2000 (n = 12) treated with YAG laser of 2000 mJ (5 mJ x 400 shots), Group 3000 (n = 12) treated with YAG laser of 3000 mJ (5 mJ x 600 shots). Either a single eye was chosen as the study eye in study groups while the other was untreated as the control group. Intraocular pressure (IOP), slit-lamp, optical coherence tomography (OCT), transmission electron microscopy (TEM), and inflammatory cytokines of aqueous humor (interleukin-1 &amp; alpha; (IL-1 &amp; alpha;), interleukin-1 &amp; beta; (IL-1 &amp; beta;), interleukin-8 (IL-8), and tumor necrosis factor-&amp; alpha; (TNF-&amp; alpha;)) were performed to examine the rabbits.ResultsThere were no abnormalities in the study groups of IOP, slit-lamp, and OCT examinations. Group 3000 of TEM showed: neutrophils and mitochondrial swelling on day 1, and fibroblasts and neocollagen on day 14. No abnormalities were observed in Group 1000 and 2000 of TEM. Levels of IL-1 &amp; alpha; and TNF-&amp; alpha; increased at 12 h and decreased to baseline on day 3. Levels of IL-1 &amp; beta; increased at 12 h and decreased to baseline on day 7. Levels of IL-8 increased on day 1 and decreased to baseline on day 3.ConclusionYAG laser vitreolysis is safe when the distance is more than 2 mm from ablation point to the lens and the retina, and the total energy is less than 2000 mJ for one treatment procedure.</t>
  </si>
  <si>
    <t>[Liu, Jiannan] Jinan Univ, Dept Ophthalmol, Dongguan Aier Eye Hosp, Dongguan, Guangdong, Peoples R China; [Wang, Hao] Hebei Eye Hosp, Dept Ophthalmol, Xingtai, Hebei, Peoples R China; [Gu, Wei] Beijing Aier Intech Eye Hosp, Dept Ophthalmol, Beijing, Peoples R China; [Zhao, Tingting; Fan, Wenxue; Peng, Shaomin] Harbin Aier Eye Hosp, Dept Ophthalmol, Harbin, Heilongjiang, Peoples R China; [Peng, Shaomin] Cent South Univ, Aier Sch Ophthalmol, 188 Furongnan Rd, Changsha, Hunan, Peoples R China; [Peng, Shaomin] Aier Retina Inst, Changsha, Hunan, Peoples R China</t>
  </si>
  <si>
    <t>Central South University</t>
  </si>
  <si>
    <t>Peng, SM (corresponding author), Cent South Univ, Aier Sch Ophthalmol, 188 Furongnan Rd, Changsha, Hunan, Peoples R China.</t>
  </si>
  <si>
    <t>pengshaomin@csu.edu.cn</t>
  </si>
  <si>
    <t>Science Research Foundation of Aier Eye Hospital Group, China [AM1901D1]</t>
  </si>
  <si>
    <t>Science Research Foundation of Aier Eye Hospital Group, China</t>
  </si>
  <si>
    <t>This work was financially supported by Science Research Foundation of Aier Eye Hospital Group, China (AM1901D1). The funders had no role in study design, data collection and analysis, decision to publish, or preparation of the manuscript.</t>
  </si>
  <si>
    <t>10.1007/s10792-023-02858-0</t>
  </si>
  <si>
    <t>Q5ZJ0</t>
  </si>
  <si>
    <t>WOS:001058299900002</t>
  </si>
  <si>
    <t>Neubauer, AB; Schmiedek, F</t>
  </si>
  <si>
    <t>Neubauer, Andreas B.; Schmiedek, Florian</t>
  </si>
  <si>
    <t>Approaching academic adjustment on multiple time scales</t>
  </si>
  <si>
    <t>ZEITSCHRIFT FUR ERZIEHUNGSWISSENSCHAFT</t>
  </si>
  <si>
    <t>Ambulatory assessment; Study satisfaction; Memory-experience gap; University students; Ambulantes assessment; Studienzufriedenheit; Studierende</t>
  </si>
  <si>
    <t>AGE-DIFFERENCES; EXPERIENCE; VARIABILITY; RELIABILITY; MEMORIES; VALIDITY; RECALL; PAIN</t>
  </si>
  <si>
    <t>In educational research, the process of socioemotional adaptation is often examined using panel studies with repeated assessments across months or years. Intensive longitudinal designs (e.g., daily diaries or experience sampling methods) allow to target this process on a shorter time scale (e.g., from day to day or week to week). In this contribution, we demonstrate that these two approaches yield similar but not interchangeable information about the process of socioemotional adaptation in university students. Results of an intensive longitudinal study with 250 university students revealed (a) mean level differences in reported study satisfaction depending on the time frame of the assessment, (b) differential change in study satisfaction for daily vs. weekly ratings across seven weeks in one semester, and (c) the prognostic utility of repeated weekly assessments of study satisfaction for retrospective assessments of study satisfaction. Findings illustrate the benefit of combining panel studies with intensive longitudinal studies. Implications for the assessment of experiences, memories of experiences, and global self-beliefs are discussed. In der Bildungsforschung wird der Prozess sozioemotionaler Anpassung haufig uber Panel-Studien mit wiederholten Messungen uber Monate und Jahre untersucht. Intensive Langsschnittdesigns wie Tagebuchstudien oder experience sampling Studien erlauben, diesen Prozess auf einer zeitlich kurzeren Ebene abzubilden. In diesem Beitrag zeigen wir anhand eines empirischen Beispiels, dass diese beiden Ansatze ahnliche, aber nicht redundante Informationen zum Prozess sozioemotionaler Anpassung bei Studierenden liefern. Ergebnisse aus einer intensiv-langsschnittlichen Studie mit 250 Studierenden zeigten (a) Mittelwertsunterschiede in berichteter Studienzufriedenheit in Abhangigkeit der zeitlichen Auflosung der Erfassung, (b) differenzielle Veranderung in Studienzufriedenheit uber sieben Wochen in einem Semester, und (c) die prognostische Validitat von wiederholten, wochentlichen Messungen der Studienzufriedenheit bei der Vorhersage von retrospektiver Studienzufriedenheit. Die Ergebnisse zeigen den Nutzen der Kombination von Panel-Studien mit intensiven Langsschnittdesigns auf. Implikationen fur die Erfassung von momentanem Erleben, erinnertem Erleben und Selbstuberzeugungen werden diskutiert.</t>
  </si>
  <si>
    <t>[Neubauer, Andreas B.; Schmiedek, Florian] DIPF Leibniz Inst Res &amp; Informat Educ, Rostocker Str 6, D-60323 Frankfurt, Germany</t>
  </si>
  <si>
    <t>Neubauer, AB (corresponding author), DIPF Leibniz Inst Res &amp; Informat Educ, Rostocker Str 6, D-60323 Frankfurt, Germany.</t>
  </si>
  <si>
    <t>a.neubauer@dipf.de; f.schmiedek@dipf.de</t>
  </si>
  <si>
    <t>Neubauer, Andreas/0000-0003-0515-1126</t>
  </si>
  <si>
    <t>Volkswagen Foundation [99 728]; German Research Foundation (DFG) [NE 2480/1-1]</t>
  </si>
  <si>
    <t>Volkswagen Foundation(Volkswagen); German Research Foundation (DFG)(German Research Foundation (DFG))</t>
  </si>
  <si>
    <t>This research was supported by grants awarded to Andreas B. Neubauer by the Volkswagen Foundation (Grant number 99 728) and the German Research Foundation (DFG; Grant number NE 2480/1-1).</t>
  </si>
  <si>
    <t>1434-663X</t>
  </si>
  <si>
    <t>1862-5215</t>
  </si>
  <si>
    <t>Z ERZIEHWISS</t>
  </si>
  <si>
    <t>Z. Erziehwiss.</t>
  </si>
  <si>
    <t>10.1007/s11618-023-01182-8</t>
  </si>
  <si>
    <t>R1WZ7</t>
  </si>
  <si>
    <t>WOS:001062327000001</t>
  </si>
  <si>
    <t>Ounis, M; Sanz-Santos, E; Fakhfakh, F; Younes, MK; Hadrich, B; Alvarez-Torrellas, S; Larriba, M; Garcia, J</t>
  </si>
  <si>
    <t>Ounis, Mabrouka; Sanz-Santos, Eva; Fakhfakh, Fatma; Younes, Mohamed Kadri; Hadrich, Bilel; Alvarez-Torrellas, Silvia; Larriba, Marcos; Garcia, Juan</t>
  </si>
  <si>
    <t>Optimisation of Adsorption Removal of Bisphenol A Using Sludge-Based Activated Carbons: Application of Response Surface Methodology with a Box-Behnken Design</t>
  </si>
  <si>
    <t>Activated carbon; Adsorption; Sewage sludge; Bisphenol A; Box-Behnken design; Response surface methodology</t>
  </si>
  <si>
    <t>AQUEOUS-SOLUTION; ZINC-CHLORIDE; WASTE-WATER; CHEMICAL ACTIVATION; ENDOCRINE; SHELL; BPA; METALS</t>
  </si>
  <si>
    <t>The potential use of sewage sludge as a precursor for the production of activated carbon was explored in this paper. After chemical activation with ZnCl2, three activated carbons were used to decontaminate synthetic solutions containing Bisphenol A and the results were compared with a commercial activated carbon. The effect of the impregnation ratio (activating agent/precursor) and the use of CO2 during the second carbonisation on the textural properties and Bisphenol A adsorption performance of the activated carbons were studied. The highest specific surface area achieved was 730 m2/g, obtained with an impregnation ratio of 2:1 with the use of CO2.The kinetics of Bisphenol A adsorption were successfully described by both pseudo-second-order and Elovich models, while the adsorption isotherms were well fitted to the Freundlich model. The prepared activated carbon had excellent adsorption efficiency toward Bisphenol A with a maximum adsorption of 285.8 mg/g which was closer to the retention amount of the commercial one. The best adsorption conditions for Bisphenol A removal were obtained by applying response surface methodology (RSM) coupled with Box-Behnken design (BBD) onto AC-Industrial2. Under these conditions, 657.76 mg/g can be reached. Thus, these optimum conditions were therefore applied for bisphenol A removal from real effluents and the obtained results are very promising.</t>
  </si>
  <si>
    <t>[Ounis, Mabrouka; Fakhfakh, Fatma; Younes, Mohamed Kadri] Univ Tunis El Manar, Fac Sci Tunis, Lab Chim Mat &amp; Catalyse LR01ES08, Tunis 2092, Tunisia; [Hadrich, Bilel] Imam Mohammad Ibn Saud Islamic Univ, Coll Engn, Dept Chem Engn, IMSIU, Riyadh 11432, Saudi Arabia; [Sanz-Santos, Eva; Alvarez-Torrellas, Silvia; Larriba, Marcos; Garcia, Juan] Univ Complutense Madrid, Fac Chem Sci, Chem Engn &amp; Mat Dept, Catalysis &amp; Separat Proc Grp CyPS, Madrid, Spain</t>
  </si>
  <si>
    <t>Universite de Tunis-El-Manar; Faculte des Sciences de Tunis (FST); Imam Mohammad Ibn Saud Islamic University (IMSIU); Complutense University of Madrid</t>
  </si>
  <si>
    <t>Ounis, M (corresponding author), Univ Tunis El Manar, Fac Sci Tunis, Lab Chim Mat &amp; Catalyse LR01ES08, Tunis 2092, Tunisia.</t>
  </si>
  <si>
    <t>mabrouka.ounis@etudiant-fst.utm.tn</t>
  </si>
  <si>
    <t>Comunidad de Madrid~ [IND2017/AMB-7720, IND2019/AMB-17114]; REMTAVARES-CM Network~ [S2018/EMT-4341]; European Social Fund; MCIN/AEI [2020-116478RB-I00]; Tunisian Ministry of Higher Education and Scientific Research</t>
  </si>
  <si>
    <t>Comunidad de Madrid~(Comunidad de Madrid); REMTAVARES-CM Network~; European Social Fund(European Social Fund (ESF)); MCIN/AEI; Tunisian Ministry of Higher Education and Scientific Research</t>
  </si>
  <si>
    <t>This research was supported by the~Comunidad de Madrid~through the Industrial PhD Projects (under Grant Numbers IND2017/AMB-7720 and IND2019/AMB-17114) and REMTAVARES-CM Network~(under Grant Number S2018/EMT-4341) and The~European Social Fund. Also, the authors thank the project PID 2020-116478RB-I00 supported by MCIN/AEI/10.13039/501100011033 and gratefully acknowledge the financial support furnished by the Tunisian Ministry of Higher Education and Scientific Research.</t>
  </si>
  <si>
    <t>10.1007/s13369-023-08203</t>
  </si>
  <si>
    <t>Q5YT6</t>
  </si>
  <si>
    <t>WOS:001058284500002</t>
  </si>
  <si>
    <t>Poddar, NK; Khan, A; Fatima, F; Saxena, A; Ghaley, G; Khan, S</t>
  </si>
  <si>
    <t>Poddar, Nitesh Kumar; Khan, Arshma; Fatima, Falak; Saxena, Anshulika; Ghaley, Garima; Khan, Shahanavaj</t>
  </si>
  <si>
    <t>Association of mTOR Pathway and Conformational Alterations in C-Reactive Protein in Neurodegenerative Diseases and Infections</t>
  </si>
  <si>
    <t>CELLULAR AND MOLECULAR NEUROBIOLOGY</t>
  </si>
  <si>
    <t>C-reactive protein (CRP); Inflammation; Monomeric CRP (mCRP); mTOR pathways; Neurodegenerative</t>
  </si>
  <si>
    <t>HEMORRHAGIC STROKE; ISCHEMIC-STROKE; CELLS; BACTERIAL; CRP; BINDING; IMMUNOREACTIVITY; INFLAMMATION; INVOLVEMENT; RECOGNITION</t>
  </si>
  <si>
    <t>Inflammatory biomarkers have been very useful in detecting and monitoring inflammatory processes along with providing helpful information to select appropriate therapeutic strategies. C-reactive protein (CRP) is a nonspecific, but quite useful medical acute inflammatory biomarker and is associated with persistent chronic inflammatory processes. Several studies suggest that different levels of CRP are correlated with neurological disorders such as Alzheimer's disease (AD). However, dynamics of CRP levels have also been observed in virus/bacterial-related infections leading to inflammatory responses and this triggers mTOR-mediated pathways for neurodegeneration diseases. The biophysical structural transition from CRP to monomeric CRP (mCRP) and the significance of the ratio of CRP levels on the onset of symptoms associated with inflammatory response have been discussed. In addition, mTOR inhibitors act as immunomodulators by downregulating the expression of viral infection and can be explored as a potential therapy for neurological diseases.</t>
  </si>
  <si>
    <t>[Poddar, Nitesh Kumar; Saxena, Anshulika; Ghaley, Garima] Manipal Univ Jaipur, Dept Biosci, Jaipur Ajmer Express Highway, Dehmi Kalan, Near GV, Jaipur 303007, Rajasthan, India; [Khan, Arshma] Invertis Univ, Dept Biotechnol, Bareilly 243123, Uttar Pradesh, India; [Fatima, Falak] Am Univ Uttar Pradesh, Am Inst Biotechnol, Noida 201301, Uttar Pradesh, India; [Khan, Shahanavaj] Indian Inst Hlth &amp; Technol IIHT, Dept Med Lab Technol, Saharanpur 247554, Uttar Pradesh, India</t>
  </si>
  <si>
    <t>Manipal University Jaipur; Invertis University; Amity University Noida</t>
  </si>
  <si>
    <t>Poddar, NK (corresponding author), Manipal Univ Jaipur, Dept Biosci, Jaipur Ajmer Express Highway, Dehmi Kalan, Near GV, Jaipur 303007, Rajasthan, India.;Khan, S (corresponding author), Indian Inst Hlth &amp; Technol IIHT, Dept Med Lab Technol, Saharanpur 247554, Uttar Pradesh, India.</t>
  </si>
  <si>
    <t>niteshkumar.poddar@jaipur.manipal.edu; sdkhan@ksu.edu.sa</t>
  </si>
  <si>
    <t>Manipal University Jaipur, Rajasthan, India [EF/2019-20/QE04-02]; DST-FIST project from Govt. of India [EF/2019-20/QE04-02]</t>
  </si>
  <si>
    <t>Manipal University Jaipur, Rajasthan, India; DST-FIST project from Govt. of India</t>
  </si>
  <si>
    <t>Support by Enhanced Seed Grant EF/2019-20/QE04-02 (to NKP) from Manipal University Jaipur, Rajasthan, India, is gratefully acknowledged.~Financial support in the form of DST-FIST project (DST/2022/1012) from Govt. of India, is gratefully acknowledged.</t>
  </si>
  <si>
    <t>0272-4340</t>
  </si>
  <si>
    <t>1573-6830</t>
  </si>
  <si>
    <t>CELL MOL NEUROBIOL</t>
  </si>
  <si>
    <t>Cell. Mol. Neurobiol.</t>
  </si>
  <si>
    <t>10.1007/s10571-023-01402</t>
  </si>
  <si>
    <t>Cell Biology; Neurosciences</t>
  </si>
  <si>
    <t>Cell Biology; Neurosciences &amp; Neurology</t>
  </si>
  <si>
    <t>Q5WD2</t>
  </si>
  <si>
    <t>WOS:001058215600001</t>
  </si>
  <si>
    <t>Rana, HK; Singh, AK; Kumar, R; Pandey, AK</t>
  </si>
  <si>
    <t>Rana, Harvesh Kumar; Singh, Amit Kumar; Kumar, Ramesh; Pandey, Abhay K.</t>
  </si>
  <si>
    <t>Antitubercular drugs: possible role of natural products acting as antituberculosis medication in overcoming drug resistance and drug-induced hepatotoxicity</t>
  </si>
  <si>
    <t>Tuberculosis; Drug-resistance; Hepatoprotective; Natural products; Liver injury</t>
  </si>
  <si>
    <t>MITOCHONDRIAL OXIDATIVE STRESS; INDUCED LIVER-INJURY; MYCOBACTERIUM-TUBERCULOSIS; FOLATE METABOLISM; ALANINE LIGASE; MUTATIONS; MECHANISMS; PYRAZINAMIDE; SMEGMATIS; RIFAMPICIN</t>
  </si>
  <si>
    <t>Mycobacterium tuberculosis (Mtb) is a pathogenic bacterium which causes tuberculosis (TB). TB control programmes are facing threats from drug resistance. Multidrug-resistant (MDR) and extensively drug-resistant (XDR) Mtb strains need longer and more expensive treatment with many medications resulting in more adverse effects and decreased chances of treatment outcomes. The World Health Organization (WHO) has emphasised the development of not just new individual anti-TB drugs, but also novel medication regimens as an alternative treatment option for the drug-resistant Mtb strains. Many plants, as well as marine creatures (sponge; Haliclona sp.) and fungi, have been continuously used to treat TB in various traditional treatment systems around the world, providing an almost limitless supply of active components. Natural products, in addition to their anti-mycobacterial action, can be used as adjuvant therapy to increase the efficacy of conventional anti-mycobacterial medications, reduce their side effects, and reverse MDR Mtb strain due to Mycobacterium's genetic flexibility and environmental adaptation. Several natural compounds such as quercetin, ursolic acid, berberine, thymoquinone, curcumin, phloretin, and propolis have shown potential anti-mycobacterial efficacy and are still being explored in preclinical and clinical investigations for confirmation of their efficacy and safety as anti-TB medication. However, more high-level randomized clinical trials are desperately required. The current review provides an overview of drug-resistant TB along with the latest anti-TB medications, drug-induced hepatotoxicity and oxidative stress. Further, the role and mechanisms of action of first and second-line anti-TB drugs and new drugs have been highlighted. Finally, the role of natural compounds as anti-TB medication and hepatoprotectants have been described and their mechanisms discussed.</t>
  </si>
  <si>
    <t>[Rana, Harvesh Kumar; Singh, Amit Kumar; Kumar, Ramesh; Pandey, Abhay K.] Univ Allahabad, Dept Biochem, Allahabad 211002, Prayagraj, India; [Rana, Harvesh Kumar] Feroze Gandhi Postgrad Coll, Dept Zool, Raebareli 229001, India; [Singh, Amit Kumar] BMK Govt Girls Coll, Dept Bot, Balod 491226, Chhattisgarh, India; [Kumar, Ramesh] Cent Univ Punjab, Dept Biochem, Bathinda 151401, Punjab, India</t>
  </si>
  <si>
    <t>University of Allahabad; Central University of Punjab</t>
  </si>
  <si>
    <t>Pandey, AK (corresponding author), Univ Allahabad, Dept Biochem, Allahabad 211002, Prayagraj, India.</t>
  </si>
  <si>
    <t>akpandey23@rediffmail.com</t>
  </si>
  <si>
    <t>HKR acknowledges UGC New Delhi for financial assistance in the form of a CRET Research Fellowship. AKS and RK acknowledge CSIR New Delhi for financial assistance in the form of Junior and Senior Research Fellowships. RK also acknowledges Research Associate; UGC New Delhi; CRET Research Fellowship; CSIR New Delhi; ICMR New Delhi; UGC-SAP</t>
  </si>
  <si>
    <t>HKR acknowledges UGC New Delhi for financial assistance in the form of a CRET Research Fellowship. AKS and RK acknowledge CSIR New Delhi for financial assistance in the form of Junior and Senior Research Fellowships. RK also acknowledges Research Associate; UGC New Delhi(University Grants Commission, India); CRET Research Fellowship; CSIR New Delhi(Council of Scientific &amp; Industrial Research (CSIR) - India); ICMR New Delhi(Indian Council of Medical Research (ICMR)); UGC-SAP(University Grants Commission, India)</t>
  </si>
  <si>
    <t>HKR acknowledges UGC New Delhi for financial assistance in the form of a CRET Research Fellowship. AKS and RK acknowledge CSIR New Delhi for financial assistance in the form of Junior and Senior Research Fellowships. RK also acknowledges Research Associateship of ICMR New Delhi. All the authors gratefully acknowledge UGC-SAP and DST-FIST facilities of the Department of Biochemistry, University of Allahabad, Prayagraj (Allahabad).</t>
  </si>
  <si>
    <t>10.1007/s00210-023-02679</t>
  </si>
  <si>
    <t>Q5XI7</t>
  </si>
  <si>
    <t>WOS:001058247200001</t>
  </si>
  <si>
    <t>Scales, SE; Park, JW; Nixon, R; Guha-Sapir, D; Horney, JA</t>
  </si>
  <si>
    <t>Scales, Sarah Elizabeth; Park, Jee Won; Nixon, Rebecca; Guha-Sapir, Debarati; Horney, Jennifer A.</t>
  </si>
  <si>
    <t>Disease burden among refugees in camps on mainland Greece, 2016-2017: a retrospective cross-sectional study</t>
  </si>
  <si>
    <t>Displacement; Disaster epidemiology; Humanitarian emergency; International health</t>
  </si>
  <si>
    <t>HEALTH-STATUS; PREVALENCE; EPIDEMIOLOGY; COUNTRIES; SYRIA</t>
  </si>
  <si>
    <t>BackgroundDespite the importance of baseline health data for evidence-informed decision-making, these data are rarely available for displaced populations. At the height of the European refugee crisis, most of those seeking asylum in Europe were from regions with high prevalences of communicable and non-communicable diseases. To create an epidemiologic profile for refugees in camps on mainland Greece, this study assessed the prevalence of 11 communicable and non-communicable diseases among refugees utilizing Medecins du Monde (MdM) in-camp clinics.MethodsThe proportional morbidity of selected diseases among individuals utilizing MdM services were determined from data collected at refugee camp clinics on mainland Greece from April 2016 - July 2017. Overall and age-specific proportional morbidities were reported. Differences in disease burden among refugees from the largest sending countries - Afghanistan and Syria - were compared using proportional morbidity ratios and 95% confidence intervals. Patterns in results were compared with disease burden estimates in sending countries and with findings from comparable settings.ResultsRespiratory tract infections (RTIs) were the most prevalent outcome. Among RTIs, upper RTIs were most common, with a proportional morbidity of nearly 40%; throughout the study period, over 46% of children under 18 years had at least one upper RTI consultation. Musculoskeletal conditions (3.64%), were the most prevalent non-communicable outcome, followed by hypertension (2.21%) and asthma (1.28%). Afghans were 31.68% more likely than Syrians to have a consultation for at least one condition (PR: 1.32; 95% CI: 1.25, 1.39). The proportional morbidity of RTIs was comparable to sending countries, but there was a comparatively lower burden of other conditions among refugees than literature estimates from sending countries.ConclusionRefugees utilizing MdM clinics in camps had higher burdens of communicable diseases - predominantly RTIs - relative to non-communicable diseases. Non-communicable disease burdens were comparatively lower than reported prevalences from in-country populations. These findings can be attributed to a range of considerations including differences in demographic profiles between sending countries and refugee populations and missed opportunities for utilizing clinical care. Further investment is needed to capture the health profiles of displaced populations to support evidence-informed decision-making processes in humanitarian emergency responses.</t>
  </si>
  <si>
    <t>[Scales, Sarah Elizabeth; Park, Jee Won; Horney, Jennifer A.] Univ Delaware, Epidemiol Program, Suite 614 Tower STAR 100 Discovery Blvd, Newark, DE 19713 USA; [Nixon, Rebecca] Univ Delaware, Dept Geog &amp; Spatial Sci, 225 Pearson Hall 125 Acad St, Newark, DE 19716 USA; [Guha-Sapir, Debarati] Johns Hopkins Univ, Bloomberg Sch Publ Hlth, Div Int Hlth, Baltimore, MD USA</t>
  </si>
  <si>
    <t>University of Delaware; University of Delaware; Johns Hopkins University; Johns Hopkins Bloomberg School of Public Health</t>
  </si>
  <si>
    <t>Scales, SE (corresponding author), Univ Delaware, Epidemiol Program, Suite 614 Tower STAR 100 Discovery Blvd, Newark, DE 19713 USA.</t>
  </si>
  <si>
    <t>sescales@udel.edu</t>
  </si>
  <si>
    <t>University of Delaware Graduate College</t>
  </si>
  <si>
    <t>This work was supported by the University of Delaware Graduate College through the UNIDEL Distinguished Graduate Scholar Award. Any opinions, findings, and conclusions or recommendations expressed in this material are those of the authors.</t>
  </si>
  <si>
    <t>10.1186/s12889-023-16472-3</t>
  </si>
  <si>
    <t>R0PU1</t>
  </si>
  <si>
    <t>WOS:001061456200016</t>
  </si>
  <si>
    <t>Stensaker, B; Maassen, P; Rosso, A</t>
  </si>
  <si>
    <t>Stensaker, Bjorn; Maassen, Peter; Rosso, Arianna</t>
  </si>
  <si>
    <t>The European University Initiative - investigating alliance formation and initial profile developments</t>
  </si>
  <si>
    <t>TERTIARY EDUCATION AND MANAGEMENT</t>
  </si>
  <si>
    <t>European University Initiative; University alliances; Strategic collaboration; Organizational identity; Organizational image</t>
  </si>
  <si>
    <t>ORGANIZATIONAL IDENTITY; HIGHER-EDUCATION</t>
  </si>
  <si>
    <t>The European University Initiative (EUI) - launched by the European Commission in 2018 has been received with considerable interest from higher education institutions in Europe with hundreds of institutions forming new alliances. While the EUI-initiative in many ways is a continuation of a long history of collaboration across national borders in Europe, the initiative also contains novel elements - not least with respect to the institutional commitments the new alliances are based on. This paper offers new insights into the alliance formation process, and the profiles of European university alliances. Based on a series of qualitative interviews with key persons at alliance level, our findings demonstrate quite complex alliance formation processes where both collective and individual networks of institutions were activated, and where different path-dependencies shaped the membership of the alliances.</t>
  </si>
  <si>
    <t>[Stensaker, Bjorn; Maassen, Peter; Rosso, Arianna] Univ Oslo, Fac Educ Sci, Dept Educ, POB 1092, N-0317 Oslo, Norway</t>
  </si>
  <si>
    <t>Stensaker, B (corresponding author), Univ Oslo, Fac Educ Sci, Dept Educ, POB 1092, N-0317 Oslo, Norway.</t>
  </si>
  <si>
    <t>bjorn.stensaker@iped.uio.no</t>
  </si>
  <si>
    <t>We would also like to thank the reviewers for comments and input to previous versions of the paper.</t>
  </si>
  <si>
    <t>1358-3883</t>
  </si>
  <si>
    <t>1573-1936</t>
  </si>
  <si>
    <t>TERT EDUC MANAG</t>
  </si>
  <si>
    <t>Tert. Educ. Manag.</t>
  </si>
  <si>
    <t>10.1007/s11233-023-09125</t>
  </si>
  <si>
    <t>Q5WB8</t>
  </si>
  <si>
    <t>WOS:001058214200001</t>
  </si>
  <si>
    <t>Viret, M; Saugy, M; Botre, F</t>
  </si>
  <si>
    <t>Viret, Marjolaine; Saugy, Martial; Botre, Francesco</t>
  </si>
  <si>
    <t>Creating equality through differentiation in doping control</t>
  </si>
  <si>
    <t>INTERNATIONAL SPORTS LAW JOURNAL</t>
  </si>
  <si>
    <t>Human rights; Equality; Non-discrimination; Anti-doping; Science-informed policy</t>
  </si>
  <si>
    <t>TESTOSTERONE</t>
  </si>
  <si>
    <t>Awareness of human rights and related principles, such as equality and non-discrimination, is growing in sports. While debates on doping regulation typically target the contours of the prohibition and the sanctioning regime, much less attention has been given to how anti-doping detection impacts the level playing field, i.e. whether equality is realised in the manner in which the substances and methods are detected in athletes' samples, or whether athletes are all equal when it comes to the analytical cut-offs that the regulations set. This article seeks to fill this gap and explores the implications of differentiation-or non-differentiation-in anti-doping detection for principles of equality and non-discrimination. After discussing notions related to equality in anti-doping detection, the article presents case studies from current anti-doping analytics, to make differentiation in that context tangible. Based on case law of the European Court of Human Rights, the Swiss Supreme Court and the Court of Arbitration for Sport, we submit that anti-doping authorities should resort to an operational 'discrimination test' when drafting technical regulation for anti-doping, in order to incorporate these principles 'by design' into the detection system. The article also demonstrates that-apparently-technical rules are not value-neutral, but that scientific data and policy choices are entwined in a way that warrants debate on the political scene, and creates duties of transparency and justification on part of the decision-makers.</t>
  </si>
  <si>
    <t>[Viret, Marjolaine] Univ Lausanne, Inst Sport Sci, Fac Social &amp; Polit Sci, CH-1015 Lausanne, Switzerland; [Saugy, Martial] Univ Lausanne, Inst Sport Sci, Fac Social &amp; Polit Sci, Ctr Res &amp; Expertise Antidoping Sci, CH-1015 Lausanne, Switzerland; [Botre, Francesco] Univ Lausanne, Inst Sport Sci, Fac Social &amp; Polit Sci, Director Ctr Res &amp; Expertise Antidoping Sci, CH-1015 Lausanne, Switzerland; [Botre, Francesco] Director Lab Antidoping, Federaz Med Sportiva Italiana, Rome, Italy</t>
  </si>
  <si>
    <t>University of Lausanne; University of Lausanne; University of Lausanne</t>
  </si>
  <si>
    <t>Viret, M (corresponding author), Univ Lausanne, Inst Sport Sci, Fac Social &amp; Polit Sci, CH-1015 Lausanne, Switzerland.</t>
  </si>
  <si>
    <t>marjolaine.viret@unil.ch</t>
  </si>
  <si>
    <t>The authors wish to thank Carole Gomez, Fabien Ohl, David McArdle, and Antoine Duval, for their review of, and suggestions on, this manuscript.</t>
  </si>
  <si>
    <t>1567-7559</t>
  </si>
  <si>
    <t>2213-5154</t>
  </si>
  <si>
    <t>INT SPORTS LAW J</t>
  </si>
  <si>
    <t>Int. Sports Law J.</t>
  </si>
  <si>
    <t>10.1007/s40318-023-00245-6</t>
  </si>
  <si>
    <t>Law</t>
  </si>
  <si>
    <t>Q5WG9</t>
  </si>
  <si>
    <t>WOS:001058219300001</t>
  </si>
  <si>
    <t>Zhang, CM; Wang, HF; Cheung, MCH; Chan, YS; Shea, GKH</t>
  </si>
  <si>
    <t>Zhang, Changmeng; Wang, Hongfei; Cheung, Martin Chi-Hang; Chan, Ying-Shing; Shea, Graham Ka-Hon</t>
  </si>
  <si>
    <t>Revealing the developmental origin and lineage predilection of neural progenitors within human bone marrow via single-cell analysis: implications for regenerative medicine</t>
  </si>
  <si>
    <t>Neural crest; Bone marrow stromal cell; Cell differentiation; Single-cell RNA sequencing; Regenerative medicine; Cell lineage</t>
  </si>
  <si>
    <t>STEM-CELLS; DIRECTED DIFFERENTIATION; CREST; FATE; NEUROBLASTOMA; TRANSCRIPTION; PAX6</t>
  </si>
  <si>
    <t>BackgroundHuman bone marrow stromal cells (BMSCs) are an easily accessible and expandable progenitor population with the capacity to generate neural cell types in addition to mesoderm. Lineage tracing studies in transgenic animals have indicated Nestin + BMSCs to be descended from the truncal neural crest. Single-cell analysis provides a means to identify the developmental origin and identity of human BMSC-derived neural progenitors when lineage tracing remains infeasible. This is a prerequisite towards translational application.MethodsWe attained transcriptomic profiles of embryonic long bone, adult human bone marrow, cultured BMSCs and BMSC-derived neurospheres. Integrated scRNAseq analysis was supplemented by characterization of cells during culture expansion and following provision of growth factors and signalling agonists to bias lineage.ResultsReconstructed pseudotime upon the integrated dataset indicated distinct neural and osteogenic differentiation trajectories. The starting state towards the neural differentiation trajectory consisted of Nestin + /MKI67 + BMSCs, which could also be diverted towards the osteogenic trajectory via a branch point. Nestin + /PDGFRA + BMSCs responded to neurosphere culture conditions to generate a subpopulation of cells with a neuronal phenotype according to marker expression and gene ontogeny analysis that occupied the end state along the neural differentiation trajectory. Reconstructed pseudotime also revealed an upregulation of BMP4 expression during culture of BMSC-neurospheres. This provided the rationale for culture supplementation with the BMP signalling agonist SB4, which directed progenitors to upregulate Pax6 and downregulate Nestin.ConclusionsThis study suggested BMSCs originating from truncal neural crest to be the source of cells within long bone marrow possessing neural differentiation potential. Unravelling the transcriptomic dynamics of BMSC-derived neural progenitors promises to enhance differentiation efficiency and safety towards clinical application in cell therapy and disease modelling.</t>
  </si>
  <si>
    <t>[Zhang, Changmeng; Wang, Hongfei; Shea, Graham Ka-Hon] Univ Hong Kong, Li Ka Shing Fac Med, Sch Clin Med, Dept Orthopaed &amp; Traumatol,Pokfulam, Hong Kong, Peoples R China; [Cheung, Martin Chi-Hang; Chan, Ying-Shing] Univ Hong Kong, Li Ka Shing Fac Med, Sch Biomed Sci, Pokfulam, Hong Kong, Peoples R China</t>
  </si>
  <si>
    <t>University of Hong Kong; University of Hong Kong</t>
  </si>
  <si>
    <t>Shea, GKH (corresponding author), Univ Hong Kong, Li Ka Shing Fac Med, Sch Clin Med, Dept Orthopaed &amp; Traumatol,Pokfulam, Hong Kong, Peoples R China.</t>
  </si>
  <si>
    <t>gkshea@hku.hk</t>
  </si>
  <si>
    <t>Shea, Graham Ka Hon/H-8950-2013</t>
  </si>
  <si>
    <t>Shea, Graham Ka Hon/0000-0003-3480-371X</t>
  </si>
  <si>
    <t>Not applicable</t>
  </si>
  <si>
    <t>10.1186/s13073-023-01224-0</t>
  </si>
  <si>
    <t>Q8CI1</t>
  </si>
  <si>
    <t>WOS:001059742900001</t>
  </si>
  <si>
    <t>Zhang, SZ; Inoue, T; Georgiou, GK</t>
  </si>
  <si>
    <t>Zhang, Su-Zhen; Inoue, Tomohiro; Georgiou, George K.</t>
  </si>
  <si>
    <t>Examining the relations between mothers' reading skills, home literacy environment, and Chinese children's word reading across contexts</t>
  </si>
  <si>
    <t>Chinese; Familial control method; Genetic confound; Home literacy environment; Reading</t>
  </si>
  <si>
    <t>PHONOLOGICAL AWARENESS; ACADEMIC-ACHIEVEMENT; SOCIOECONOMIC-STATUS; ORAL LANGUAGE; FAMILIAL RISK; FOLLOW-UP; VOCABULARY; PRESCHOOL; PARENT; AGE</t>
  </si>
  <si>
    <t>We examined the relations between mothers' reading skills, home literacy environment (HLE), and children's emergent literacy skills and word reading and whether their relations vary across urban and rural contexts in China. Four hundred third-year kindergarten Chinese children (Mage = 74.50 &amp; PLUSMN; 3.77 months) were recruited from Jining (N = 232) and the small towns of Luqiao and Mapo (N = 168). The children were assessed on emergent literacy skills (pinyin letter knowledge, phonological awareness, rapid automatized naming [RAN], and vocabulary) and word reading. Their mothers were also assessed on reading skills and completed a questionnaire on HLE (direct teaching, shared book reading, and access to literacy resources [ALR]). Results of structural equation modeling showed that (a) mothers' reading skills correlated with shared book reading and ALR in both groups, (b) direct teaching predicted children's pinyin letter knowledge, and ALR predicted phonological awareness and vocabulary in both groups after controlling for mothers' reading skills and parents' education, and (c) mothers' reading skills had an indirect effect on children's word reading through vocabulary (in the urban group) or phonological awareness (in the rural group). Multigroup analyses further showed that the effect of direct teaching on RAN was stronger in the rural group. These findings suggest that HLE exerts its effect on children's emergent literacy skills and word reading across contexts, even after controlling for mothers' reading skills.</t>
  </si>
  <si>
    <t>[Zhang, Su-Zhen; Inoue, Tomohiro] Chinese Univ Hong Kong, Dept Psychol, Hong Kong, Peoples R China; [Zhang, Su-Zhen] Jining Univ, Dept Foreign Languages, Jining, Peoples R China; [Georgiou, George K.] Univ Alberta, Fac Educ, Edmonton, AB, Canada</t>
  </si>
  <si>
    <t>Chinese University of Hong Kong; Jining University; University of Alberta</t>
  </si>
  <si>
    <t>Inoue, T (corresponding author), Chinese Univ Hong Kong, Dept Psychol, Hong Kong, Peoples R China.</t>
  </si>
  <si>
    <t>tinoue@cuhk.edu.hk</t>
  </si>
  <si>
    <t>Inoue, Tomohiro/Q-6905-2017</t>
  </si>
  <si>
    <t>Inoue, Tomohiro/0000-0001-8163-087X</t>
  </si>
  <si>
    <t>10.1007/s11145-023-10475-7</t>
  </si>
  <si>
    <t>Q5YW5</t>
  </si>
  <si>
    <t>WOS:001058287400001</t>
  </si>
  <si>
    <t>Zheng, ZW; Fang, L; Cai, HF</t>
  </si>
  <si>
    <t>Zheng, Zhiwei; Fang, Ling; Cai, Hongfu</t>
  </si>
  <si>
    <t>Cost-effectiveness analysis of pembrolizumab in combination with chemotherapy compared with chemotherapy alone as first-line treatment for patients with advanced biliary tract cancer in China</t>
  </si>
  <si>
    <t>Pembrolizumab; Cost-effectiveness analysis; Biliary tract cancers; Chemotherapy; Partitioned survival model</t>
  </si>
  <si>
    <t>ObjectiveThe objective of this study is to evaluate the cost-effectiveness of adding pembrolizumab to the standard first-line therapy of advanced biliary tract cancer (BTC) with gemcitabine and cisplatin from the perspective of the Chinese healthcare system.MethodsThe partitioned survival model developed from clinical data obtained in The KEYNOTE-966 trial served as the basis for a simulation in the TreeAge Pro 2011 software. The objective of the research was to estimate the 10-year life expectancy and total healthcare costs of patients with BTC, utilizing primary outcomes that evaluated costs, quality-adjusted life years (QALYs), and incremental cost-effectiveness ratio (ICER). To establish the willingness-to-pay (WTP) threshold, the 2022 Chinese per capita gross domestic product (GDP) of $37304.346/QALY was adopted. Furthermore, sensitivity analysis was conducted to ascertain the study's results under varying levels of uncertainty.ResultsCompared to chemotherapy alone, the addition of pembrolizumab to chemotherapy has been shown to yield an incremental gain of 0.184 quality-adjusted life years (QALY) at an additional cost of $103940.706. This translates into an incremental cost-effectiveness ratio (ICER) of $564895.141/QALY, which exceeds the willingness-to-pay (WTP) threshold in China. One-way sensitivity analyses performed on the model recognize the utility of PD, subsequent cost, and the cost of Pembrolizumab 100 mg had a major influence on the outcomes. However, no parameter elicited an ICER lower than the willingness-to-pay (WTP) threshold.ConclusionsBased on the perspective of the Chinese healthcare system, the utilization of pembrolizumab in combination with chemotherapy as an first-line treatment option for BTC does not appear to be a cost-effective approach compared to chemotherapy as a standalone therapy.</t>
  </si>
  <si>
    <t>[Zheng, Zhiwei; Fang, Ling] Shantou Univ, Canc Hosp, Med Coll, Dept Pharm, Shantou 515041, Peoples R China; [Cai, Hongfu] Fujian Med Univ, Union Hosp, Dept Pharm, Fuzhou 350001, Peoples R China</t>
  </si>
  <si>
    <t>Shantou University; Fujian Medical University</t>
  </si>
  <si>
    <t>Cai, HF (corresponding author), Fujian Med Univ, Union Hosp, Dept Pharm, Fuzhou 350001, Peoples R China.</t>
  </si>
  <si>
    <t>caihongfu31@126.com</t>
  </si>
  <si>
    <t>10.1186/s12885-023-11255-w</t>
  </si>
  <si>
    <t>R0PV4</t>
  </si>
  <si>
    <t>WOS:001061457600004</t>
  </si>
  <si>
    <t>Zhou, LY; Ran, GC; Tan, HW; Xie, XY</t>
  </si>
  <si>
    <t>Zhou, Linyong; Ran, Guangcan; Tan, Hongwei; Xie, Xiaoyao</t>
  </si>
  <si>
    <t>Asymmetric gradient penalty based on power exponential function for imbalanced data classification</t>
  </si>
  <si>
    <t>Imbalanced data classification; Focal loss; Asymmetric focal loss; Gradient penalty; Pulsar candidate identification</t>
  </si>
  <si>
    <t>Model bias is a tricky problem in imbalanced data classification. An asymmetric gradient penalty method is proposed based on the power exponential function to alleviate this. The methodology integrates a power exponential function as a moderator into the cross-entropy loss of the negative samples, driving the model to focus on hesitant samples while ignoring easy and singular samples. The rationality of the algorithm is explored from the gradient point of view, and it is demonstrated that the approach improves focal loss and asymmetric focal loss. Then, the imbalanced data classification experiments were deployed on MNIST, CIFAR10, CIFAR100, and Caltech101, respectively. For binary classification, datasets with several imbalance ratios constituted by varying the sample size of the majority class and minority class are included in the experiments. In the multi-category classification experiments, we discuss imbalanced datasets with only a single majority category and those with several majority categories and examine step-imbalance datasets and linear-imbalance datasets. The results reveal that the proposed method exhibits competitiveness on various imbalanced datasets and better robustness on high imbalance ratio datasets. Finally, the approach is deployed on the pulsar candidate dataset HTRU, and the state-of-the-art results are yielded. Our code is available at https://github.com/gzmtzly/GPPE.</t>
  </si>
  <si>
    <t>[Zhou, Linyong; Ran, Guangcan; Tan, Hongwei] Guizhou Univ Finance &amp; Econ, Sch Math &amp; Stat, Guiyang 550025, Guizhou, Peoples R China; [Zhou, Linyong; Ran, Guangcan; Xie, Xiaoyao] Guizhou Normal Univ, Key Lab Informat &amp; Comp Sci, Guiyang 550025, Guizhou, Peoples R China</t>
  </si>
  <si>
    <t>Guizhou University of Finance &amp; Economics; Guizhou Normal University</t>
  </si>
  <si>
    <t>Zhou, LY (corresponding author), Guizhou Univ Finance &amp; Econ, Sch Math &amp; Stat, Guiyang 550025, Guizhou, Peoples R China.;Zhou, LY (corresponding author), Guizhou Normal Univ, Key Lab Informat &amp; Comp Sci, Guiyang 550025, Guizhou, Peoples R China.</t>
  </si>
  <si>
    <t>gzmtzly@gmail.com</t>
  </si>
  <si>
    <t>This work was supported by Development Project of Young Science and Technology Talents in Guizhou Province(No. KY[2022]204), Science and Technology planning Project of Guizhou Province(No.ZK[2023]030), FAST Research Achievement Training Program of Chinese [[2023]030]; Development Project of Young Science and Technology Talents in Guizhou Province [201901]; Science and Technology planning Project of Guizhou Province [[2023]013]; FAST Research Achievement Training Program of Chinese Academy of Science; Key Laboratory of System Modeling and Data Mining; [[2022]204]</t>
  </si>
  <si>
    <t>This work was supported by Development Project of Young Science and Technology Talents in Guizhou Province(No. KY[2022]204), Science and Technology planning Project of Guizhou Province(No.ZK[2023]030), FAST Research Achievement Training Program of Chinese; Development Project of Young Science and Technology Talents in Guizhou Province; Science and Technology planning Project of Guizhou Province; FAST Research Achievement Training Program of Chinese Academy of Science; Key Laboratory of System Modeling and Data Mining;</t>
  </si>
  <si>
    <t>This work was supported by Development Project of Young Science and Technology Talents in Guizhou Province(No. KY[2022]204), Science and Technology planning Project of Guizhou Province(No.ZK[2023]030), FAST Research Achievement Training Program of Chinese Academy of Science: High-energy FAST pulsar searching (201901),Key Laboratory of System Modeling and Data Mining ([2023]013).</t>
  </si>
  <si>
    <t>10.1007/s40747-023-01225</t>
  </si>
  <si>
    <t>WOS:001058214500001</t>
  </si>
  <si>
    <t>Zhou, ZL; Zhao, JH; de Cruz, CR; Xu, H; Wang, LS; Xu, QY</t>
  </si>
  <si>
    <t>Zhou, Zuliang; Zhao, Jianhua; de Cruz, Clement R.; Xu, Hong; Wang, Liansheng; Xu, Qiyou</t>
  </si>
  <si>
    <t>Alpha-ketoglutaric acid mitigates the detrimental effects of soy antigenic protein on the intestinal health and growth performance of Mirror carp Cyprinus carpio</t>
  </si>
  <si>
    <t>FISH PHYSIOLOGY AND BIOCHEMISTRY</t>
  </si>
  <si>
    <t>Soy antigen protein; Intestine; Metabolome; AKG; Carp</t>
  </si>
  <si>
    <t>SALMO-SALAR L.; SOYBEAN-MEAL; FISH-MEAL; DIGESTIVE ENZYMES; ENERGY STATUS; EXPRESSION; DIETS; STRESS; SUPPLEMENTATION; PERMEABILITY</t>
  </si>
  <si>
    <t>The study investigated the alleviated effects of Alpha-ketoglutaric acid (AKG) on the intestinal health of mirror carp (Cyprinus carpio Songpu) caused by soy antigenic protein. The diets were formulated from fishmeal (CON), 50% soybean meal (SBM), the mixture of glycinin and beta-conglycinin (11+ 7S) and adding 1% AKG in the 11 + 7S (AKG). Carp (similar to 4 g) in triplicate (30 fish per tank) was fed to apparent satiation thrice a day for six weeks. Compared with CON, SBM treatment resulted in significantly poor growth performance (P &lt;0.05), whereas 11 +7S and AKG treatments were not significantly different from CON (P&gt; 0.05). Gene expression of tumor necrosis factor (TNF-alpha) and interleukin-1 beta (IL1 beta) in proximal intestines (PI) and distal intestines (DI) were increased (P&lt; 0.05), and transforming growth factor (TGF-beta) in PI and middle intestines (MI) was decreased (P &lt;0.05) in both SBM and 11+ 7S. The caspase-3 in DI increased in SBM (P &lt; 0.05) and the caspase-3 and caspase-9 in DI increased in 11 + 7S (P &lt; 0.05); conversely, TGF-beta in PI and MI was increased, TNF-alpha and IL-1 beta in the MI, caspase-3, and caspase-9 in DI was decreased in AKG (P&lt; 0.05). The TOR (target of rapamycin) in PI and MI, ACC in PI, MI and DI was decreased in SBM (P &lt; 0.05), the AMPK in the PI and DI, TOR in PI, MI and DI, ACC in PI and DI, 4E-BP in DI was reduced in 11 +7S (P &lt; 0.05). AMPK in the PI and DI, ACC in the PI and MI, TOR in PI, MI, and DI, 4E-BP in PI and DI was recovered by AKG supplementation (P &lt;0.05). Lipids and lipid-like metabolism, organic acids and derivatives metabolism increased in AKG dietary treatment. In conclusion, AKG reduces the expression of intestinal inflammation and apoptosis pathway and changes glycerophospholipid metabolism and sphingolipid metabolism in the intestine of fish.</t>
  </si>
  <si>
    <t>[Zhou, Zuliang; Zhao, Jianhua; Xu, Hong; Xu, Qiyou] Huzhou Univ, Coll Life Sci, Zhejiang Prov Key Lab Aquat Resources Conservat &amp;, Huzhou 313000, Peoples R China; [Zhou, Zuliang] Guangdong HAID Grp Co Ltd, Guangzhou 511400, Peoples R China; [de Cruz, Clement R.] Univ Putra Malaysia, Fac Agr, Dept Aquaculture, Serdang 43400, Selangor, Malaysia; [Wang, Liansheng] Heilongjiang River Fisheries Res Inst, Chinese Acad Fishery Sci, Anim Nutr Lab, Harbin 150070, Peoples R China</t>
  </si>
  <si>
    <t>Huzhou University; Universiti Putra Malaysia; Chinese Academy of Fishery Sciences; Heilongjiang River Fisheries Research Institute, CAFS</t>
  </si>
  <si>
    <t>Xu, QY (corresponding author), Huzhou Univ, Coll Life Sci, Zhejiang Prov Key Lab Aquat Resources Conservat &amp;, Huzhou 313000, Peoples R China.</t>
  </si>
  <si>
    <t>749968143@qq.com; zhaojianhua@zjhu.edu.cn; 02655@zjhu.edu.cn</t>
  </si>
  <si>
    <t>Natural Science Foundation of China, NSFC [31972800]; Key Laboratory of Freshwater Aquatic Biotechnology and Genetic Breeding of Ministry of Agriculture Key Laboratory [HSY202209K1]</t>
  </si>
  <si>
    <t>Natural Science Foundation of China, NSFC(National Natural Science Foundation of China (NSFC)); Key Laboratory of Freshwater Aquatic Biotechnology and Genetic Breeding of Ministry of Agriculture Key Laboratory</t>
  </si>
  <si>
    <t>Funded by the Natural Science Foundation of China, NSFC (31972800), Key Laboratory of Freshwater Aquatic Biotechnology and Genetic Breeding of Ministry of Agriculture Key Laboratory (HSY202209K1).</t>
  </si>
  <si>
    <t>0920-1742</t>
  </si>
  <si>
    <t>1573-5168</t>
  </si>
  <si>
    <t>FISH PHYSIOL BIOCHEM</t>
  </si>
  <si>
    <t>Fish Physiol. Biochem.</t>
  </si>
  <si>
    <t>10.1007/s10695-023-01234-0</t>
  </si>
  <si>
    <t>Biochemistry &amp; Molecular Biology; Fisheries; Physiology</t>
  </si>
  <si>
    <t>R0OY2</t>
  </si>
  <si>
    <t>WOS:001061433900002</t>
  </si>
  <si>
    <t>Amiri, Z; Jalili, S; Tarahomi, M; Eslami, M; Yazdanpanah, E; Baharlou, R; Esmaeili, SA; Yousefi, B; Haghmorad, D</t>
  </si>
  <si>
    <t>Amiri, Zahra; Jalili, Shahla; Tarahomi, Mahdieh; Eslami, Majid; Yazdanpanah, Esmaeil; Baharlou, Rasoul; Esmaeili, Seyed-Alireza; Yousefi, Bahman; Haghmorad, Dariush</t>
  </si>
  <si>
    <t>Curcumin's spice-infused therapeutic promise: disease severity alleviation in a mouse model of multiple sclerosis via modulation of immune responses</t>
  </si>
  <si>
    <t>MOLECULAR BIOLOGY REPORTS</t>
  </si>
  <si>
    <t>Multiple sclerosis; Experimental autoimmune encephalomyelitis; Myelin oligodendrocyte glycoprotein; Curcumin</t>
  </si>
  <si>
    <t>EXPERIMENTAL AUTOIMMUNE ENCEPHALOMYELITIS; TH17 CELLS; IL-33; IL-27; EXPRESSION; IL-17; TH2</t>
  </si>
  <si>
    <t>BackgroundMultiple sclerosis (MS) is an autoimmune central nervous system (CNS) disorder indicated by demyelination, chronic inflammation, and neuronal destruction. Regional demyelination, inflammation responses, scar development, and various axonal damage are pathological characteristics of MS. Curcumin is a hydrophobic polyphenol extracted from the rhizome of the turmeric plant. In addition to anti-inflammatory effects, beneficial therapeutic effects such as antioxidant, anti-cancer and nerve protection have also been seen from this compound. The purpose of the current investigation was to provide light on the potential benefits of Curcumin in treating experimental autoimmune encephalomyelitis (EAE), the animal model of MS.Methods and resultsin Female C57BL/6 mice were used to induce EAE through myelin oligodendroglial glycoprotein (MOG). Curcumin doses of 100 and 200 mg/kg were administered orally in the treatment groups starting on the first day of EAE induction. Brains and splenocytes were extracted from euthanized animals on day 25 following EAE induction. Demyelination and leukocyte infiltration, proliferation, cytokine, and gene expression profiles were assessed. Our findings demonstrate that both low and high doses of Curcumin decreased the progression of EAE. Histological analyses revealed low infiltration of leukocytes into the CNS. Curcumin therapy enhanced Th2 and Treg cell secretion of IL-4, IL-10, and TGF-&amp; beta; although considerably decreasing IFN-&amp; gamma; and TNF-&amp; alpha;. Curcumin-induced Th2 and Treg cell cytokine production and transcription factor gene expression (IL-13, GATA3, STAT6 and IL-35, CTLA4, Foxp3) and anti-inflammatory cytokines (IL-27, IL-33).ConclusionOverall, these findings provide additional evidence that Curcumin can slow disease development and alleviate symptoms in EAE through stimulating Treg and Th2 cell polarization. They support Curcumin's potential therapeutic role in MS.</t>
  </si>
  <si>
    <t>[Amiri, Zahra; Jalili, Shahla; Tarahomi, Mahdieh; Baharlou, Rasoul; Yousefi, Bahman; Haghmorad, Dariush] Semnan Univ Med Sci, Dept Immunol, Semnan, Iran; [Eslami, Majid] Semnan Univ Med Sci, Dept Bacteriol &amp; Virol, Semnan, Iran; [Yazdanpanah, Esmaeil; Esmaeili, Seyed-Alireza] Mashhad Univ Med Sci, Immunol Res Ctr, Mashhad, Iran; [Yazdanpanah, Esmaeil; Esmaeili, Seyed-Alireza] Mashhad Univ Med Sci, Fac Med, Immunol Dept, Mashhad, Iran; [Baharlou, Rasoul; Yousefi, Bahman; Haghmorad, Dariush] Semnan Univ Med Sci, Canc Res Ctr, Semnan, Iran</t>
  </si>
  <si>
    <t>Semnan University of Medical Sciences; Semnan University of Medical Sciences; Mashhad University Medical Science; Mashhad University Medical Science; Semnan University of Medical Sciences</t>
  </si>
  <si>
    <t>Yousefi, B; Haghmorad, D (corresponding author), Semnan Univ Med Sci, Dept Immunol, Semnan, Iran.;Yousefi, B; Haghmorad, D (corresponding author), Semnan Univ Med Sci, Canc Res Ctr, Semnan, Iran.</t>
  </si>
  <si>
    <t>yosefi_bahman@semums.ac.ir; dhaghmorad@gmail.com</t>
  </si>
  <si>
    <t>Semnan University of Medical Sciences (SEMUMS) [1395]</t>
  </si>
  <si>
    <t>Semnan University of Medical Sciences (SEMUMS)</t>
  </si>
  <si>
    <t>The Semnan University of Medical Sciences (SEMUMS) research council provided funding for this study under Grant No. 1395.</t>
  </si>
  <si>
    <t>0301-4851</t>
  </si>
  <si>
    <t>1573-4978</t>
  </si>
  <si>
    <t>MOL BIOL REP</t>
  </si>
  <si>
    <t>Mol. Biol. Rep.</t>
  </si>
  <si>
    <t>2023 SEP 3</t>
  </si>
  <si>
    <t>10.1007/s11033-023-08781</t>
  </si>
  <si>
    <t>Q5IP2</t>
  </si>
  <si>
    <t>WOS:001057858700001</t>
  </si>
  <si>
    <t>Chen, MJ; Chaparro, A; Waters, MSE; Zadeh, FS; Chalian, M; Beingessner, DM; Barei, DP</t>
  </si>
  <si>
    <t>Chen, Michael J.; Chaparro, Annelise; Elder Waters, Michael S.; Zadeh, Firoozeh Shomal; Chalian, Majid; Beingessner, Daphne M.; Barei, David P.</t>
  </si>
  <si>
    <t>Capsular distension in high-energy femoral shaft fractures is associated with occult femoral neck fracture: a preliminary retrospective comparative study</t>
  </si>
  <si>
    <t>EUROPEAN JOURNAL OF ORTHOPAEDIC SURGERY AND TRAUMATOLOGY</t>
  </si>
  <si>
    <t>Femoral neck fracture; Capsular distension; Hip effusion; Femoral shaft fracture; Occult femoral neck fracture; Lipohemarthrosis</t>
  </si>
  <si>
    <t>COMPUTED-TOMOGRAPHY; DIAGNOSIS; SIGN</t>
  </si>
  <si>
    <t>ObjectivesTo determine the association between hip capsular distension, the computed tomography (CT) capsular sign, and lipohemarthrosis as they relate to occult femoral neck fracture (FNF) in the setting of ipsilateral femoral shaft fracture (FSF).DesignRetrospective comparative study.SettingLevel 1 trauma center.Patients/participantsTwo hundred and forty-two patients with high-energy FSF and no evidence of FNF on preoperative radiographs and pelvis CT. All patients were stabilized with non-reconstruction style nails.InterventionPelvis CT scans were examined for hip capsular distension irrespective of the other side, differing side-to-side measurements of capsular distension (i.e., the CT capsular sign), and lipohemarthrosis.Main outcome measurementsFNF was observed for on postoperative radiographs. Relative risk (RR), number needed to treat (NNT), sensitivity (SN), and specificity (SP) were determined.ResultsFifty-eight patients (24.0%) had capsular distension. Forty-two patients (17.4%) had differing capsular measurements (i.e., the CT capsular sign), and 16 (6.6%) had symmetrical distension from bilateral hip effusions. Eight patients (3.3%) had lipohemarthrosis. Four FNFs (1.7%) were identified. Three patients had capsular distension, 2 had CT capsular signs, and 1 had lipohemarthrosis. The last patient had no CT abnormalities. Only capsular distension (RR = 10, CI = 1.001-90, P = 0.049; SN = 75%, SP = 77%; NNT = 22) and lipohemarthrosis (RR = 23, CI = 1.6-335, P = 0.022; SN = 50%, SP = 96%; NNT = 8) were associated with occult FNF.ConclusionsCapsular distension is associated with FNF irrespective of the contralateral hip. Preemptive stabilization using a reconstruction nail could be considered in the setting of capsular distension or lipohemarthrosis to prevent displacement of an occult FNF.Level of evidenceDiagnostic Level III.</t>
  </si>
  <si>
    <t>[Chen, Michael J.] Univ Hawaii, Dept Orthopaed Surg, 1356 Lusitana St,6th Floor, Honolulu, HI 96813 USA; [Chaparro, Annelise; Elder Waters, Michael S.; Beingessner, Daphne M.; Barei, David P.] Harborview Med Ctr, Dept Orthopaed Surg, Seattle, WA USA; [Zadeh, Firoozeh Shomal; Chalian, Majid] Univ Washington, Dept Radiol, Seattle, WA USA</t>
  </si>
  <si>
    <t>University of Hawaii System; Harborview Medical Center; University of Washington; University of Washington Seattle</t>
  </si>
  <si>
    <t>Chen, MJ (corresponding author), Univ Hawaii, Dept Orthopaed Surg, 1356 Lusitana St,6th Floor, Honolulu, HI 96813 USA.</t>
  </si>
  <si>
    <t>mchen@islandorthopaedics.com</t>
  </si>
  <si>
    <t>1633-8065</t>
  </si>
  <si>
    <t>1432-1068</t>
  </si>
  <si>
    <t>EUR J ORTHOP SURG TR</t>
  </si>
  <si>
    <t>Eur. J. Orthop. Surg. Traumatol.</t>
  </si>
  <si>
    <t>10.1007/s00590-023-03696-7</t>
  </si>
  <si>
    <t>Q5IU4</t>
  </si>
  <si>
    <t>WOS:001057863900001</t>
  </si>
  <si>
    <t>Akbar, A; Bhat, JA; Mir, BA</t>
  </si>
  <si>
    <t>Akbar, Asif; Bhat, Javed Ahmad; Mir, Bashir Ahmad</t>
  </si>
  <si>
    <t>Bearing Capacity of a Model Square Footing on Geocomposite Reinforced Layered Soil</t>
  </si>
  <si>
    <t>GEOTECHNICAL AND GEOLOGICAL ENGINEERING</t>
  </si>
  <si>
    <t>Layered soil; Geocomposite; Tensile stress; Layouts; Settlement; Stress reduction; Bearing capacity ratio</t>
  </si>
  <si>
    <t>DISCRETE ELEMENT; EARTH PRESSURE; BEHAVIOR; GEOSYNTHETICS; DEFORMATION; RESISTANCE; BALLAST; RATIO; SAND</t>
  </si>
  <si>
    <t>The efforts made all over the world towards the fact of decreasing the environmental pollution have been enormously demanding now a days. Therefore the increase in caution towards a sustainable environment has restricted the use of materials which may have huge impact towards environment pollution. The geosynthetic is a cost-effective and corrosive resistant material which can be used in the most exposed conditions to mitigate the anticipated excessive settlement in case of soft soil. The present study investigated the behaviour of a geocomposite material in a layered soil system. Three types of geocomposite were manufactured by changing the tensile stiffness of the components viz. GCBX-40, GC-BX-60, and GC-BX80. The basic configuration of every geocomposite was same and was made by sandwiching a geotextile layer in between the two geogrid layers which have significantly improved the surface frictional resistance due to the increase in the surface cover ratio and also the improvement in the interlocking effect on the soil grains due to the geogrid layers on both sides. The various layouts of geocomposite were introduced in this study besides the general planar layout and it was found that the confinement effect was increased with in the soil layers. Therefore, the cohesion (c) between the soil grains and the frictional angle (&amp; phi;) was modified due the increased confinement which not only improved the bearing capacity factor but the settlement reductions factor was also improved. The results revealed that the load carrying capacity was improved from 33.8 to 40.59% by using different types of geocomposite.</t>
  </si>
  <si>
    <t>[Akbar, Asif; Bhat, Javed Ahmad; Mir, Bashir Ahmad] Natl Inst Technol Srinagar, Srinagar, Jammu And Kashm, India</t>
  </si>
  <si>
    <t>Akbar, A (corresponding author), Natl Inst Technol Srinagar, Srinagar, Jammu And Kashm, India.</t>
  </si>
  <si>
    <t>asif_41phd17@nitsri.net</t>
  </si>
  <si>
    <t>Akbar, Asif/0000-0001-5510-3910</t>
  </si>
  <si>
    <t>Authors are thankful to the Department of Civil Engineering, National Institute of Technology, and Srinagar for providing necessary facilities to carry out this research work. The authors also want to express their deepest appreciation to the institute adm; Department of Civil Engineering, National Institute of Technology</t>
  </si>
  <si>
    <t>Authors are thankful to the Department of Civil Engineering, National Institute of Technology, and Srinagar for providing necessary facilities to carry out this research work. The authors also want to express their deepest appreciation to the institute administration for their kind support.</t>
  </si>
  <si>
    <t>0960-3182</t>
  </si>
  <si>
    <t>1573-1529</t>
  </si>
  <si>
    <t>GEOTECH GEOL ENG</t>
  </si>
  <si>
    <t>Geotech. Geol. Eng.</t>
  </si>
  <si>
    <t>2023 SEP 2</t>
  </si>
  <si>
    <t>10.1007/s10706-023-02613-3</t>
  </si>
  <si>
    <t>Engineering, Geological</t>
  </si>
  <si>
    <t>Q5AO6</t>
  </si>
  <si>
    <t>WOS:001057647000002</t>
  </si>
  <si>
    <t>Anis, S; Fay-Karmon, T; Lassman, S; Shbat, F; Lesman-Segev, O; Mor, N; Barel, O; Dominissini, D; Chorin, O; Pras, E; Greenbaum, L; Hassin-Baer, S</t>
  </si>
  <si>
    <t>Anis, Saar; Fay-Karmon, Tsvia; Lassman, Simon; Shbat, Fadi; Lesman-Segev, Orit; Mor, Nofar; Barel, Ortal; Dominissini, Dan; Chorin, Odelia; Pras, Elon; Greenbaum, Lior; Hassin-Baer, Sharon</t>
  </si>
  <si>
    <t>Adult-onset Alexander disease among patients of Jewish Syrian descent</t>
  </si>
  <si>
    <t>NEUROGENETICS</t>
  </si>
  <si>
    <t>Alexander disease; GFAP; Leukodystrophy; Adult-onset</t>
  </si>
  <si>
    <t>FIBRILLARY ACIDIC PROTEIN; GFAP MUTATIONS; HYPOTHERMIA; INFANTILE; AGE</t>
  </si>
  <si>
    <t>Alexander disease (AxD) is a rare autosomal dominant leukodystrophy caused by heterozygous mutations in the glial fibrillary acid protein (GFAP) gene. The age of symptoms onset ranges from infancy to adulthood, with variable clinical and radiological manifestations. Adult-onset AxD manifests as a chronic and progressive condition, characterized by bulbar, motor, cerebellar, and other clinical signs and symptoms. Neuroradiological findings typically involve the brainstem and cervical spinal cord. Adult-onset AxD has been described in diverse populations but is rare in Israel. We present a series of patients diagnosed with adult-onset AxD from three families, all of Jewish Syrian descent. Five patients (4 females) were diagnosed with adult-onset AxD due to the heterozygous mutation c.219G &gt; A, p.Met73Ile in GFAP. Age at symptoms onset ranged from 48 to 61 years. Clinical characteristics were typical and involved progressive bulbar and gait disturbance, followed by pyramidal and cerebellar impairment, dysautonomia, and cognitive decline. Imaging findings included medullary and cervical spinal atrophy and mostly infratentorial white matter hyperintensities. A newly recognized cluster of adult-onset AxD in Jews of Syrian origin is presented. This disorder should be considered in differential diagnosis in appropriate circumstances. Genetic counselling for family members is required in order to discuss options for future family planning.</t>
  </si>
  <si>
    <t>[Anis, Saar; Fay-Karmon, Tsvia; Shbat, Fadi; Hassin-Baer, Sharon] Sheba Med Ctr, Movement Disorders Inst, Ramat Gan, Israel; [Anis, Saar; Fay-Karmon, Tsvia; Shbat, Fadi; Hassin-Baer, Sharon] Sheba Med Ctr, Dept Neurol, Ramat Gan, Israel; [Anis, Saar; Fay-Karmon, Tsvia; Lesman-Segev, Orit; Dominissini, Dan; Chorin, Odelia; Pras, Elon; Greenbaum, Lior; Hassin-Baer, Sharon] Tel Aviv Univ, Fac Med, Tel Aviv, Israel; [Lassman, Simon] Univ London, St Georges Hosp, London, England; [Lassman, Simon] Sheba Med Ctr, Arrow Project Med Res, Ramat Gan, Israel; [Lesman-Segev, Orit] Sheba Med Ctr, Dept Diagnost Imaging, Ramat Gan, Israel; [Mor, Nofar; Barel, Ortal; Dominissini, Dan] Wohl Inst Translat Med, Canc Res Ctr, Ramat Gan, Israel; [Chorin, Odelia; Pras, Elon; Greenbaum, Lior] Sheba Med Ctr, Danek Gertner Inst Human Genet, Ramat Gan, Israel; [Chorin, Odelia] Sheba Med Ctr, Lily &amp; Edmond Safra Childrens Hosp, Inst Rare Dis, Ramat Gan, Israel; [Greenbaum, Lior] Sheba Med Ctr, Joseph Sagol Neurosci Ctr, Ramat Gan, Israel</t>
  </si>
  <si>
    <t>Chaim Sheba Medical Center; Chaim Sheba Medical Center; Tel Aviv University; University of London; St Georges University London; Chaim Sheba Medical Center; Chaim Sheba Medical Center; Chaim Sheba Medical Center; Chaim Sheba Medical Center; Chaim Sheba Medical Center</t>
  </si>
  <si>
    <t>Hassin-Baer, S (corresponding author), Sheba Med Ctr, Movement Disorders Inst, Ramat Gan, Israel.;Hassin-Baer, S (corresponding author), Sheba Med Ctr, Dept Neurol, Ramat Gan, Israel.;Hassin-Baer, S (corresponding author), Tel Aviv Univ, Fac Med, Tel Aviv, Israel.</t>
  </si>
  <si>
    <t>Shassin@tauex.tau.ac.il</t>
  </si>
  <si>
    <t>1364-6745</t>
  </si>
  <si>
    <t>1364-6753</t>
  </si>
  <si>
    <t>Neurogenetics</t>
  </si>
  <si>
    <t>10.1007/s10048-023-00732</t>
  </si>
  <si>
    <t>Genetics &amp; Heredity; Clinical Neurology</t>
  </si>
  <si>
    <t>Genetics &amp; Heredity; Neurosciences &amp; Neurology</t>
  </si>
  <si>
    <t>Q8SB5</t>
  </si>
  <si>
    <t>WOS:001060153300001</t>
  </si>
  <si>
    <t>Biddle, L; Derges, J; Cliffe, B; Gooberman-Hill, R; Linton, MJ; Moran, P; Bould, H</t>
  </si>
  <si>
    <t>Biddle, Lucy; Derges, Jane; Cliffe, Bethany; Gooberman-Hill, Rachael; Linton, Myles-Jay; Moran, Paul; Bould, Helen</t>
  </si>
  <si>
    <t>Pouring their heart out in Sainsbury's: qualitative study of young people's, parents' and mental health practitioners' experiences of adapting to remote online mental health appointments during COVID-19</t>
  </si>
  <si>
    <t>Adolescents; Young adults; Telemental health; Telepsychiatry; Qualitative; COVID-19; Mental health services</t>
  </si>
  <si>
    <t>THERAPY; ALLIANCE</t>
  </si>
  <si>
    <t>Background During the COVID-19 pandemic, technologies such as videoconferencing were used to deliver mental health appointments remotely online. For many people, this was a change from previous methods of mental healthcare receipt and delivery. We aimed to explore in-depth how practitioners, young people and parents in the UK experienced this transition.MethodsWe used qualitative methods to collect data, triangulating between free-text online survey data (n = 38), focus groups (n = 5) (3 young adult groups (total n = 11); 2 practitioner groups (total n = 7)), and semi-structured interviews (practitioners n = 8; parents n = 4). Data were analysed using reflexive thematic analysis.ResultsParticipants held mixed views about remote appointments, which were encompassed within the five themes of: home as clinic; disrupted therapeutic relationships; difficulties with engagement; uncontained risk; and scope of care provision. While appointments at home could be regarded as more comfortable, naturalistic and accessible, it was also recognised that remoteness compromised practitioner control with consequences for their ability to monitor patient engagement, manage risk and ensure confidentiality when others were present in the home. This could create an additional burden for parents as they tried to facilitate appointments but felt unsupported in this role. Relatedly, remoteness was seen to hinder interpersonal communication, formation of trust, communication of empathy and opportunities to observe body language, all of which were deemed important to building and maintaining effective therapeutic relationships. Despite this, others thought the anonymity of a remote exchange may allow earlier disclosure. There was disagreement as to whether remote provision narrowed or expanded the scope of practice.ConclusionsWhile some had positive views of remote mental health appointments, others found them challenging. Findings highlight key areas requiring attention and mitigation in future offerings of remote provision, namely: risk management, parental burden, and problematic engagement.</t>
  </si>
  <si>
    <t>[Biddle, Lucy; Derges, Jane; Cliffe, Bethany; Linton, Myles-Jay; Moran, Paul; Bould, Helen] Univ Bristol, Populat Hlth Sci, Med Sch, Canynge Hall,39 Whatley Rd, Bristol, England; [Biddle, Lucy; Cliffe, Bethany; Moran, Paul] Univ Hosp Bristol &amp; Weston NHS Fdn Trust, Natl Inst Hlth Res Appl Res Collaborat West NIHR A, Bristol, England; [Biddle, Lucy; Moran, Paul; Bould, Helen] Univ Bristol, Ctr Acad Mental Hlth, Med Sch, Oakfield House,Oakfield Rd, Bristol, England; [Biddle, Lucy; Moran, Paul] Univ Hosp Bristol &amp; Weston NHS Fdn Trust, Biomed Res Ctr, Bristol, England; [Gooberman-Hill, Rachael] Univ Bristol, Med Sch, Translat Hlth Sci, Southmead Hosp, Learning &amp; Res Bldg, Bristol, England; [Gooberman-Hill, Rachael] Univ Bristol, Elizabeth Blackwell Inst, Royal Ft House, Bristol, England; [Bould, Helen] Gloucestershire Hlth &amp; Care NHS Fdn Trust, Gloucester, England; [Bould, Helen] Univ Bristol, Med Res Council Integrat Epidemiol Unit, Bristol, England</t>
  </si>
  <si>
    <t>University of Bristol; University of Bristol; University of Bristol; Southmead Hospital; University of Bristol; University of Bristol</t>
  </si>
  <si>
    <t>Biddle, L (corresponding author), Univ Bristol, Populat Hlth Sci, Med Sch, Canynge Hall,39 Whatley Rd, Bristol, England.;Biddle, L (corresponding author), Univ Hosp Bristol &amp; Weston NHS Fdn Trust, Natl Inst Hlth Res Appl Res Collaborat West NIHR A, Bristol, England.;Biddle, L (corresponding author), Univ Bristol, Ctr Acad Mental Hlth, Med Sch, Oakfield House,Oakfield Rd, Bristol, England.;Biddle, L (corresponding author), Univ Hosp Bristol &amp; Weston NHS Fdn Trust, Biomed Res Ctr, Bristol, England.</t>
  </si>
  <si>
    <t>lucy.biddle@bristol.ac.uk</t>
  </si>
  <si>
    <t>Linton, Myles-Jay/0000-0002-2251-7727; Moran, Paul/0000-0002-9257-8699; Gooberman-Hill, Rachael/0000-0003-3353-2882; Bould, Helen/0000-0001-8163-3210</t>
  </si>
  <si>
    <t>We thank all study participants for taking time to share their experiences and Esther Kissane-Webb for administrative support. This work was supported by the Elizabeth Blackwell Institute, University of Bristol, UK.; Elizabeth Blackwell Institute, University of Bristol, UK</t>
  </si>
  <si>
    <t>We thank all study participants for taking time to share their experiences and Esther Kissane-Webb for administrative support. This work was supported by the Elizabeth Blackwell Institute, University of Bristol, UK.</t>
  </si>
  <si>
    <t>SEP 2</t>
  </si>
  <si>
    <t>10.1186/s12888-023-05126-8</t>
  </si>
  <si>
    <t>Q6SS7</t>
  </si>
  <si>
    <t>WOS:001058809300001</t>
  </si>
  <si>
    <t>Chen, HD; Wang, Y; Wang, C; Lu, XJ; Li, YL; Sun, B; Jiang, KR; Qiu, YD; Chen, RF; Cao, LP; Chen, S; Luo, Y; Shen, BY</t>
  </si>
  <si>
    <t>Chen, Haoda; Wang, Ying; Wang, Chao; Lu, Xiaojian; Li, Yilong; Sun, Bei; Jiang, Kuirong; Qiu, Yudong; Chen, Rufu; Cao, Liping; Chen, Shi; Luo, Yan; Shen, Baiyong</t>
  </si>
  <si>
    <t>The effect of perioperative of dexamethasone on postoperative complications after pancreaticoduodenectomy (PANDEX): a study protocol for a pragmatic multicenter randomized controlled trial</t>
  </si>
  <si>
    <t>Pancreaticoduodenectomy; Dexamethasone; Postoperative complications</t>
  </si>
  <si>
    <t>ACUTE-PANCREATITIS; HYPERAMYLASEMIA; SURGERY; NAUSEA</t>
  </si>
  <si>
    <t>BackgroundPancreaticoduodenectomy (PD) nowadays serves as a standard treatment for patients with disorders of the pancreas, intestine, and bile duct. Although the mortality rate of patients undergoing PD has decreased significantly, postoperative complication rates remain high. Dexamethasone, a synthetic glucocorticoid with potent anti-inflammatory and metabolic effects, has been proven to have a favorable effect on certain complications. However, the role it plays in post-pancreatectomy patients has not been systematically evaluated. The aim of this study is to assess the effect of dexamethasone on postoperative complications after PD.MethodsThe PANDEX trial is an investigator-initiated, multicentric, prospective, randomized, double-blinded, placebo-control, pragmatic study. The trial is designed to enroll 300 patients who are going to receive elective PD. Patients will be randomized to receive 0.2 mg/kg dexamethasone or saline placebo, administered as an intravenous bolus within 5 min after induction of anesthesia. The primary outcome is the Comprehensive Complication Index (CCI) score within 30 days after the operation. The secondary outcomes include postoperative major complications (Clavien-Dindo &amp; GE;3), postoperative pancreatic fistula (POPF), post-pancreatectomy acute pancreatitis (PPAP), infection, and unexpected relaparotomy, as well as postoperative length of stay, 30-day mortality, and 90-day mortality.DiscussionThe PANDEX trial is the first randomized controlled trial concerning the effect of dexamethasone on postoperative complications of patients undergoing PD, with the hypothesis that the intraoperative use of dexamethasone can reduce the incidence of postoperative complications and improve short-term outcomes after PD. The results of the present study will guide the perioperative use of dexamethasone and help improve the clinical management of post-pancreatectomy patients.Trial registrationClinicalTrials.gov NCT05567094. Registered on 30 September 30 2022</t>
  </si>
  <si>
    <t>[Chen, Haoda; Wang, Chao; Shen, Baiyong] Shanghai Jiao Tong Univ, Ruijin Hosp, Pancreat Dis Ctr, Dept Gen Surg,Sch Med, 197 Ruijin Er Rd, Shanghai 200025, Peoples R China; [Wang, Ying; Lu, Xiaojian; Luo, Yan] Shanghai Jiao Tong Univ, Sch Med, Ruijin Hosp, Dept Anesthesiol, 197 Ruijin Er Rd, Shanghai 200025, Peoples R China; [Li, Yilong; Sun, Bei] Harbin Med Univ, Dept Pancreat &amp; Biliary Surg, Affiliated Hosp 1, Harbin, Peoples R China; [Li, Yilong; Sun, Bei] Harbin Med Univ, Key Lab Hepatosplen Surg, Affiliated Hosp 1, Minist Educ, Harbin, Peoples R China; [Jiang, Kuirong] Nanjing Med Univ, Affiliated Hosp 1, Pancreas Ctr, Nanjing, Peoples R China; [Qiu, Yudong] Nanjing Univ, Nanjing Drum Tower Hosp, Affiliated Hosp Med Sch, Dept Biliary Pancreat Surg, Nanjing 210002, Peoples R China; [Chen, Rufu] Guangdong Acad Med Sci, Guangdong Prov Peoples Hosp, Dept Pancreat Surg, Dept Gen Surg, Guangzhou, Peoples R China; [Cao, Liping] Zhejiang Univ, Sir Run Run Shaw Hosp, Sch Med, Dept Gen Surg, Hangzhou, Peoples R China; [Chen, Shi] Fujian Med Univ, Shengli Clin Med Coll, Fuzhou, Peoples R China; [Chen, Shi] Fujian Prov Hosp, Dept Hepatobiliary Pancreat Surg, Fuzhou, Peoples R China</t>
  </si>
  <si>
    <t>Shanghai Jiao Tong University; Shanghai Jiao Tong University; Harbin Medical University; Harbin Medical University; Nanjing Medical University; Nanjing University; Southern Medical University - China; Guangdong Academy of Medical Sciences &amp; Guangdong General Hospital; Zhejiang University; Fujian Medical University; Fujian Provincial Hospital</t>
  </si>
  <si>
    <t>Shen, BY (corresponding author), Shanghai Jiao Tong Univ, Ruijin Hosp, Pancreat Dis Ctr, Dept Gen Surg,Sch Med, 197 Ruijin Er Rd, Shanghai 200025, Peoples R China.;Luo, Y (corresponding author), Shanghai Jiao Tong Univ, Sch Med, Ruijin Hosp, Dept Anesthesiol, 197 Ruijin Er Rd, Shanghai 200025, Peoples R China.</t>
  </si>
  <si>
    <t>ly11087@rjh.com.cn; shenby@shsmu.edu.cn</t>
  </si>
  <si>
    <t>Ruijin Youth National Science Foundation Cultivation Fund [KY2022668]</t>
  </si>
  <si>
    <t>Ruijin Youth National Science Foundation Cultivation Fund</t>
  </si>
  <si>
    <t>This trial is an investigator-initiated trial that is funded by the Ruijin Youth National Science Foundation Cultivation Fund (Grant number: KY2022668).The founder did not have any role in the design of the study and will not have any role in collection, analysis, and interpretation of data and in writing the manuscript.</t>
  </si>
  <si>
    <t>10.1186/s13063-023-07571-y</t>
  </si>
  <si>
    <t>Q7AK8</t>
  </si>
  <si>
    <t>WOS:001059010900002</t>
  </si>
  <si>
    <t>Chua, JZ; Lim, LH; Pang, EPP; Kusumawidjaja, G</t>
  </si>
  <si>
    <t>Chua, J. Z.; Lim, L. H.; Pang, E. P. P.; Kusumawidjaja, G.</t>
  </si>
  <si>
    <t>Use of immobilisation bra for daily setup of patients with pendulous breasts undergoing radiotherapy</t>
  </si>
  <si>
    <t>STRAHLENTHERAPIE UND ONKOLOGIE</t>
  </si>
  <si>
    <t>Immobilisation bra; Chabner bra; Breast radiotherapy; Patient positioning; Breast cancer</t>
  </si>
  <si>
    <t>TRIAL COMPARING PRONE; ACUTE SKIN TOXICITY; RADIATION-THERAPY; IRRADIATION; CANCER; WOMEN; REPRODUCIBILITY; POSITION; LUNG</t>
  </si>
  <si>
    <t>PurposeA feasibility study to evaluate the Chabner XRT &amp; REG; Radiation Bra (CIVCO Radiotherapy &amp; Qfix, Coralville, IA, USA) as a customised immobilisation device for patients with pendulous breasts undergoing radiotherapy was conducted.MethodsA total of 34 patients with large pendulous breasts were fitted with the Chabner XRT &amp; REG; Radiation Bra during RT. A mixed-method questionnaire was administered to both radiation therapists (RTTs) and patients. RTTs evaluated the effectiveness of the bra in setup. Patients appraised its comfort level and ease of wearing. Setup reproducibility was evaluated based on a departmental imaging protocol. Acute skin side effects were documented with photos and assessed using the Radiation Therapy Oncology Group (RTOG) classification.ResultsOf the patients, 27 (79.4%) completed the questionnaire. 23 patients felt comfortable wearing the bra while 20 felt less exposed during treatment. Reproducibility was acceptable, with a median (range) setup error (isocentre) of 0.0 cm (-0.6 to 0.7 cm; left/right), -0.1 cm (-0.5 to 1.2 cm; posterior) and 0.2 cm (-0.5 to 0.9 cm; inferior) achieved based on matched field borders on skin. However, repeated setups and imaging were required for 3 patients due to large breast size (cups D-G; size 4-5). Minimal skin toxicity (grade 0-1) was observed. No grade &amp; GE; 2 was reported. 10 RTTs completed the survey. Male RTTs (n = 4) were not confident in assisting patients with bra fitting. 8 RTTs agreed that although it was difficult to reproduce the breast tissue for treatment, it helped patients to maintain the treatment position.ConclusionOur study demonstrated the feasibility of using a customised bra which provided optimal setup reproducibility while maintaining minimal skin toxicity and patient comfort, especially the value-added modesty felt among Asian women during their breast cancer radiotherapy.</t>
  </si>
  <si>
    <t>[Chua, J. Z.; Lim, L. H.; Pang, E. P. P.; Kusumawidjaja, G.] Natl Canc Ctr Singapore, Div Radiat Oncol, 30 Hosp Blvd, Singapore 168583, Singapore; [Pang, E. P. P.; Kusumawidjaja, G.] Duke NUS Grad Med Sch, 8 Coll Rd, Singapore 169857, Singapore</t>
  </si>
  <si>
    <t>National Cancer Centre Singapore (NCCS); National University of Singapore</t>
  </si>
  <si>
    <t>Kusumawidjaja, G (corresponding author), Natl Canc Ctr Singapore, Div Radiat Oncol, 30 Hosp Blvd, Singapore 168583, Singapore.;Kusumawidjaja, G (corresponding author), Duke NUS Grad Med Sch, 8 Coll Rd, Singapore 169857, Singapore.</t>
  </si>
  <si>
    <t>grace.kusumawidjaja@singhealth.com.sg</t>
  </si>
  <si>
    <t>0179-7158</t>
  </si>
  <si>
    <t>1439-099X</t>
  </si>
  <si>
    <t>STRAHLENTHER ONKOL</t>
  </si>
  <si>
    <t>Strahlenther. Onkol.</t>
  </si>
  <si>
    <t>10.1007/s00066-023-02131-4</t>
  </si>
  <si>
    <t>Q5AN2</t>
  </si>
  <si>
    <t>WOS:001057645600003</t>
  </si>
  <si>
    <t>Dong, YX; Tan, H; Wang, LD; Liu, Z</t>
  </si>
  <si>
    <t>Dong, Yanxu; Tan, Hao; Wang, Lidong; Liu, Zhen</t>
  </si>
  <si>
    <t>Progranulin promoted the proliferation, metastasis, and suppressed apoptosis via JAK2-STAT3/4 signaling pathway in papillary thyroid carcinoma</t>
  </si>
  <si>
    <t>Thyroid neoplasm; JAK2-STAT3/4 pathway; Progranulin; Invasion; Apoptosis; JSI-124</t>
  </si>
  <si>
    <t>EPITHELIAL-MESENCHYMAL TRANSITION; GROWTH-FACTOR; CANCER-CELLS; TRANSCRIPTION 3; OVARIAN-CANCER; UP-REGULATION; DOUBLE-BLIND; EXPRESSION; STAT3; MIGRATION</t>
  </si>
  <si>
    <t>BackgroundProgranulin (PGRN), a glycoprotein secreted by a wide range of epithelial cells and plays an important role in inflammatory mechanisms and tumor progression. In this study, the expression, and functions of PGRN in papillary thyroid carcinoma (PTC) was examined to explore the potential pathogenesis of PTC.MethodsWestern blotting and qRT-PCR were used to detect the relationship between PGRN expression and clinicopathological characteristics of patients with PTC. PTC cell lines with PGRN overexpression and with PGRN knockdown were established to explore their effects on the biological behavior. Western blotting was used to detect the changes of relevant molecules and JAK2-STAT3/4 signaling pathway. Moreover, rescue experiments validated the involvement of the JAK2-STAT3/4 signaling pathway. And statistical analyses were analyzed using SPASS 21.0 and graph generation were performed using GraphPad Prism 8.0.ResultsPGRN was overexpressed in PTC tissue and increased by 75% at mRNA level and 161% at relative protein level in the patients with lymph node metastasis compared to without lymph node metastasis. Besides, PGRN regulated and promoted PTC cell proliferation, migration, invasion, and inhibited cell apoptosis. With PGRN overexpressed, relevant molecules including the expression of BCL2/BAX, BCL2/BAD, CyclinD1, MMP2, vimentin and N-cadherin were increased, the expression level of E-cadherin was decreased, and the phosphorylation of JAK2 and STAT3/4 were increased. JAK inhibitor (JSI-124) rescued these changes of PTC cells induced by overexpressed PGRN.ConclusionsThese findings revealed that PGRN promote the progression of PTC through the JAK2-STAT3/4 pathway, and PGRN could be served as a potential therapeutic target for PTC.</t>
  </si>
  <si>
    <t>[Dong, Yanxu; Tan, Hao; Wang, Lidong; Liu, Zhen] China Med Univ, Shengjing Hosp, Dept Gen Surg, 36 Sanhao St, Shenyang 110004, Peoples R China</t>
  </si>
  <si>
    <t>China Medical University</t>
  </si>
  <si>
    <t>Liu, Z (corresponding author), China Med Univ, Shengjing Hosp, Dept Gen Surg, 36 Sanhao St, Shenyang 110004, Peoples R China.</t>
  </si>
  <si>
    <t>liuzhen1973@aliyun.com</t>
  </si>
  <si>
    <t>We acknowledge the contribution of all members who helped with this study. We thank all the reviewers and editors.</t>
  </si>
  <si>
    <t>10.1186/s12935-023-03033-2</t>
  </si>
  <si>
    <t>Q6ZZ0</t>
  </si>
  <si>
    <t>WOS:001058999000002</t>
  </si>
  <si>
    <t>Ebid, OA; El Arab, LRE; Saad, AS; El Din, ME; Mostafa, N; Swellam, M</t>
  </si>
  <si>
    <t>Ebid, Osama Abd El Hameed; El Arab, Lobna R. Ezz; Saad, Amr S.; El Din, Mai Ezz; Mostafa, Nermeen; Swellam, Menha</t>
  </si>
  <si>
    <t>Prognostic impact of MYD88 and TP53 mutations in diffuse large B Cell lymphoma</t>
  </si>
  <si>
    <t>ANNALS OF HEMATOLOGY</t>
  </si>
  <si>
    <t>MYD88; TP53; DLBCL; Prognosis; Response</t>
  </si>
  <si>
    <t>NON-HODGKIN-LYMPHOMA; P53 GENE-MUTATIONS; L265P MUTATION; POOR SURVIVAL; EXPRESSION; CLASSIFICATION; RECOMMENDATIONS; FREQUENCY; RITUXIMAB; FEATURES</t>
  </si>
  <si>
    <t>Diffuse large B cell lymphoma (DLBCL) is the most common subtype of lymphoma. It is a highly heterogeneous lymphoid neoplasm, with variations in gene expression profiles and genetic alterations. MYD88 and TP53 genes are common to be expressed and mutated in DLBCL patients with controversy regarding their role in prognosis and survival. This study aims to determine the predictive and prognostic role of MYD88 and TP53 gene mutation in DLBCL. A prospective cohort study was conducted on 50 patients who were diagnosed with DLBCL and 30 healthy individuals to assess the sensitivity and specificity of MYD88 and TP53 genetic mutations. MYD88 and TP53 gene mutations were more sensitive, specific, and accurate in predicting overall mortality and disease progression in comparison with the international prognostic index. Mutant MYD88 and TP53 showed their prognostic importance for worse objective response rates and survival outcomes. Both mutant MYD88 and TP53 were associated with worse ORR. There was a significant statistical difference for both MYD88 and TP53 with regard to 2-year PFS and 2-year OS rate. Hence, both mutant MYD88 and TP53 can be used in predicting disease progression and overall mortality.</t>
  </si>
  <si>
    <t>[Ebid, Osama Abd El Hameed; El Arab, Lobna R. Ezz; Saad, Amr S.; El Din, Mai Ezz; Mostafa, Nermeen] Ain Shams Univ, Fac Med, Clin Oncol Dept, Cairo, Egypt; [Swellam, Menha] Natl Res Ctr, Biotechnol Res Inst, Biochem Dept, High Throughput Mol &amp; Genet Technol Lab, Dokki 12622, Giza, Egypt; [Swellam, Menha] Natl Res Ctr, Ctr Excellence, Dokki 12622, Giza, Egypt</t>
  </si>
  <si>
    <t>Egyptian Knowledge Bank (EKB); Ain Shams University; Egyptian Knowledge Bank (EKB); National Research Centre (NRC); Egyptian Knowledge Bank (EKB); National Research Centre (NRC)</t>
  </si>
  <si>
    <t>Swellam, M (corresponding author), Natl Res Ctr, Biotechnol Res Inst, Biochem Dept, High Throughput Mol &amp; Genet Technol Lab, Dokki 12622, Giza, Egypt.;Swellam, M (corresponding author), Natl Res Ctr, Ctr Excellence, Dokki 12622, Giza, Egypt.</t>
  </si>
  <si>
    <t>menhamswellam@gmail.com</t>
  </si>
  <si>
    <t>Arab, Lobna Ezz El/F-2318-2019</t>
  </si>
  <si>
    <t>The instruments listed in the current study were purchased through a grant from Science, Technology, and Innovation Funding Authority (STDF) through Capacity Building Grant Fund (CBG) (No. 4940).; Science, Technology, and Innovation Funding Authority (STDF) through Capacity Building Grant Fund (CBG); [4940]</t>
  </si>
  <si>
    <t>The instruments listed in the current study were purchased through a grant from Science, Technology, and Innovation Funding Authority (STDF) through Capacity Building Grant Fund (CBG) (No. 4940).; Science, Technology, and Innovation Funding Authority (STDF) through Capacity Building Grant Fund (CBG);</t>
  </si>
  <si>
    <t>The instruments listed in the current study were purchased through a grant from Science, Technology, and Innovation Funding Authority (STDF) through Capacity Building Grant Fund (CBG) (No. 4940).</t>
  </si>
  <si>
    <t>0939-5555</t>
  </si>
  <si>
    <t>1432-0584</t>
  </si>
  <si>
    <t>ANN HEMATOL</t>
  </si>
  <si>
    <t>Ann. Hematol.</t>
  </si>
  <si>
    <t>10.1007/s00277-023-05420-1</t>
  </si>
  <si>
    <t>Q3BZ4</t>
  </si>
  <si>
    <t>WOS:001056313300001</t>
  </si>
  <si>
    <t>Horsak, B; Simonlehner, M; Dumphart, B; Siragy, T</t>
  </si>
  <si>
    <t>Horsak, Brian; Simonlehner, Mark; Dumphart, Bernhard; Siragy, Tarique</t>
  </si>
  <si>
    <t>Overground walking while using a virtual reality head mounted display increases variability in trunk kinematics and reduces dynamic balance in young adults</t>
  </si>
  <si>
    <t>VIRTUAL REALITY</t>
  </si>
  <si>
    <t>Gait analysis; Dynamic stability; Postural control; Motion capturing; Immersive virtual reality</t>
  </si>
  <si>
    <t>OLDER-ADULTS; LATERAL BALANCE; FALL RISK; GAIT; OSCILLATIONS; STABILITY</t>
  </si>
  <si>
    <t>This study analyzed the effects of walking freely in virtual reality (VR) compared to walking in the real-world on dynamic balance and postural control. For this purpose, nine male and twelve female healthy participants underwent standard 3D gait analysis while walking randomly in a real laboratory and in a room-scale overground VR environment resembling the real laboratory. The VR was delivered to participants by a head-mounted-display which was operated wirelessly and calibrated to the real-world. Dynamic balance and postural control were assessed with (1) the margin of stability (MOS) in the anteroposterior (AP-MOS) and mediolateral (ML-MOS) directions at initial-contact, (2) the relationship between the mediolateral center of mass (COM) position and acceleration at mid-stance with subsequent step width, (3) and trunk kinematics during the entire gait cycle. We observed increased mediolateral (ML) trunk linear velocity variability, an increased coupling of the COM position and acceleration with subsequent step width, and a decrease in AP-MOS while walking in VR but no change in ML-MOS when walking in VR. Our findings suggest that walking in VR may result in a less reliable optical flow, indicated by increased mediolateral trunk kinematic variability, which seems to be compensated by the participants by slightly reweighing sensorimotor input and thereby consciously tightening the coupling between the COM and foot placement to avoid a loss of balance. Our results are particularly valuable for future developers who want to use VR to support gait analysis and rehabilitation.</t>
  </si>
  <si>
    <t>[Horsak, Brian; Simonlehner, Mark; Dumphart, Bernhard; Siragy, Tarique] St Polten Univ Appl Sci, Ctr Digital Hlth &amp; Social Innovat, Campus-Pl 1, A-3100 St Polten, Austria; [Horsak, Brian; Simonlehner, Mark; Dumphart, Bernhard] St Polten Univ Appl Sci, Inst Hlth Sci, Campus-Pl 1, A-3100 St Polten, Austria</t>
  </si>
  <si>
    <t>Horsak, B (corresponding author), St Polten Univ Appl Sci, Ctr Digital Hlth &amp; Social Innovat, Campus-Pl 1, A-3100 St Polten, Austria.;Horsak, B (corresponding author), St Polten Univ Appl Sci, Inst Hlth Sci, Campus-Pl 1, A-3100 St Polten, Austria.</t>
  </si>
  <si>
    <t>brian.horsak@fhstp.ac.at</t>
  </si>
  <si>
    <t>Horsak, Brian/HZJ-8906-2023</t>
  </si>
  <si>
    <t>Horsak, Brian/0000-0002-9296-3212; Dumphart, Bernhard/0000-0001-5796-9910</t>
  </si>
  <si>
    <t>We would like to thank Lukas Richter for his thoughts and comments regarding the multiple linear regression analysis.</t>
  </si>
  <si>
    <t>1359-4338</t>
  </si>
  <si>
    <t>1434-9957</t>
  </si>
  <si>
    <t>VIRTUAL REAL-LONDON</t>
  </si>
  <si>
    <t>Virtual Real.</t>
  </si>
  <si>
    <t>10.1007/s10055-023-00851-7</t>
  </si>
  <si>
    <t>Computer Science, Interdisciplinary Applications; Computer Science, Software Engineering; Imaging Science &amp; Photographic Technology</t>
  </si>
  <si>
    <t>Q4FE6</t>
  </si>
  <si>
    <t>WOS:001057084400001</t>
  </si>
  <si>
    <t>Jenabi, E; Farashi, S; Salehi, AM; Parsapoor, H</t>
  </si>
  <si>
    <t>Jenabi, Ensiyeh; Farashi, Sajjad; Salehi, Amir Mohammad; Parsapoor, Hamideh</t>
  </si>
  <si>
    <t>The association between post-term births and autism spectrum disorders: an updated systematic review and meta-analysis</t>
  </si>
  <si>
    <t>Post-term; Autism spectrum disorders; Meta-analysis study</t>
  </si>
  <si>
    <t>PERINATAL RISK-FACTORS; GESTATIONAL-AGE; INTELLECTUAL DISABILITY; SEX; HETEROGENEITY; CHILDREN</t>
  </si>
  <si>
    <t>BackgroundThis study aimed to conduct a meta-analysis to determine whether post-term birth has an increased risk of ASD.Materials and methodsTo retrieve eligible studies regarding the effect of post-term and ASD in children, major databases including PubMed, Scopus, and Web of Science were searched. A random effect model was used for meta-analysis. For assessing the quality of included studies, the GRADE checklist was used.ResultsIn total, 18 records were included with 1,412,667 sample populations from 12 countries. The pooled estimates of RR and OR showed a significant association between post-term birth and ASD among children, respectively (RR = 1.34, 95% CI 1.10 to 1.58) and (OR = 1.47, 95% CI 1.03 to 1.91). There was no heterogeneity among the studies that reported the risk of ASD among children based on RR (I2 = 6.6%, P = 0.301). There was high heterogeneity in the studies reported risk of ASD based on OR (I2 = 94.1%, P = 0.000).ConclusionPost-term births still occur relatively frequently (up to 5-10%) even in developed countries. Our results showed that post-term birth is an increased risk of ASD, although high heterogeneity was found among the studies reported based on adjusted and crude forms, however, after subgroup analysis by gender, this heterogeneity disappeared among males.</t>
  </si>
  <si>
    <t>[Jenabi, Ensiyeh; Farashi, Sajjad] Hamadan Univ Med Sci, Autism Spectrum Disorders Res Ctr, Hamadan, Iran; [Salehi, Amir Mohammad] Hamadan Univ Med Sci, Student Res Comm, Sch Med, Hamadan, Iran; [Parsapoor, Hamideh] Hamadan Univ Med Sci, Clin Res Dev Unit, Dept Gynecol, Fatemieh Hosp, Hamadan, Iran</t>
  </si>
  <si>
    <t>Hamadan University of Medical Sciences; Hamadan University of Medical Sciences; Hamadan University of Medical Sciences</t>
  </si>
  <si>
    <t>Salehi, AM (corresponding author), Hamadan Univ Med Sci, Student Res Comm, Sch Med, Hamadan, Iran.</t>
  </si>
  <si>
    <t>amirchsalehi19171917@gmail.com</t>
  </si>
  <si>
    <t>Hamadan University of Medical Sciences [1401120210379]</t>
  </si>
  <si>
    <t>Hamadan University of Medical Sciences</t>
  </si>
  <si>
    <t>The protocol of this study was supported by Hamadan University of Medical Sciences with code 1401120210379.</t>
  </si>
  <si>
    <t>10.1186/s40001-023-01304-2</t>
  </si>
  <si>
    <t>R1SD7</t>
  </si>
  <si>
    <t>WOS:001062200600003</t>
  </si>
  <si>
    <t>Kweon, S; Lee, JH; Yang, SB; Park, SJ; Subedi, L; Shim, JH; Cho, SS; Choi, JU; Byun, Y; Park, J; Park, JW</t>
  </si>
  <si>
    <t>Kweon, Seho; Lee, Jun-Hyuck; Yang, Seong-Bin; Park, Seong Jin; Subedi, Laxman; Shim, Jung-Hyun; Cho, Seung-Sik; Choi, Jeong Uk; Byun, Youngro; Park, Jooho; Park, Jin Woo</t>
  </si>
  <si>
    <t>Design of chimeric GLP-1A using oligomeric bile acids to utilize transporter-mediated endocytosis for oral delivery</t>
  </si>
  <si>
    <t>BIOMATERIALS RESEARCH</t>
  </si>
  <si>
    <t>Chimeric peptide; Oral GLP-1 agonist; Oligomeric bile acids; In silico molecular docking; ASBT-mediated endocytosis</t>
  </si>
  <si>
    <t>GLUCAGON-LIKE PEPTIDE-1; CARDIOVASCULAR OUTCOMES; DRUG-DELIVERY; IN-VIVO; INSULIN; ABSORPTION; ENHANCEMENT; EXENATIDE; MECHANISM; RECEPTOR</t>
  </si>
  <si>
    <t>BackgroundDespite the effectiveness of glucagon-like peptide-1 agonist (GLP-1A) in the treatment of diabetes, its large molecular weight and high hydrophilicity result in poor cellular permeability, thus limiting its oral bioavailability. To address this, we developed a chimeric GLP-1A that targets transporter-mediated endocytosis to enhance cellular permeability to GLP-1A by utilizing the transporters available in the intestine, particularly the apical sodium-dependent bile acid transporter (ASBT).MethodsIn silico molecular docking and molecular dynamics simulations were used to investigate the binding interactions of mono-, bis-, and tetra-deoxycholic acid (DOCA) (monoDOCA, bisDOCA, and tetraDOCA) with ASBT. After synthesizing the chimeric GLP-1A-conjugated oligomeric DOCAs (mD-G1A, bD-G1A, and tD-G1A) using a maleimide reaction, in vitro cellular permeability and insulinotropic effects were assessed. Furthermore, in vivo oral absorption in rats and hypoglycemic effect on diabetic db/db mice model were evaluated.ResultsIn silico results showed that tetraDOCA had the lowest interaction energy, indicating high binding affinity to ASBT. Insulinotropic effects of GLP-1A-conjugated oligomeric DOCAs were not different from those of GLP-1A-Cys or exenatide. Moreover, bD-G1A and tD-G1A exhibited improved in vitro Caco-2 cellular permeability and showed higher in vivo bioavailability (7.58% and 8.63%) after oral administration. Regarding hypoglycemic effects on db/db mice, tD-G1A (50 &amp; mu;g/kg) lowered the glucose level more than bD-G1A (50 &amp; mu;g/kg) compared with the control (35.5% vs. 26.4%).ConclusionGLP-1A was conjugated with oligomeric DOCAs, and the resulting chimeric compound showed the potential not only for glucagon-like peptide-1 receptor agonist activity but also for oral delivery. These findings suggest that oligomeric DOCAs can be used as effective carriers for oral delivery of GLP-1A, offering a promising solution for enhancing its oral bioavailability and improving diabetes treatment.</t>
  </si>
  <si>
    <t>[Kweon, Seho] Seoul Natl Univ, Grad Sch Convergence Sci &amp; Technol, Dept Mol Med &amp; Biopharmaceut Sci, Seoul 08826, South Korea; [Kweon, Seho; Subedi, Laxman; Shim, Jung-Hyun; Park, Jin Woo] Mokpo Natl Univ, Biomed Cutting Edge Formulat Technol Ctr, Jeonnam 58554, South Korea; [Lee, Jun-Hyuck; Yang, Seong-Bin; Park, Jooho] Konkuk Univ, Grad Sch, Dept Appl Life Sci, Program BK21, Chungju 27478, South Korea; [Park, Seong Jin; Byun, Youngro] Seoul Natl Univ, Coll Pharm, Seoul 08826, South Korea; [Subedi, Laxman; Shim, Jung-Hyun; Cho, Seung-Sik; Park, Jin Woo] Mokpo Natl Univ, Biomed &amp; Healthcare Res Inst, Dept Biomed Hlth &amp; Life Convergence Sci, BK21 Four, Jeonnam 58554, South Korea; [Shim, Jung-Hyun; Cho, Seung-Sik; Park, Jin Woo] Mokpo Natl Univ, Coll Pharm, Jeonnam 58554, South Korea; [Shim, Jung-Hyun; Cho, Seung-Sik; Park, Jin Woo] Mokpo Natl Univ, Nat Med Res Inst, Jeonnam 58554, South Korea; [Choi, Jeong Uk] Chonnam Natl Univ, Res Inst Pharmaceut Sci, Coll Pharm, Gwangju 61186, South Korea</t>
  </si>
  <si>
    <t>Seoul National University (SNU); Mokpo National University; Konkuk University; Seoul National University (SNU); Mokpo National University; Mokpo National University; Mokpo National University; Chonnam National University</t>
  </si>
  <si>
    <t>Park, JW (corresponding author), Mokpo Natl Univ, Biomed Cutting Edge Formulat Technol Ctr, Jeonnam 58554, South Korea.;Park, J (corresponding author), Konkuk Univ, Grad Sch, Dept Appl Life Sci, Program BK21, Chungju 27478, South Korea.;Park, JW (corresponding author), Mokpo Natl Univ, Biomed &amp; Healthcare Res Inst, Dept Biomed Hlth &amp; Life Convergence Sci, BK21 Four, Jeonnam 58554, South Korea.;Park, JW (corresponding author), Mokpo Natl Univ, Coll Pharm, Jeonnam 58554, South Korea.;Park, JW (corresponding author), Mokpo Natl Univ, Nat Med Res Inst, Jeonnam 58554, South Korea.</t>
  </si>
  <si>
    <t>pkjhdn@kku.ac.kr; jwpark@mokpo.ac.kr</t>
  </si>
  <si>
    <t>Park, Jin Woo/AGY-9085-2022; Cho, Seung Sik/JFJ-2665-2023</t>
  </si>
  <si>
    <t>Park, Jin Woo/0000-0002-0001-7043;</t>
  </si>
  <si>
    <t>We thank the Convergence Research Laboratory (established by the MNU Innovation Support Project in 2020) for granting us permission to conduct this research.</t>
  </si>
  <si>
    <t>1226-4601</t>
  </si>
  <si>
    <t>2055-7124</t>
  </si>
  <si>
    <t>BIOMATER RES</t>
  </si>
  <si>
    <t>Biomater. Res.</t>
  </si>
  <si>
    <t>10.1186/s40824-023-00421-7</t>
  </si>
  <si>
    <t>Engineering, Biomedical; Materials Science, Biomaterials</t>
  </si>
  <si>
    <t>Engineering; Materials Science</t>
  </si>
  <si>
    <t>Q6ZV4</t>
  </si>
  <si>
    <t>WOS:001058995400001</t>
  </si>
  <si>
    <t>Labuschagne, LJE; Smorenburg, N; van de Kassteele, J; Bom, B; de Weerdt, AC; de Melker, HE; Hahne, SJM</t>
  </si>
  <si>
    <t>Labuschagne, Lisanne J. E.; Smorenburg, Naomi; van de Kassteele, Jan; Bom, Ben; de Weerdt, Anne C.; de Melker, Hester E.; Hahne, Susan J. M.</t>
  </si>
  <si>
    <t>Neighbourhood sociodemographic factors and COVID-19 vaccine uptake in the Netherlands: an ecological analysis</t>
  </si>
  <si>
    <t>Immunisation programmes; COVID-19 vaccines; Ethnicity; Socioeconomic status; Political factors</t>
  </si>
  <si>
    <t>BackgroundWhile overall COVID-19 vaccine uptake is high in the Netherlands, it lags behind in certain subpopulations.AimWe aimed to explore the characteristics of groups with lower COVID-19 vaccine uptake at neighbourhood level to inform the strategy to improve uptake and guide research into barriers for vaccination.MethodsWe performed an ecological study using national vaccination register and socio-demographic data at neighbourhood level. Using univariate and multivariable generalized additive models we examined the (potentially non-linear) effect of each determinant on uptake. We focused on those aged 50 years and older, since they are at highest risk of severe disease.ResultsIn those over 50 years of age, a higher proportion of individuals with a non-Western migration background and higher voting proportions for right-wing Christian and conservative political parties were at neighbourhood level univariately associated with lower COVID-19 vaccine uptake. In contrast, higher socioeconomic status and higher voting proportions for right-wing liberal, progressive liberal and Christian middle political parties were associated with higher uptake. Multivariable results differed from univariate results in that a higher voting proportion for progressive left-wing political parties was also associated with higher uptake. In addition, with regard to migration background only a Turkish background remained significant.ConclusionWe identified determinants associated with COVID-19 vaccine uptake at neighbourhood level and observed heterogeneity in uptake between different subpopulations. Since the goal of vaccination is not only to reduce suffering and death by improving the average uptake, but also to reduce health inequity, it is important to focus on subpopulations with lower uptake.</t>
  </si>
  <si>
    <t>[Labuschagne, Lisanne J. E.; Smorenburg, Naomi; van de Kassteele, Jan; Bom, Ben; de Melker, Hester E.; Hahne, Susan J. M.] Natl Inst Publ Hlth &amp; Environm, Ctr Infect Dis Control, Bilthoven, Netherlands; [de Weerdt, Anne C.] Natl Inst Publ Hlth &amp; Environm, Publ Hlth &amp; Hlth Serv, Bilthoven, Netherlands</t>
  </si>
  <si>
    <t>Netherlands National Institute for Public Health &amp; the Environment; Netherlands National Institute for Public Health &amp; the Environment</t>
  </si>
  <si>
    <t>Labuschagne, LJE (corresponding author), Natl Inst Publ Hlth &amp; Environm, Ctr Infect Dis Control, Bilthoven, Netherlands.</t>
  </si>
  <si>
    <t>lisanne.labuschagne@rivm.nl</t>
  </si>
  <si>
    <t>10.1186/s12889-023-16600-z</t>
  </si>
  <si>
    <t>Q6ZV7</t>
  </si>
  <si>
    <t>WOS:001058995700002</t>
  </si>
  <si>
    <t>Meneses-Falcon, C; Rua-Vieites, A</t>
  </si>
  <si>
    <t>Meneses-Falcon, Carmen; Rua-Vieites, Antonio</t>
  </si>
  <si>
    <t>Possible Consequences of the Criminalization of Sex Work in Spain, Inferred from COVID-19 Lockdown Measures</t>
  </si>
  <si>
    <t>Criminalization; Sex work; Prohibition; COVID-19; Policy; Women</t>
  </si>
  <si>
    <t>WOMENS ENTRY; PROSTITUTION; VIOLENCE; PREFERENCES; INDUSTRY; IMPACT; LEGAL</t>
  </si>
  <si>
    <t>IntroductionIn this paper, we explore the possible consequences of the criminalization of sex work in Spain through an analysis of the measures adopted during the COVID-19 lockdown, which were tantamount to a prohibition of prostitution.MethodsWe interviewed 69 female sex workers (19 of them trafficking victims) from the lowest stratum and six escorts from the upper stratum of prostitution, during the period from March 2020 to May 2021. We also conducted an ethnographic study in a hotel operating in the middle to upper stratum of commercial sex work.ResultsThe months of home confinement showed that the prohibition of sex work affected women in more precarious and vulnerable situations more adversely, worsening their living and working conditions compared to before the pandemic, whereas the impact on the escorts was far less.ConclusionIf commercial sex work in Spain were totally or partially criminalized, sex work would not stop taking place, and nor would the demand for paid sex cease to exist. Rather, they would be driven underground, worsening the quality of life, and both health and working conditions in the practice of commercial sex work for women. On top of that, the implementation of such a policy would reduce or eliminate sex workers' relationships or collaborations with the police.</t>
  </si>
  <si>
    <t>[Meneses-Falcon, Carmen] Univ P Comillas, Dept Sociol &amp; Social Work, Madrid 28049, Spain; [Rua-Vieites, Antonio] Univ P Comillas, Dept Quantitat Methods, Madrid 28049, Spain</t>
  </si>
  <si>
    <t>Comillas Pontifical University; Comillas Pontifical University</t>
  </si>
  <si>
    <t>Meneses-Falcon, C (corresponding author), Univ P Comillas, Dept Sociol &amp; Social Work, Madrid 28049, Spain.</t>
  </si>
  <si>
    <t>cmeneses@comillas.edu</t>
  </si>
  <si>
    <t>; Meneses-Falcon, Carmen/P-7905-2015</t>
  </si>
  <si>
    <t>Rua Vieites, Antonio/0000-0002-6915-2067; Meneses-Falcon, Carmen/0000-0002-5368-4253</t>
  </si>
  <si>
    <t>10.1007/s13178-023-00867-3</t>
  </si>
  <si>
    <t>Q4CB2</t>
  </si>
  <si>
    <t>WOS:001057003000002</t>
  </si>
  <si>
    <t>Newton, J; Riazi, K; Vashist, N; Jarvis, H; Lang, E; Clement, F; Beall, RF</t>
  </si>
  <si>
    <t>Newton, Janna; Riazi, Kiarash; Vashist, Neha; Jarvis, Hailey; Lang, Eddy; Clement, Fiona; Beall, Reed F.</t>
  </si>
  <si>
    <t>Solutions for patients visiting the emergency department with non-emergent issues: results from a deliberative public policy analysis process</t>
  </si>
  <si>
    <t>INTERNAL AND EMERGENCY MEDICINE</t>
  </si>
  <si>
    <t>Emergency medicine; Policy; Wait times; Policy analysis; Telemedicine; Urgent care; Smartphone; Health education</t>
  </si>
  <si>
    <t>[Newton, Janna; Vashist, Neha; Jarvis, Hailey] Univ Calgary, Sch Publ Policy, Calgary, AB, Canada; [Riazi, Kiarash; Clement, Fiona; Beall, Reed F.] Univ Calgary, Cumming Sch Med, Dept Community Hlth Sci, Calgary, AB, Canada; [Lang, Eddy] Univ Calgary, Cumming Sch Med, Dept Emergency Med, Calgary, AB, Canada</t>
  </si>
  <si>
    <t>University of Calgary; University of Calgary; University of Calgary</t>
  </si>
  <si>
    <t>Beall, RF (corresponding author), Univ Calgary, Cumming Sch Med, Dept Community Hlth Sci, Calgary, AB, Canada.</t>
  </si>
  <si>
    <t>Reed.Beall@ucalgary.ca</t>
  </si>
  <si>
    <t>1828-0447</t>
  </si>
  <si>
    <t>1970-9366</t>
  </si>
  <si>
    <t>INTERN EMERG MED</t>
  </si>
  <si>
    <t>Intern. Emerg. Med.</t>
  </si>
  <si>
    <t>10.1007/s11739-023-03404-7</t>
  </si>
  <si>
    <t>Q9SQ3</t>
  </si>
  <si>
    <t>WOS:001060846500002</t>
  </si>
  <si>
    <t>Pan, QW; Shen, XL; Li, HF; Zhu, B; Chen, DK; Pan, JJ</t>
  </si>
  <si>
    <t>Pan, Qiangwei; Shen, Xiaolu; Li, Hongfeng; Zhu, Bo; Chen, Dake; Pan, Jiajia</t>
  </si>
  <si>
    <t>Depression score mediate the association between a body shape index and infertility in overweight and obesity females, NHANES 2013-2018</t>
  </si>
  <si>
    <t>ABSI; Infertility; Overweight; Obesity; Depression score; NHANES</t>
  </si>
  <si>
    <t>POLYCYSTIC-OVARY-SYNDROME; WOMEN; EPIDEMIOLOGY; MANAGEMENT; PREGNANCY; ADIPOSITY; DIAGNOSIS; MORTALITY; VALIDITY; HEALTH</t>
  </si>
  <si>
    <t>Background Overweight and obese females demonstrate a significantly increased risk of anovulatory infertility. This study aims to investigate whether depression score could mediate the association between a body shape index (ABSI) and infertility, especially in overweight and obese population.Methods We included 5431 adult female Americans from the National Health and Nutrition Examination Survey (NHANES, 2013-2018) database. ABSI manifested the body shape using waist circumference, weight, and height. Infertility or fertility status was defined by interviewing female participants aged = 18 through the reproductive health questionnaires. Depression symptoms were assessed using the Patient Health Questionnaire-9 (PHQ-9) with total scores between 0 and 27. To investigate the association of infertility with ABSI and other individual components, survey-weighted multivariable logistic regression was performed. Mediation analysis of PHQ-9 score was conducted to disentangle the pathways that link ABSI to infertility among the NHANES participants.Results 596 (10.97%) females were categorized with having infertility among 5431 participants. Participants with infertility showed higher ABSI and PHQ-9 score, appearing greater population proportion with depression symptoms. In the multivariable logistic regression model, ABSI (adjusted odds ratio = 0.14, 95% CI: 0.04 to 0.50) and PHQ-9 (adjusted odds ratio = 1.04, 95% CI: 1.01 to 1.07) were positively associated with infertility. PHQ-9 score was estimated to mediate 0.2% (P = 0.03) of the link between ABSI and infertility in all individuals, but to mediate 13.5% (P &lt; 0.01) of the ABSI-infertility association in overweight and obese adult females.Conclusion The association between ABSI and infertility seems to be mediated by depression symptoms scored by PHQ-9, especially in those adult females with overweigh and obesity. Future studies should be implemented to further explore this mediator in ABSI-infertility link.</t>
  </si>
  <si>
    <t>[Pan, Qiangwei; Shen, Xiaolu; Zhu, Bo] Wenzhou Peoples Hosp, Dept Reprod Endocrinol, Wenzhou 325000, Peoples R China; [Pan, Qiangwei; Pan, Jiajia] Wenzhou Peoples Hosp, Dept Gynecol, Wenzhou 325000, Peoples R China; [Li, Hongfeng] Ningbo Univ, Affiliated Peoples Hosp, Dept Hematol, Ningbo 315000, Peoples R China; [Chen, Dake] Wenzhou Peoples Hosp, Dept Urol Surg, Wenzhou 325000, Peoples R China</t>
  </si>
  <si>
    <t>Ningbo University</t>
  </si>
  <si>
    <t>Pan, JJ (corresponding author), Wenzhou Peoples Hosp, Dept Gynecol, Wenzhou 325000, Peoples R China.</t>
  </si>
  <si>
    <t>188795267@qq.com</t>
  </si>
  <si>
    <t>We are grateful to the publicly available dataset mentioned above.</t>
  </si>
  <si>
    <t>10.1186/s12905-023-02622-7</t>
  </si>
  <si>
    <t>R1RE2</t>
  </si>
  <si>
    <t>WOS:001062175000001</t>
  </si>
  <si>
    <t>Qin, H; Abulaiti, A; Maimaiti, A; Abulaiti, Z; Fan, GF; Aili, Y; Ji, WY; Wang, ZL; Wang, YX</t>
  </si>
  <si>
    <t>Qin, Hu; Abulaiti, Aimitaji; Maimaiti, Aierpati; Abulaiti, Zulihuma; Fan, Guofeng; Aili, Yirizhati; Ji, Wenyu; Wang, Zengliang; Wang, Yongxin</t>
  </si>
  <si>
    <t>Integrated machine learning survival framework develops a prognostic model based on inter-crosstalk definition of mitochondrial function and cell death patterns in a large multicenter cohort for lower-grade glioma</t>
  </si>
  <si>
    <t>JOURNAL OF TRANSLATIONAL MEDICINE</t>
  </si>
  <si>
    <t>Machine learning; Precision oncology; Lower-grade glioma; Programmed cell death; Mitochondrial function</t>
  </si>
  <si>
    <t>INFILTRATING IMMUNE CELLS; PROTEIN-KINASE-C; PROGRESSION; MECHANISMS; BIOMARKER; PROLIFERATION; APOPTOSIS; AUTOPHAGY; INVASION</t>
  </si>
  <si>
    <t>BackgroundLower-grade glioma (LGG) is a highly heterogeneous disease that presents challenges in accurately predicting patient prognosis. Mitochondria play a central role in the energy metabolism of eukaryotic cells and can influence cell death mechanisms, which are critical in tumorigenesis and progression. However, the prognostic significance of the interplay between mitochondrial function and cell death in LGG requires further investigation.MethodsWe employed a robust computational framework to investigate the relationship between mitochondrial function and 18 cell death patterns in a cohort of 1467 LGG patients from six multicenter cohorts worldwide. A total of 10 commonly used machine learning algorithms were collected and subsequently combined into 101 unique combinations. Ultimately, we devised the mitochondria-associated programmed cell death index (mtPCDI) using machine learning models that exhibited optimal performance.ResultsThe mtPCDI, generated by combining 18 highly influential genes, demonstrated strong predictive performance for prognosis in LGG patients. Biologically, mtPCDI exhibited a significant correlation with immune and metabolic signatures. The high mtPCDI group exhibited enriched metabolic pathways and a heightened immune activity profile. Of particular importance, our mtPCDI maintains its status as the most potent prognostic indicator even following adjustment for potential confounding factors, surpassing established clinical models in predictive strength.ConclusionOur utilization of a robust machine learning framework highlights the significant potential of mtPCDI in providing personalized risk assessment and tailored recommendations for metabolic and immunotherapy interventions for individuals diagnosed with LGG. Of particular significance, the signature features highly influential genes that present further prospects for future investigations into the role of PCD within mitochondrial function.</t>
  </si>
  <si>
    <t>[Qin, Hu; Abulaiti, Aimitaji; Maimaiti, Aierpati; Fan, Guofeng; Aili, Yirizhati; Ji, Wenyu; Wang, Zengliang; Wang, Yongxin] Xinjiang Med Univ, Affiliated Hosp 1, Neurosurg Ctr, Dept Neurosurg, 137 South Liyushan Rd, Urumqi City 830054, Xinjiang, Peoples R China; [Abulaiti, Zulihuma] Xinjiang Med Univ, Affiliated Hosp 1, Dept Obstet &amp; Gynecol, Urumqi 830054, Xinjiang, Peoples R China</t>
  </si>
  <si>
    <t>Xinjiang Medical University; Xinjiang Medical University</t>
  </si>
  <si>
    <t>Wang, YX (corresponding author), Xinjiang Med Univ, Affiliated Hosp 1, Neurosurg Ctr, Dept Neurosurg, 137 South Liyushan Rd, Urumqi City 830054, Xinjiang, Peoples R China.</t>
  </si>
  <si>
    <t>xjdwyx2000@sohu.com</t>
  </si>
  <si>
    <t>We are grateful to the contributors to the public databases used in this study.</t>
  </si>
  <si>
    <t>1479-5876</t>
  </si>
  <si>
    <t>J TRANSL MED</t>
  </si>
  <si>
    <t>J. Transl. Med.</t>
  </si>
  <si>
    <t>10.1186/s12967-023-04468-x</t>
  </si>
  <si>
    <t>Q8ZZ2</t>
  </si>
  <si>
    <t>WOS:001060359100001</t>
  </si>
  <si>
    <t>Shackleton, D; Economou, T; Memon, FA; Chen, A; Dutta, S; Kanungo, S; Deb, A</t>
  </si>
  <si>
    <t>Shackleton, Debbie; Economou, Theo; Memon, Fayyaz Ali; Chen, Albert; Dutta, Shanta; Kanungo, Suman; Deb, Alok</t>
  </si>
  <si>
    <t>Seasonality of cholera in Kolkata and the influence of climate</t>
  </si>
  <si>
    <t>Generalized additive modelling; Climate; Cholera; Cross-correlation lag analysis; India</t>
  </si>
  <si>
    <t>MAXIMUM-LIKELIHOOD; VIBRIO; TEMPERATURE; SALINITY</t>
  </si>
  <si>
    <t>BackgroundCholera in Kolkata remains endemic and the Indian city is burdened with a high number of annual cases. Climate change is widely considered to exacerbate cholera, however the precise relationship between climate and cholera is highly heterogeneous in space and considerable variation can be observed even within the Indian subcontinent. To date, relatively few studies have been conducted regarding the influence of climate on cholera in Kolkata.MethodsWe considered 21 years of confirmed cholera cases from the Infectious Disease Hospital in Kolkata during the period of 1999-2019. We used Generalised Additive Modelling (GAM) to extract the non-linear relationship between cholera and different climatic factors; temperature, rainfall and sea surface temperature (SST). Peak associated lag times were identified using cross-correlation lag analysis.ResultsOur findings revealed a bi-annual pattern of cholera cases with two peaks coinciding with the increase in temperature in summer and the onset of monsoon rains. Variables selected as explanatory variables in the GAM model were temperature and rainfall. Temperature was the only significant factor associated with summer cholera (mean temperature of 30.3 &amp; DEG;C associated with RR of 3.8) while rainfall was found to be the main driver of monsoon cholera (550 mm total monthly rainfall associated with RR of 3.38). Lag time analysis revealed that the association between temperature and cholera cases in the summer had a longer peak lag time compared to that between rainfall and cholera during the monsoon. We propose several mechanisms by which these relationships are mediated.ConclusionsKolkata exhibits a dual-peak phenomenon with independent mediating factors. We suggest that the summer peak is due to increased bacterial concentration in urban water bodies, while the monsoon peak is driven by contaminated flood waters. Our results underscore the potential utility of preventative strategies tailored to these seasonal and climatic patterns, including efforts to reduce direct contact with urban water bodies in summer and to protect residents from flood waters during monsoon.</t>
  </si>
  <si>
    <t>[Shackleton, Debbie; Memon, Fayyaz Ali; Chen, Albert] Univ Exeter, Coll Engn Math &amp; Phys Sci, Exeter EX4 4QF, England; [Economou, Theo] Univ Exeter, Dept Math, Exeter, England; [Economou, Theo] Cyprus Inst, Climate &amp; Atmosphere Res Ctr, Nicosia, Cyprus; [Dutta, Shanta; Kanungo, Suman; Deb, Alok] Natl Inst Cholera &amp; Enter Dis, Kolkata, India</t>
  </si>
  <si>
    <t>University of Exeter; University of Exeter; Indian Council of Medical Research (ICMR); ICMR - National Institute of Cholera &amp; Enteric Diseases (NICED)</t>
  </si>
  <si>
    <t>Shackleton, D (corresponding author), Univ Exeter, Coll Engn Math &amp; Phys Sci, Exeter EX4 4QF, England.</t>
  </si>
  <si>
    <t>We thank the Indian National Institute of Cholera and Enteric Diseases (NICED) for making this work possible. We would also like to thank the Climate Research Unit and the University of East Anglia for making their meteorological estimations publicly avail</t>
  </si>
  <si>
    <t>We thank the Indian National Institute of Cholera and Enteric Diseases (NICED) for making this work possible. We would also like to thank the Climate Research Unit and the University of East Anglia for making their meteorological estimations publicly available.</t>
  </si>
  <si>
    <t>10.1186/s12879-023-08532-1</t>
  </si>
  <si>
    <t>Q6ZF2</t>
  </si>
  <si>
    <t>WOS:001058979200001</t>
  </si>
  <si>
    <t>Shahmohammadi, A; Khoshbakht, K; Veisi, H; Nazari, MR</t>
  </si>
  <si>
    <t>Shahmohammadi, Alireza; Khoshbakht, Korous; Veisi, Hadi; Nazari, Mohammad Reza</t>
  </si>
  <si>
    <t>Exploring Dynamics of Water, Energy, and Food Systems in Agricultural Landscapes Using Mental Modeling: A Case of Varamin Plain, Iran</t>
  </si>
  <si>
    <t>ENVIRONMENTAL MANAGEMENT</t>
  </si>
  <si>
    <t>Double-loop learning; Environmental management; Mental model; Nexus governance System</t>
  </si>
  <si>
    <t>VULNERABILITY; PERCEPTIONS</t>
  </si>
  <si>
    <t>This study applies the mental model and cognitive mapping method to involve stakeholders in delineating the mutual relations between sources of water, energy, and food (WEF) production in the Varamin Plain (VP). Through involving farmers and managerial experts, the approach facilitates the deployment of community communication patterns to recognize and comprehend problems and move from single-loop learning to double-loop learning. The dynamic model was driven from the final mental model of the participants to reflect changes in the systems over time. The system dynamic (SD) model incorporates three scenarios for enhancing irrigation efficiency, managing groundwater extraction, and satisfying environmental needs. The results uncovered that the surface and underground water resources of the VP will gradually decrease within the next two decades in the range of 158 and 2700 million cubic meters (MCM) per year. Also, the plain suffers from water insecurity and a 162 MCM shortage. Consequently, focusing on understanding the nexus and nexus governance can enhance resource management and achieve sustainable development goals. Essentially, promoting collaborative governance, such as creating cooperative organizations and implementing double-loop learning, and instituting a water market, regulatory governance, and monitoring laws can improve the state of Varamin Plain's resources. These results carry important policy implications for using mental models to consider dynamics for discussions on participatory management of the WEF system nexus and environmental management.</t>
  </si>
  <si>
    <t>[Shahmohammadi, Alireza; Khoshbakht, Korous] Shahid Beheshti Univ, Environm Sci Res Inst, Dept Agroecol, GC, POB 19835-196, Tehran, Iran; [Veisi, Hadi] Sch Engn Design &amp; Innovat, 213 Hammond Bldg, State Coll, PA 16802 USA; [Nazari, Mohammad Reza] Shahid Beheshti Univ, Environm Sci Res Inst, Environm &amp; Nat Resources Econ Dept, GC, POB 19835-196, Tehran, Iran</t>
  </si>
  <si>
    <t>Shahid Beheshti University; Shahid Beheshti University</t>
  </si>
  <si>
    <t>Khoshbakht, K (corresponding author), Shahid Beheshti Univ, Environm Sci Res Inst, Dept Agroecol, GC, POB 19835-196, Tehran, Iran.</t>
  </si>
  <si>
    <t>k_khoshbakht@sbu.ac.ir</t>
  </si>
  <si>
    <t>Veisi, Hadi/U-6057-2019</t>
  </si>
  <si>
    <t>Veisi, Hadi/0000-0003-4484-8559</t>
  </si>
  <si>
    <t>0364-152X</t>
  </si>
  <si>
    <t>1432-1009</t>
  </si>
  <si>
    <t>ENVIRON MANAGE</t>
  </si>
  <si>
    <t>Environ. Manage.</t>
  </si>
  <si>
    <t>10.1007/s00267-023-01875-0</t>
  </si>
  <si>
    <t>Q5BE8</t>
  </si>
  <si>
    <t>WOS:001057663500002</t>
  </si>
  <si>
    <t>Shen, GQ; He, HY; Zhang, XD; Wang, LS; Wang, Z; Li, FF; Lu, Y; Li, WH</t>
  </si>
  <si>
    <t>Shen, Guoqi; He, Haiyan; Zhang, Xudong; Wang, Linsheng; Wang, Zhen; Li, Fangfang; Lu, Yuan; Li, Wenhua</t>
  </si>
  <si>
    <t>Predictive value of systemic immune-inflammation index combined with N-terminal pro-brain natriuretic peptide for contrast-induced acute kidney injury in patients with STEMI after primary PCI</t>
  </si>
  <si>
    <t>INTERNATIONAL UROLOGY AND NEPHROLOGY</t>
  </si>
  <si>
    <t>Systemic immune-inflammation index; N-terminal pro-brain natriuretic peptide; Contrast-induced acute kidney injury; ST-segment elevation myocardial infarction; Percutaneous coronary intervention</t>
  </si>
  <si>
    <t>PERCUTANEOUS CORONARY INTERVENTION; INDUCED NEPHROPATHY; HYPERGLYCEMIA; ASSOCIATION; FUROSEMIDE; EMERGENCY; EQUATION; IMPACT</t>
  </si>
  <si>
    <t>ObjectiveTo investigate the relationship between the incidence of contrast-induced acute kidney injury (CI-AKI) after emergency percutaneous coronary intervention (PCI) and preoperative systemic immune-inflammation index (SII) and N-terminal pro-brain natriuretic peptide (NT-proBNP) levels in patients with acute ST-segment elevation myocardial infarction (STEMI), and to further analyze the predictive value of the combination of SII and NT-proBNP for CI-AKI.MethodsThe clinical data of 1543 patients with STEMI who underwent emergency PCI in our hospital from February 2019 to December 2022 were retrospectively analyzed. All patients were divided into training cohort (n = 1085) and validation cohort (n = 287) according to chronological order. The training cohort was divided into CI-AKI (n = 95) and non-CI-AKI (n = 990) groups according to the 2018 European Society of Urogenital Radiology definition of CI-AKI. Multivariate Logistic regression analysis was used to determine the independent risk factors for CI-AKI. Restricted cubic spline (RCS) was used to explore the relationship between SII, NT-proBNP, and the risk of CI-AKI. The receiver operating characteristic (ROC) curve was used to evaluate the predictive value of SII, NT-proBNP, and their combination in CI-AKI.ResultsThe incidence of CI-AKI was 8.8% (95/1085). Multivariate logistic regression analysis showed that SII, NT-proBNP, age, baseline creatinine, fasting blood glucose, and diuretics were independent risk factors for CI-AKI. RCS analysis showed that SII &gt; 1084.97 x 10(9)/L and NT-proBNP &gt; 296.12 pg/mL were positively associated with the incidence of CI-AKI. ROC curve analysis showed that the area under the curve of SII and NT-proBNP combined detection in predicting CI-AKI was 0.726 (95% CI 0.698-0.752, P &lt; 0.001), the sensitivity was 60.0%, and the specificity was 77.7%, which were superior to the detection of SII or NT-proBNP alone.ConclusionPreprocedural high SII and NT-proBNP are independent risk factors for CI-AKI after emergency PCI in patients with STEMI. The combined detection of SII and NT-proBNP can more accurately predict CI-AKI risk than the single detection.</t>
  </si>
  <si>
    <t>[Shen, Guoqi; Zhang, Xudong; Wang, Linsheng; Wang, Zhen; Li, Wenhua] Xuzhou Med Univ, Inst Cardiovasc Dis, Xuzhou 221000, Peoples R China; [He, Haiyan] Xuzhou Med Univ, Dept Cardiol, Xuzhou Municipal Hosp, Xuzhou 221000, Peoples R China; [Li, Fangfang; Lu, Yuan; Li, Wenhua] Xuzhou Med Univ, Dept Cardiol, Affiliated Hosp, Xuzhou 221000, Jiangsu, Peoples R China</t>
  </si>
  <si>
    <t>Xuzhou Medical University; Xuzhou Medical University; Xuzhou Medical University</t>
  </si>
  <si>
    <t>Li, WH (corresponding author), Xuzhou Med Univ, Inst Cardiovasc Dis, Xuzhou 221000, Peoples R China.;Lu, Y; Li, WH (corresponding author), Xuzhou Med Univ, Dept Cardiol, Affiliated Hosp, Xuzhou 221000, Jiangsu, Peoples R China.</t>
  </si>
  <si>
    <t>luyuan329@163.com; xzwenhua0202@163.com</t>
  </si>
  <si>
    <t>National Natural Science Foundation of China [81900216]; Science and Technology Program of Xuzhou [KC21067]</t>
  </si>
  <si>
    <t>National Natural Science Foundation of China(National Natural Science Foundation of China (NSFC)); Science and Technology Program of Xuzhou</t>
  </si>
  <si>
    <t>&amp; nbsp;This work was supported by grants from the National Natural Science Foundation of China (Grant No. 81900216) and the Science and Technology Program of Xuzhou (KC21067).</t>
  </si>
  <si>
    <t>0301-1623</t>
  </si>
  <si>
    <t>1573-2584</t>
  </si>
  <si>
    <t>INT UROL NEPHROL</t>
  </si>
  <si>
    <t>Int. Urol. Nephrol.</t>
  </si>
  <si>
    <t>10.1007/s11255-023-03762-3</t>
  </si>
  <si>
    <t>Q9SL6</t>
  </si>
  <si>
    <t>WOS:001060841700001</t>
  </si>
  <si>
    <t>Tverring, J; Mansson, E; Andrews, V; Ljungquist, O</t>
  </si>
  <si>
    <t>Tverring, Jonas; Mansson, Emeli; Andrews, Vigith; Ljungquist, Oskar</t>
  </si>
  <si>
    <t>Pivmecillinam with Amoxicillin/Clavulanic acid as step down oral therapy in febrile Urinary Tract Infections caused by ESBL-producing Enterobacterales (PACUTI)</t>
  </si>
  <si>
    <t>Urinary tract infection; Extended spectrum beta-lactamase; Randomised controlled trial</t>
  </si>
  <si>
    <t>ESCHERICHIA-COLI; DOUBLE-BLIND; ACUTE PYELONEPHRITIS; ASYMPTOMATIC BACTERIURIA; ANTIMICROBIAL TREATMENT; MECILLINAM; CIPROFLOXACIN; WOMEN; ERTAPENEM; SUSCEPTIBILITY</t>
  </si>
  <si>
    <t>BackgroundOral treatment alternatives for febrile urinary tract infections are limited in the era of increasing antimicrobial resistance. We aim to evaluate if the combination of pivmecillinam and amoxicillin/clavulanic acid is non-inferior to current alternatives for step-down therapy in adult patients with febrile urinary tract infection.MethodsWe plan to perform an investigator-initiated non-inferiority trial. Adult hospitalised patients treated with 1-5 days of intravenous antibiotics for acute febrile urinary tract infection caused by extended spectrum beta-lactamase (ESBL) producing Enterobacterales will be randomised 1:1 to either control (7-10 days of either oral ciprofloxacin 500 mg twice daily or oral trimethoprim-sulfamethoxazole 800 mg/160 mg twice daily or intravenous ertapenem 1 g once daily, depending on sex, drug allergy, glomerular filtration rate and susceptibility testing) or intervention (10 days of pivmecillinam 400 mg three times daily and amoxicillin/clavulanic acid 500/125 mg three times daily). The primary outcome will be clinical cure 10 days (+/- 2 days) after antibiotic treatment completion. Clinical cure is defined as being alive with absence of fever and return to non-infected baseline of urinary tract symptoms without additional antibiotic treatment or re-hospitalisation (for urinary tract infection) based on a centralised allocation-blinded structured telephone interview. We plan to recruit 330 patients to achieve 90% power based on a sample size simulation analysis using a two-group comparison, one-sided alpha of 2.5%, an absolute non-inferiority margin of 10% and expecting 93% clinical cure rate and 10% loss to follow-up. The primary endpoint will be analysed using generalised estimated equations and reported as risk difference for both intention-to-treat and per protocol populations. Patients are planned to be recruited from at least 10 centres in Sweden from 2023 to 2026.DiscussionIf the combination of pivmecillinam and amoxicillin/clavulanic acid is found to be non-inferior to the control drugs there are potential benefits in terms of tolerability, frequency of interactions, outpatient treatment, side effects, nosocomial infections and drive for further antimicrobial resistance compared to existing drugs.Trial registrationNCT05224401. Registered on February 4, 2022</t>
  </si>
  <si>
    <t>[Tverring, Jonas; Ljungquist, Oskar] Lund Univ, Fac Med, Dept Clin Sci Helsingborg AKVH, Lund, Sweden; [Tverring, Jonas; Ljungquist, Oskar] Helsingborg Hosp, Dept Infect Dis, Helsingborg, Skane, Sweden; [Mansson, Emeli] Vastmanland Hosp, Dept Infect Dis, Vasteras, Sweden; [Mansson, Emeli] Vastmanland Hosp, Ctr Clin Res, Vasteras, Sweden; [Andrews, Vigith] Lund Univ Hosp, Dept Clin Microbiol, Lund, Sweden</t>
  </si>
  <si>
    <t>Lund University; Helsingborgs Hospital; Vasteras Central Hospital; Vasteras Central Hospital; Lund University; Skane University Hospital</t>
  </si>
  <si>
    <t>Tverring, J (corresponding author), Lund Univ, Fac Med, Dept Clin Sci Helsingborg AKVH, Lund, Sweden.;Tverring, J (corresponding author), Helsingborg Hosp, Dept Infect Dis, Helsingborg, Skane, Sweden.</t>
  </si>
  <si>
    <t>jonas.tverring@med.lu.se</t>
  </si>
  <si>
    <t>Lund University; Swedish Society of Medicine; Stig and Ragna Gorthon foundation; Tegger foundation; Royal Physiographic Society of Lund; Swedish governmental funding of research within the clinical sciences (ALF)</t>
  </si>
  <si>
    <t>&amp; nbsp;Open access funding provided by Lund University. Funding for this study has been received from The Swedish Society of Medicine, the Stig and Ragna Gorthon foundation, the Tegger foundation, the Royal Physiographic Society of Lund and the Swedish governmental funding of research within the clinical sciences (ALF).The funding bodies represent non-profit organisations.They have had no role in the design of the study, the collection, analysis or interpretation of data or in the writing of the manuscript or the decision to send the manuscript to a peer-reviewed journal. We will provide an English translation of the original funding documents as an additional file to this submission.</t>
  </si>
  <si>
    <t>10.1186/s13063-023-07542-3</t>
  </si>
  <si>
    <t>WOS:001059010900001</t>
  </si>
  <si>
    <t>Wang, L</t>
  </si>
  <si>
    <t>Wang, Longzhou</t>
  </si>
  <si>
    <t>The Impact of Environmental Regulation on Firms' Product Quality: Evidence from Chinese Exporters</t>
  </si>
  <si>
    <t>ENVIRONMENTAL &amp; RESOURCE ECONOMICS</t>
  </si>
  <si>
    <t>Wastewater regulation; Product quality; Porter hypothesis; Competitiveness; Q52; Q6; F1; D22</t>
  </si>
  <si>
    <t>TRADE LIBERALIZATION; POLLUTION; PRICES; GROWTH; COMPETITIVENESS; TECHNOLOGY; ACCESSION; EMISSIONS; INDUSTRY; POLICY</t>
  </si>
  <si>
    <t>This paper examines the impact of two wastewater regulations on export product quality in China. Using a difference-in-differences approach and detailed data at the firm-product-country-year level, the study finds that overall product quality improves by 2%. Specifically, the first regulation leads to a 4.8% improvement, while the second regulation, which has stricter standards, results in a 9.3% decline in product quality. However, when aggregating the data at the firm-year level, decomposition analysis suggests that both regulations' intensive and extensive marginal effects almost equally improve product quality. Mechanistic analyses attribute the positive impact of the first regulation to advanced equipment adoption, innovation enhancement, and changes in firms' composition and products. Conversely, the negative effect of the second regulation stems from the reduction in the scale of firms producing high-quality products. Moreover, despite higher production costs and reduced labor demand, the first regulation enhances firms' competitiveness, while the second regulation diminishes their competitiveness.</t>
  </si>
  <si>
    <t>[Wang, Longzhou] Univ Alberta, Alberta Sch Business, 3-23 Business Bldg, Edmonton, AB T6G 2R6, Canada</t>
  </si>
  <si>
    <t>University of Alberta</t>
  </si>
  <si>
    <t>Wang, L (corresponding author), Univ Alberta, Alberta Sch Business, 3-23 Business Bldg, Edmonton, AB T6G 2R6, Canada.</t>
  </si>
  <si>
    <t>longzho1@ualberta.ca</t>
  </si>
  <si>
    <t>I am thankful to Timo Goeschl and the anonymous referees for their valuable feedback and constructive comments. I also extend my gratitude to Lucija Muehlenbachs, Trevor Tombe, and Stefan Staubli for their insightful comments and guidance. Additionally, I</t>
  </si>
  <si>
    <t>I am thankful to Timo Goeschl and the anonymous referees for their valuable feedback and constructive comments. I also extend my gratitude to Lucija Muehlenbachs, Trevor Tombe, and Stefan Staubli for their insightful comments and guidance. Additionally, I appreciate the contributions of Sheila Olmstead, Werner Antweiler, Alexander Whalley, M. Scott Taylor, Martino Pelli, Eugene Beaulieu, Shaoda Wang, Chi Man Yip, Feng Wei, Qiongda Zhao, Liang Chen, and the seminar participants at the University of Calgary, AERE in the US, GoSee in the US, CREEA Ph.D. workshop in Canada, MWIEDC at Purdue University, and EEA in Boston for their valuable feedback and constructive insights.</t>
  </si>
  <si>
    <t>0924-6460</t>
  </si>
  <si>
    <t>1573-1502</t>
  </si>
  <si>
    <t>ENVIRON RESOUR ECON</t>
  </si>
  <si>
    <t>Environ. Resour. Econ.</t>
  </si>
  <si>
    <t>10.1007/s10640-023-00806-1</t>
  </si>
  <si>
    <t>Economics; Environmental Studies</t>
  </si>
  <si>
    <t>Business &amp; Economics; Environmental Sciences &amp; Ecology</t>
  </si>
  <si>
    <t>Q4FG4</t>
  </si>
  <si>
    <t>WOS:001057086200001</t>
  </si>
  <si>
    <t>Yang, XD; Hou, SL; Xie, CJ; Wu, G; Yan, ZY</t>
  </si>
  <si>
    <t>Yang, Xudong; Hou, Shanglin; Xie, Caijian; Wu, Gang; Yan, Zuyong</t>
  </si>
  <si>
    <t>High-Performance Photonic Crystal Fiber Biosensor Based on Surface Plasmon Resonance for Early Cancer Detection</t>
  </si>
  <si>
    <t>PLASMONICS</t>
  </si>
  <si>
    <t>Surface plasmon resonance; Photonic crystal fiber; Nanowire; Cancer cell; Sensing</t>
  </si>
  <si>
    <t>REFRACTIVE-INDEX SENSOR</t>
  </si>
  <si>
    <t>In order to detect the cancerization of the somatic cells early, a photonic crystal fiber (PCF) sensor with double gold nanowires based on surface plasmon resonance (SPR) is designed, whose air holes are arranged periodically and symmetrically, and two gold nanowires are embedded at the outer surface of the fiber as plasma material. The performance of the sensor is numerically investigated by the finite element method (FEM). The results reveal that the proposed sensor has a high response to six types of cancerous cell detection. The spectral sensitivity and the amplitude sensitivity of MCF-7 cell can reach up to 16,357 nm/RIU and - 1242 RIU-1, respectively. The maximum resolution of the sensor for MDA-MB-231 cell is 6.11 x 10-6 RIU. In addition, the maximum spectral sensitivity of the proposed sensor is 46,800 nm/RIU in the refractive index range of 1.34 to 1.41. The proposed sensor not only can detect six cancer cells but also has potential applications in biological analysis, medical diagnosis, environmental monitoring, etc.</t>
  </si>
  <si>
    <t>[Yang, Xudong; Hou, Shanglin; Wu, Gang; Yan, Zuyong] Lanzhou Univ Technol, Sch Sci, Lanzhou, Peoples R China; [Xie, Caijian] Zhongkai Univ Agr &amp; Engn, Coll Informat Sci &amp; Technol, Guangzhou, Peoples R China</t>
  </si>
  <si>
    <t>Lanzhou University of Technology; Zhongkai University of Agriculture &amp; Engineering</t>
  </si>
  <si>
    <t>Hou, SL (corresponding author), Lanzhou Univ Technol, Sch Sci, Lanzhou, Peoples R China.</t>
  </si>
  <si>
    <t>houshanglin@vip.163.com</t>
  </si>
  <si>
    <t>National Natural Science Foundation of China [61665005]</t>
  </si>
  <si>
    <t>This work was supported by the National Natural Science Foundation of China (Grant No. 61665005).</t>
  </si>
  <si>
    <t>1557-1955</t>
  </si>
  <si>
    <t>1557-1963</t>
  </si>
  <si>
    <t>Plasmonics</t>
  </si>
  <si>
    <t>10.1007/s11468-023-02017-2</t>
  </si>
  <si>
    <t>Chemistry, Physical; Nanoscience &amp; Nanotechnology; Materials Science, Multidisciplinary</t>
  </si>
  <si>
    <t>Chemistry; Science &amp; Technology - Other Topics; Materials Science</t>
  </si>
  <si>
    <t>Q5AS3</t>
  </si>
  <si>
    <t>WOS:001057650800001</t>
  </si>
  <si>
    <t>Ye, HX; Chen, CL; Chen, SY; Jiang, N; Cai, ZF; Liu, YX; Li, YY; Huang, YK; Yu, WQ; You, RY; Liao, HP; Fan, F</t>
  </si>
  <si>
    <t>Ye, Haoxian; Chen, Chunling; Chen, Shiying; Jiang, Nan; Cai, Zifan; Liu, Yixin; Li, Yunyi; Huang, Yike; Yu, Wanqing; You, Ruiyan; Liao, Haiping; Fan, Fang</t>
  </si>
  <si>
    <t>Profiles of Intolerance of Uncertainty Among 108,540 Adolescents: Associations with Sociodemographic Variables and Mental Health</t>
  </si>
  <si>
    <t>Intolerance of uncertainty; Sociodemographic variables; Mental health; Latent profile analysis; Adolescents</t>
  </si>
  <si>
    <t>GENERALIZED ANXIETY DISORDER; PRIMARY-CARE PATIENTS; QUESTIONNAIRE PHQ-9; SUICIDAL IDEATION; DEPRESSION; SYMPTOMS; CHILDREN; WORRY; VALIDATION; NUMBER</t>
  </si>
  <si>
    <t>Intolerance of uncertainty (IU) is widely considered a transdiagnostic risk and maintaining factor for psychiatric disorders. However, little is known about the overall nature and profile of IU among adolescents. This study aims to investigate the profiles of IU among Chinese adolescents and explore their associations with sociodemographic characteristics and mental health problems. A sample of 108,540 adolescents provided data on IU, sociodemographic characteristics, and mental health via an online platform. Latent profile analysis revealed three profiles: Low IU, Medium IU, and High IU. Girls, older adolescents, and those with specific sociodemographics were more likely to belong to the High IU profile. Furthermore, the High IU profile was associated with the highest risk of several mental health problems. These findings provided valuable information for early prevention and intervention strategies targeting IU and highlighted the importance of IU-based interventions for mental health among adolescents.</t>
  </si>
  <si>
    <t>[Ye, Haoxian; Chen, Chunling; Chen, Shiying; Jiang, Nan; Cai, Zifan; Liu, Yixin; Li, Yunyi; Huang, Yike; Yu, Wanqing; You, Ruiyan; Liao, Haiping; Fan, Fang] South China Normal Univ, Ctr Studies Psychol Applicat, Guangdong Key Lab Mental Hlth &amp; Cognit Sci, Minist Educ,Key Lab Brain Cognit &amp; Educ Sci,Sch Ps, Shipai Rd, Guangzhou 510631, Peoples R China</t>
  </si>
  <si>
    <t>South China Normal University</t>
  </si>
  <si>
    <t>Fan, F (corresponding author), South China Normal Univ, Ctr Studies Psychol Applicat, Guangdong Key Lab Mental Hlth &amp; Cognit Sci, Minist Educ,Key Lab Brain Cognit &amp; Educ Sci,Sch Ps, Shipai Rd, Guangzhou 510631, Peoples R China.</t>
  </si>
  <si>
    <t>fangfan@scnu.edu.cn</t>
  </si>
  <si>
    <t>The authors want to express their sincere gratitude to all participants for participating in the study.</t>
  </si>
  <si>
    <t>10.1007/s10578-023-01603</t>
  </si>
  <si>
    <t>Q5BC0</t>
  </si>
  <si>
    <t>WOS:001057660700001</t>
  </si>
  <si>
    <t>Abdulganiy, RI; Ramos, H; Okunuga, SA; Majid, ZA</t>
  </si>
  <si>
    <t>Abdulganiy, R. I.; Ramos, H.; Okunuga, S. A.; Majid, Z. Abdul</t>
  </si>
  <si>
    <t>A trigonometrically fitted intra-step block Falkner method for the direct integration of second-order delay differential equations with oscillatory solutions</t>
  </si>
  <si>
    <t>AFRIKA MATEMATIKA</t>
  </si>
  <si>
    <t>Delay differential equation; Falkner block method; Intra-step points; Oscillatory solution</t>
  </si>
  <si>
    <t>INITIAL-VALUE PROBLEMS; NUMEROV-TYPE METHOD; COEFFICIENTS</t>
  </si>
  <si>
    <t>An intra-step block Falkner method whose coefficients depend on a parameter ? and the step length h is presented in this study for solving numerically second-order delay differential equations with oscillatory solutions. In the development of the method, the collocation and interpolation techniques were employed. The investigation of the properties of the method has shown that it is zero-stable and consistent, and consequently, convergent. The application of the method to some standard problems from the scientific literature show that it produced very accurate results.</t>
  </si>
  <si>
    <t>[Abdulganiy, R. I.] Univ Lagos, Distance Learning Inst, Dept Educ, Math Unit, Lagos 101017, Nigeria; [Ramos, H.] Univ Salamanca, Dept Appl Math, Salamanca 37008, Spain; [Okunuga, S. A.] Univ Lagos, Fac Sci, Dept Math, Lagos 101017, Nigeria; [Majid, Z. Abdul] Univ Putra Malaysia, Fac Sci, Dept Math, Upm Serdang 43400, Malaysia</t>
  </si>
  <si>
    <t>University of Lagos; University of Salamanca; University of Lagos; Universiti Putra Malaysia</t>
  </si>
  <si>
    <t>Abdulganiy, RI (corresponding author), Univ Lagos, Distance Learning Inst, Dept Educ, Math Unit, Lagos 101017, Nigeria.</t>
  </si>
  <si>
    <t>rabdulganiy@unilag.edu.ng; higra@usal.es; sokunuga@unilag.edu.ng; am_zana@upm.edu.my</t>
  </si>
  <si>
    <t>Ridwanulahi, Abdulganiy/R-3790-2018</t>
  </si>
  <si>
    <t>Ridwanulahi, Abdulganiy/0000-0002-9777-3215</t>
  </si>
  <si>
    <t>1012-9405</t>
  </si>
  <si>
    <t>2190-7668</t>
  </si>
  <si>
    <t>AFR MAT</t>
  </si>
  <si>
    <t>Afr. Mat.</t>
  </si>
  <si>
    <t>SEP</t>
  </si>
  <si>
    <t>10.1007/s13370-023-01075-3</t>
  </si>
  <si>
    <t>J6GO7</t>
  </si>
  <si>
    <t>WOS:001010580800001</t>
  </si>
  <si>
    <t>Afiatdoust, F; Heydari, MH; Hosseini, MM</t>
  </si>
  <si>
    <t>Afiatdoust, F.; Heydari, M. H.; Hosseini, M. M.</t>
  </si>
  <si>
    <t>A block-by-block strategy for fractional systems of nonlinear weakly singular integro-differential equations</t>
  </si>
  <si>
    <t>COMPUTATIONAL &amp; APPLIED MATHEMATICS</t>
  </si>
  <si>
    <t>Fractional system; Weakly singular integro-differential equations; Romberg quadrature formula; Block-by-block method</t>
  </si>
  <si>
    <t>VOLTERRA INTEGRAL-EQUATIONS; DIFFERENTIAL EQUATIONS; ROMBERG QUADRATURE; NUMERICAL-SOLUTION; PULSE FUNCTIONS; SOLVING SYSTEM; STABILITY</t>
  </si>
  <si>
    <t>This paper concentrates on providing a new approach to arrive at approximate solution of a fractional nonlinear system of weakly singular integro-differential equations. This approach has the ability to calculate several undetermined values of the problem at several grid points out of considering the starting values. The convergence of the adopted approach is investigated and it is shown that the new strategy has a high order of convergence. Some examples are considered to observe the accuracy of the established scheme.</t>
  </si>
  <si>
    <t>[Afiatdoust, F.; Hosseini, M. M.] Shahid Bahonar Univ Kerman, Fac Math, Kerman, Iran; [Heydari, M. H.] Shiraz Univ Technol, Dept Math, Shiraz, Iran</t>
  </si>
  <si>
    <t>Shahid Bahonar University of Kerman (SBUK); Shiraz University of Technology</t>
  </si>
  <si>
    <t>Heydari, MH (corresponding author), Shiraz Univ Technol, Dept Math, Shiraz, Iran.</t>
  </si>
  <si>
    <t>f.afiatdoust@math.uk.ac.ir; heydari@sutech.ac.ir; mhosseini@uk.ac.ir</t>
  </si>
  <si>
    <t>Heydari, Mohammad Hossein/AAC-9343-2021</t>
  </si>
  <si>
    <t>Heydari, Mohammad Hossein/0000-0001-6764-4394</t>
  </si>
  <si>
    <t>2238-3603</t>
  </si>
  <si>
    <t>1807-0302</t>
  </si>
  <si>
    <t>COMPUT APPL MATH</t>
  </si>
  <si>
    <t>Comput. Appl. Math.</t>
  </si>
  <si>
    <t>10.1007/s40314-023-02380-0</t>
  </si>
  <si>
    <t>M1LA2</t>
  </si>
  <si>
    <t>WOS:001027828500001</t>
  </si>
  <si>
    <t>Ahmad, B; Alnahdi, M; Ntouyas, SK; Alsaedi, A</t>
  </si>
  <si>
    <t>Ahmad, Bashir; Alnahdi, Manal; Ntouyas, Sotiris K.; Alsaedi, Ahmed</t>
  </si>
  <si>
    <t>On a Mixed Nonlinear Fractional Boundary Value Problem with a New Class of Closed Integral Boundary Conditions</t>
  </si>
  <si>
    <t>Right Liouville-Caputo fractional derivative; Riemann-Liouville fractional integrals; Nonlocal integral boundary conditions; existence; Fixed point</t>
  </si>
  <si>
    <t>DIFFERENTIAL-EQUATIONS; SYSTEM; (K</t>
  </si>
  <si>
    <t>In this paper, we investigate the existence of solutions for a fractional integro-differential equation with mixed nonlinearities subject to a new class of nonlocal closed integral boundary conditions. The proposed problem contains a right Liouville-Caputo fractional derivative operator and mixed Riemann-Liouville integral operators. The standard fixed point theorems are applied to derive the desired results, which are well-illustrated with examples. Some interesting observations are presented.</t>
  </si>
  <si>
    <t>[Ahmad, Bashir; Alnahdi, Manal; Alsaedi, Ahmed] King Abdulaziz Univ, Fac Sci, Dept Math, Nonlinear Anal &amp; Appl Math NAAM Res Grp, POB 80203, Jeddah 21589, Saudi Arabia; [Ntouyas, Sotiris K.] Univ Ioannina, Dept Math, Ioannina 45110, Greece</t>
  </si>
  <si>
    <t>King Abdulaziz University; University of Ioannina</t>
  </si>
  <si>
    <t>Ahmad, B (corresponding author), King Abdulaziz Univ, Fac Sci, Dept Math, Nonlinear Anal &amp; Appl Math NAAM Res Grp, POB 80203, Jeddah 21589, Saudi Arabia.</t>
  </si>
  <si>
    <t>bashirahmad_qau@yahoo.com; malnahdi@kau.edu.sa; sntouyas@uoi.gr; aalsaedi@hotmail.com</t>
  </si>
  <si>
    <t>Ntouyas, Sotiris/Y-3903-2019; Alnahdi, Manal/ISB-0523-2023</t>
  </si>
  <si>
    <t>Institutional Fund Projects [IFPIP: 1249-130-1443]; King Abdulaziz University, DSR, Jeddah, Saudi Arabia; Ministry of Education</t>
  </si>
  <si>
    <t>Institutional Fund Projects; King Abdulaziz University, DSR, Jeddah, Saudi Arabia; Ministry of Education</t>
  </si>
  <si>
    <t>This research work was funded by Institutional Fund Projects under Grant No. (IFPIP: 1249-130-1443). The authors gratefully acknowledge technical and financial support provided by the Ministry of Education and King Abdulaziz University, DSR, Jeddah, Saudi Arabia. The authors also thank the reviewers for their constructive remarks on their work.</t>
  </si>
  <si>
    <t>10.1007/s12346-023-00781-4</t>
  </si>
  <si>
    <t>F1YW8</t>
  </si>
  <si>
    <t>WOS:000980382900001</t>
  </si>
  <si>
    <t>Al-Qattan, MNM; Mordi, MN</t>
  </si>
  <si>
    <t>Al-Qattan, Mohammed Nooraldeen Mahmod; Mordi, Mohd Nizam</t>
  </si>
  <si>
    <t>Development and application of fragment-based de novo inhibitor design approaches against Plasmodium falciparum GST</t>
  </si>
  <si>
    <t>JOURNAL OF MOLECULAR MODELING</t>
  </si>
  <si>
    <t>De novo design; Fragment-based; Docking; Glutathione-S-transferase</t>
  </si>
  <si>
    <t>GLUTATHIONE-S-TRANSFERASE; MOLECULAR-DYNAMICS SIMULATIONS; BOLTZMANN SURFACE-AREA; LIGAND-BINDING; FORCE-FIELD; DRUG DESIGN; DOCKING; PERFORMANCE; OPTIMIZATION; STABILITY</t>
  </si>
  <si>
    <t>Context Modulation of disease progression is frequently started by identifying biochemical pathway catalyzed by biomolecule that is prone to inhibition by small molecular weight ligands. Such ligands (leads) can be obtained from natural resources or synthetic libraries. However, de novo design based on fragments assembly and optimization is showing increasing success. Plasmodium falciparum parasite depends on glutathione-S-transferase (PfGST) in buffering oxidative heme as an approach to resist some antimalarials. Therefore, PfGST is considered an attractive target for drug development. In this research, fragment-based approaches were used to design molecules that can fit to glutathione (GSH) binding site (G-site) of PfGST. Methods The involved approaches build molecules from fragments that are either isosteric to GSH sub-moieties (ligand-based) or successfully docked to GSH binding sub-pockets (structure-based). Compared to reference GST inhibitor of S-hexyl GSH, ligands with improved rigidity, synthetic accessibility, and affinity to receptor were successfully designed. The method involves joining fragments to create ligands. The ligands were then explored using molecular docking, Cartesian coordinate's optimization, and simplified free energy determination as well as MD simulation and MMPBSA calculations. Several tools were used which include OPENEYE toolkit, Open Babel, Autodock Vina, Gromacs, and SwissParam server, and molecular mechanics force field of MMFF94 for optimization and CHARMM27 for MD simulation. In addition, in-house scripts written in Matlab were used to control fragments connection and automation of the tools.</t>
  </si>
  <si>
    <t>[Al-Qattan, Mohammed Nooraldeen Mahmod] Knowledge Univ, Coll Pharm, Erbil, Iraq; [Al-Qattan, Mohammed Nooraldeen Mahmod] Ninevah Univ, Coll Pharm, Mosul, Iraq; [Mordi, Mohd Nizam] Univ sains Malaysia, USM, Ctr Drug Res, George Town 11800, Malaysia</t>
  </si>
  <si>
    <t>Knowledge University; Ninevah University; Universiti Sains Malaysia</t>
  </si>
  <si>
    <t>Al-Qattan, MNM (corresponding author), Knowledge Univ, Coll Pharm, Erbil, Iraq.;Al-Qattan, MNM (corresponding author), Ninevah Univ, Coll Pharm, Mosul, Iraq.</t>
  </si>
  <si>
    <t>mohammed.n.alqattan@gmail.com</t>
  </si>
  <si>
    <t>1610-2940</t>
  </si>
  <si>
    <t>0948-5023</t>
  </si>
  <si>
    <t>J MOL MODEL</t>
  </si>
  <si>
    <t>J. Mol. Model.</t>
  </si>
  <si>
    <t>10.1007/s00894-023-05650-0</t>
  </si>
  <si>
    <t>Biochemistry &amp; Molecular Biology; Biophysics; Chemistry, Multidisciplinary; Computer Science, Interdisciplinary Applications</t>
  </si>
  <si>
    <t>Biochemistry &amp; Molecular Biology; Biophysics; Chemistry; Computer Science</t>
  </si>
  <si>
    <t>P4NW5</t>
  </si>
  <si>
    <t>WOS:001050440000001</t>
  </si>
  <si>
    <t>Alev, KI; Kaman, MO; Albayrak, M; Yanen, C</t>
  </si>
  <si>
    <t>Alev, Kubranur Isgor; Kaman, Mete Onur; Albayrak, Mustafa; Yanen, Cenk</t>
  </si>
  <si>
    <t>Investigation of the mechanical response of laminated composites reinforced with different type wire mesh</t>
  </si>
  <si>
    <t>JOURNAL OF THE BRAZILIAN SOCIETY OF MECHANICAL SCIENCES AND ENGINEERING</t>
  </si>
  <si>
    <t>Glass fiber composite; Delamination; Wire mesh; Energy release rate; Impact</t>
  </si>
  <si>
    <t>LOW-VELOCITY IMPACT; CRACK CLOSURE TECHNIQUE; ENERGY-ABSORPTION; BEHAVIOR; DCB</t>
  </si>
  <si>
    <t>In this study, the mechanical behavior of laminated glass fiber composite plates reinforced with wire meshes under in-plane and out-of-plane loads was investigated. For this purpose, composite plates were produced by vacuum infusion method by placing aluminum and glass fiber wire layers with different mesh numbers between woven glass fiber fabrics. Afterward, impact and tensile tests were applied to the obtained specimens, respectively. The effect of the added reinforcement wires meshes on the impact resistance and tensile strength of the composites was determined. According to the data obtained; When glass wire with the same mesh number is used, 19.2% more reaction force was obtained than aluminum wire. The results of the double cantilever beam (DCB) and end notched flexure (ENF) test results confirmed that glass wire meshes had a better adhesion surface compared to aluminum. In addition, critical energy release rates were obtained with the help of the ANSYS &amp; REG; finite element program and the data were compared with the experimental results. In the case of increasing the mesh number, it was observed that the reaction force of the glass wire mesh reinforced composite decreased by 17.54% under the impact. It was determined by scanning electron microscope (SEM) images that this decrease in the reaction force occurred due to the matrix material contacting the interlayer adhesion surfaces to a lesser extent. One layer of wire mesh reinforcement had no significant effect on the tensile strength of the glass fiber composite.</t>
  </si>
  <si>
    <t>[Alev, Kubranur Isgor; Kaman, Mete Onur; Yanen, Cenk] Firat Univ, Engn Fac, Dept Mech Engn, TR-23119 Elazig, Turkiye; [Albayrak, Mustafa] Inonu Univ, Malatya Organized Ind Zone Vocat Sch, Dept Machine &amp; Met Technol, TR-44900 Malatya, Turkiye</t>
  </si>
  <si>
    <t>Firat University; Inonu University</t>
  </si>
  <si>
    <t>Kaman, MO (corresponding author), Firat Univ, Engn Fac, Dept Mech Engn, TR-23119 Elazig, Turkiye.</t>
  </si>
  <si>
    <t>mkaman@firat.edu.tr</t>
  </si>
  <si>
    <t>1678-5878</t>
  </si>
  <si>
    <t>1806-3691</t>
  </si>
  <si>
    <t>J BRAZ SOC MECH SCI</t>
  </si>
  <si>
    <t>J. Braz. Soc. Mech. Sci. Eng.</t>
  </si>
  <si>
    <t>10.1007/s40430-023-04400-w</t>
  </si>
  <si>
    <t>Engineering, Mechanical</t>
  </si>
  <si>
    <t>P7HR7</t>
  </si>
  <si>
    <t>WOS:001052353300003</t>
  </si>
  <si>
    <t>Alfonsi, A; Lapeyre, B; Lelong, J</t>
  </si>
  <si>
    <t>Alfonsi, Aurelien; Lapeyre, Bernard; Lelong, Jerome</t>
  </si>
  <si>
    <t>How Many Inner Simulations to Compute Conditional Expectations with Least-square Monte Carlo?</t>
  </si>
  <si>
    <t>METHODOLOGY AND COMPUTING IN APPLIED PROBABILITY</t>
  </si>
  <si>
    <t>Least square Monte-Carlo; Conditional expectation estimators; Variance reduction</t>
  </si>
  <si>
    <t>APPROXIMATION</t>
  </si>
  <si>
    <t>The problem of computing the conditional expectation E[ f (Y)|X] with least-square Monte-Carlo is of general importance and has been widely studied. To solve this problem, it is usually assumed that one has as many samples of Y as of X. However, when samples are generated by computer simulation and the conditional law of Y given X can be simulated, it may be relevant to sample K ? N values of Y for each sample of X. The present work determines the optimal value of K for a given computational budget, as well as a way to estimate it. The main take away message is that the computational gain can be all the more important as the computational cost of sampling Y given X is small with respect to the computational cost of sampling X. Numerical illustrations on the optimal choice of K and on the computational gain are given on different examples including one inspired by risk management.</t>
  </si>
  <si>
    <t>[Alfonsi, Aurelien; Lapeyre, Bernard] CERMICS, Ecole Ponts, Marne La Vallee, Champs Sur Marn, France; [Alfonsi, Aurelien; Lapeyre, Bernard] Inria, MathRisk, Paris, France; [Lelong, Jerome] Univ Grenoble Alpes, CNRS, Grenoble INP, LJK, F-38000 Grenoble, France</t>
  </si>
  <si>
    <t>Ecole des Ponts ParisTech; Inria; Communaute Universite Grenoble Alpes; UDICE-French Research Universities; Universite Grenoble Alpes (UGA); Centre National de la Recherche Scientifique (CNRS); Institut National Polytechnique de Grenoble</t>
  </si>
  <si>
    <t>Alfonsi, A (corresponding author), CERMICS, Ecole Ponts, Marne La Vallee, Champs Sur Marn, France.;Alfonsi, A (corresponding author), Inria, MathRisk, Paris, France.</t>
  </si>
  <si>
    <t>aurelien.alfonsi@enpc.fr; bernard.lapeyre@enpc.fr; jerome.lelong@univ-grenoble-alpes.fr</t>
  </si>
  <si>
    <t>chaire Risques financiers, Fondation du Risque</t>
  </si>
  <si>
    <t>AA and BL acknowledge the support of the chaire Risques financiers, Fondation du Risque.</t>
  </si>
  <si>
    <t>1387-5841</t>
  </si>
  <si>
    <t>1573-7713</t>
  </si>
  <si>
    <t>METHODOL COMPUT APPL</t>
  </si>
  <si>
    <t>Methodol. Comput. Appl. Probab.</t>
  </si>
  <si>
    <t>10.1007/s11009-023-10038-x</t>
  </si>
  <si>
    <t>K4PV8</t>
  </si>
  <si>
    <t>WOS:001016283500001</t>
  </si>
  <si>
    <t>Ali, A; Ahmad, J; Javed, S</t>
  </si>
  <si>
    <t>Ali, Asghar; Ahmad, Jamshad; Javed, Sara</t>
  </si>
  <si>
    <t>Investigating the dynamics of soliton solutions to the fractional coupled nonlinear Schrodinger model with their bifurcation and stability analysis</t>
  </si>
  <si>
    <t>Fractional coupled nonlinear Schrodinger model; Improved generalized tanh-function method; Sardar sub-equation method; Soliton solutions; Bifurcation analysis; Stability analysis</t>
  </si>
  <si>
    <t>SEXTIC-POWER-LAW; OPTICAL SOLITONS; EQUATION</t>
  </si>
  <si>
    <t>The fractional coupled nonlinear Schrodinger model (FCNLSM) is widely utilized in various fields such as nonlinear optics, optical communication systems, plasmas and mathematical physics. In this study, we aim to achieve three primary objectives. Firstly, we seek to obtain novel soliton solutions for the FCNLSM, which have not been previously reported in the literature. Secondly, we employ the Sardar sub-equation method and the improved generalized tanh-function method to effectively analyze the dynamics of solutions and solve the studied model. These methods provide valuable insights into the behavior of the system. Lastly, we conduct bifurcation and stability analyses to explore the dynamical properties of the model. To ensure the physical validity of our findings, we present 2-dimensional, 3-dimensional and contour plots using carefully selected parameter values. The obtained results demonstrate the feasibility, efficiency and computational speed of the employed techniques in obtaining comprehensive and reliable solutions. The study represents a novel and significant contribution to the field by expanding the understanding of soliton solutions in the FCNLSM, introducing new techniques for their investigation and conducting a comprehensive analysis of bifurcation and stability properties. The findings of this research open new avenues for exploration and application in the areas of nonlinear optics, optical communication systems and other related fields.</t>
  </si>
  <si>
    <t>[Ali, Asghar; Javed, Sara] Mirpur Univ Sci &amp; Technol MUST, Dept Math, Mirpur 10250, AJK, Pakistan; [Ahmad, Jamshad] Univ Gujrat, Fac Sci, Dept Math, Gujrat 50700, Pakistan</t>
  </si>
  <si>
    <t>University of Gujrat</t>
  </si>
  <si>
    <t>Ahmad, J (corresponding author), Univ Gujrat, Fac Sci, Dept Math, Gujrat 50700, Pakistan.</t>
  </si>
  <si>
    <t>jamshadahmadm@gmail.com</t>
  </si>
  <si>
    <t>Ahmad, Jamshad/JFJ-4858-2023</t>
  </si>
  <si>
    <t>10.1007/s11082-023-05060-9</t>
  </si>
  <si>
    <t>L9AK3</t>
  </si>
  <si>
    <t>WOS:001026115800004</t>
  </si>
  <si>
    <t>Allotey, P; Harel, O</t>
  </si>
  <si>
    <t>Allotey, Prince; Harel, Ofer</t>
  </si>
  <si>
    <t>Bayesian Spatial Modeling of Incomplete Data with Application to HIV Prevalence in Ghana</t>
  </si>
  <si>
    <t>SANKHYA-SERIES B-APPLIED AND INTERDISCIPLINARY STATISTICS</t>
  </si>
  <si>
    <t>Bayesian hierarchical modeling; Complete case analysis; Disease mapping; Incomplete data; Multiple imputation; Spatial random effects; 62-XX</t>
  </si>
  <si>
    <t>MULTIPLE-IMPUTATION; STIGMATIZATION; INFERENCE</t>
  </si>
  <si>
    <t>Incomplete data are unavoidable and pose serious complications in statistical analyses of epidemiological research. However, many researchers still ignore these complications and proceed with complete case analysis. In this paper, we propose modern procedures to handle incomplete spatially correlated data. We illustrate these procedures with an application to spatially-referenced HIV data from Ghana. The main goal was to identify significant risk factors of HIV prevalence in Ghana via a Bayesian spatial hierarchical modeling approach. Results revealed substantial differences in parameter estimates and highest posterior density intervals widths obtained using our approach and that of complete case analysis. Based on these findings, our approach provides more accurate parameter estimates, reduces the chances of committing a type I error, and has higher predictive efficiency. In addition, results from these findings identified higher-risk regions that require targeted interventions by government to help reduce the spread of HIV in Ghana.</t>
  </si>
  <si>
    <t>[Allotey, Prince; Harel, Ofer] Univ Connecticut, Dept Stat, 215 Glenbrook Rd Unit 4120, Storrs, CT 06269 USA</t>
  </si>
  <si>
    <t>University of Connecticut</t>
  </si>
  <si>
    <t>Harel, O (corresponding author), Univ Connecticut, Dept Stat, 215 Glenbrook Rd Unit 4120, Storrs, CT 06269 USA.</t>
  </si>
  <si>
    <t>prince.allotey@uconn.edu; ofer.harel@uconn.edu</t>
  </si>
  <si>
    <t>Harel, Ofer/0000-0002-1054-3055</t>
  </si>
  <si>
    <t>National Science Foundation [DMS-2015320]</t>
  </si>
  <si>
    <t>&amp; nbsp;This project was partially supported by Award Number DMS-2015320 from the National Science Foundation. The content is solely the responsibility of the authors and does not necessarily represent the official views of the National Science Foundation.</t>
  </si>
  <si>
    <t>0976-8386</t>
  </si>
  <si>
    <t>0976-8394</t>
  </si>
  <si>
    <t>SANKHYA SER B</t>
  </si>
  <si>
    <t>Sankhya Ser. B</t>
  </si>
  <si>
    <t>2023 SEP 1</t>
  </si>
  <si>
    <t>10.1007/s13571-023-00308-6</t>
  </si>
  <si>
    <t>Q4AB9</t>
  </si>
  <si>
    <t>WOS:001056950000001</t>
  </si>
  <si>
    <t>Arora, V; Mulaveesala, R; Dua, G</t>
  </si>
  <si>
    <t>Arora, Vanita; Mulaveesala, Ravibabu; Dua, Geetika</t>
  </si>
  <si>
    <t>Depth Resolved Thermal Wave Imaging Approach for Non-Destructive Testing and Evaluation of Steel Sample</t>
  </si>
  <si>
    <t>JOURNAL OF NONDESTRUCTIVE EVALUATION</t>
  </si>
  <si>
    <t>Infrared imaging; thermal non-destructive testing; frequency domain phase analysis; time domain phase analysis; pulse compression; matched filter</t>
  </si>
  <si>
    <t>PULSE-COMPRESSION; INFRARED THERMOGRAPHY; DEFECT DETECTION; PROBABILITY</t>
  </si>
  <si>
    <t>Reliability of sub-surface defects is imperative for safer functionality of critical materials/components/structures used in a wide variety of applications in various industries. The need for reliable, fast, remote, safe inspection and evaluation methods for detecting hidden defects increases in parallel with the demand for more sustainable solutions, which helps in inherent design and manufacturing specifications modifications. During in-service operations, the hidden defects typically originated from various loading conditions leading to catastrophic failure. This work explores the best possible reliable, fast, remote, and safe inspection and evaluation experimental method and the associated post-processing approach using InfraRed Imaging (IRI) for Thermal Non-Destructive Testing and Evaluation of mild steel materials. This proposed work provides an insight into the state-of-the-art research in the field of thermal/infrared non-destructive testing and evaluation methods and associated post processing approach to visualize the hidden subsurface defects not only resolved by spatial thermal gradients but also simultaneously provide temporal thermal gradients at the defective regions.</t>
  </si>
  <si>
    <t>[Arora, Vanita] InfraRed Vis &amp; Automat Pvt Ltd, Ward 8, Rupnagar 140001, Punjab, India; [Arora, Vanita] Indian Inst Informat Technol Una, Permanent Campus Vill Saloh, Haroli 177209, Himachal Prades, India; [Mulaveesala, Ravibabu] Indian Inst Technol Delhi, Ctr Sensors INstrumentat &amp; Cyber Phys Syst Engn S, InfraRed Imaging Lab IRIL, New Delhi 110016, India; [Dua, Geetika] Thapar Inst Engn &amp; Technol, Dept Elect &amp; Commun Engn, Bhadson Rd, Patiala 147004, Punjab, India</t>
  </si>
  <si>
    <t>Indian Institute of Technology System (IIT System); Indian Institute of Technology (IIT) - Delhi; Thapar Institute of Engineering &amp; Technology</t>
  </si>
  <si>
    <t>Mulaveesala, R (corresponding author), Indian Inst Technol Delhi, Ctr Sensors INstrumentat &amp; Cyber Phys Syst Engn S, InfraRed Imaging Lab IRIL, New Delhi 110016, India.</t>
  </si>
  <si>
    <t>mulaveesala@sense.iitd.ac.in</t>
  </si>
  <si>
    <t>0195-9298</t>
  </si>
  <si>
    <t>1573-4862</t>
  </si>
  <si>
    <t>J NONDESTRUCT EVAL</t>
  </si>
  <si>
    <t>J. Nondestruct. Eval.</t>
  </si>
  <si>
    <t>10.1007/s10921-023-00977-3</t>
  </si>
  <si>
    <t>Materials Science, Characterization &amp; Testing</t>
  </si>
  <si>
    <t>K7UL7</t>
  </si>
  <si>
    <t>WOS:001018452900001</t>
  </si>
  <si>
    <t>Bao, JQ; Gao, ZC; Hu, YL; Liu, WQ; Ye, LF; Wang, LH</t>
  </si>
  <si>
    <t>Bao, Jiaqi; Gao, Zhicheng; Hu, Yilan; Liu, Wenquan; Ye, Lifang; Wang, Lihong</t>
  </si>
  <si>
    <t>Serum fibrinogen-to-albumin ratio predicts new-onset atrial fibrillation risk during hospitalization in patients with acute myocardial infarction after percutaneous coronary intervention: a retrospective study</t>
  </si>
  <si>
    <t>BMC CARDIOVASCULAR DISORDERS</t>
  </si>
  <si>
    <t>Acute myocardial infarction; Atrial fibrillation; Serum fibrin-to-albumin ratio; Percutaneous coronary intervention; Inflammation; Coagulation; Fibrinolysis reaction</t>
  </si>
  <si>
    <t>CARDIOVASCULAR-DISEASE; HEART-DISEASE; ARTERY-DISEASE; LIPID-LEVELS; ASSOCIATION; OUTCOMES; OBESITY; MORTALITY; THERAPY; GUIDELINES</t>
  </si>
  <si>
    <t>BackgroundNew-onset atrial fibrillation (NOAF) is a common adverse outcome of percutaneous coronary intervention (PCI) in patients with acute myocardial infarction (AMI) and is closely correlated with hospital stay and prognosis. In recent years, serum fibrinogen-to-albumin ratio (FAR), a novel biomarker for inflammation and thrombosis, has been used to predict the severity and prognosis of coronary artery disease. Our study aimed to investigate the relationship between FAR and NOAF during hospitalization after PCI in patients with AMI.MethodsWe retrospectively analyzed the incidence of NOAF during hospitalization and follow-up in 670 patients with AMI after PCI. Data were collected on patient age, sex, body mass index, medical history, current medication, heart failure, laboratory tests, culprit blood vessels, echocardiographic characteristics, and AMI type. The enrolled patients were divided into NOAF and non-NOAF groups. The baseline characteristics of patients in the two groups were compared, and the predictive correlation between FAR and NOAF was evaluated using logistic regression analysis and the receiver operating characteristic curve.ResultsFifty-three (7.9%) patients developed NOAF during hospitalization. The occurrence of NOAF was found to be independently associated with higher FAR besides older age, higher neutrophil count, greater left atrial size, worse Killip class upon admission, lower body mass index, lower platelet count, lower left ventricle ejection fraction, and target left circumflex artery disease. FAR exhibited a better predictive value for the occurrence of NOAF during hospitalization (area under the curve, 0.732; 95% confidence interval, 0.659-0.808).ConclusionsFAR is a robust tool for predicting NOAF risk during hospitalization in patients with AMI after PCI and has a better predictive value than serum fibrin and serum albumin levels alone.</t>
  </si>
  <si>
    <t>[Bao, Jiaqi; Gao, Zhicheng; Hu, Yilan; Wang, Lihong] Zhejiang Chinese Med Univ, Clin Med Coll 2, Hangzhou 310053, Peoples R China; [Bao, Jiaqi; Gao, Zhicheng; Hu, Yilan; Liu, Wenquan; Ye, Lifang; Wang, Lihong] Zhejiang Prov Peoples Hosp, Affiliated Peoples Hosp, Hangzhou Med Coll, Heart Ctr,Dept Cardiovasc Med, Hangzhou, Zhejiang, Peoples R China; [Liu, Wenquan] Jinzhou Med Univ, Jinzhou, Liaoning, Peoples R China</t>
  </si>
  <si>
    <t>Zhejiang Chinese Medical University; Zhejiang Provincial People's Hospital; Hangzhou Medical College; Jinzhou Medical University</t>
  </si>
  <si>
    <t>Wang, LH (corresponding author), Zhejiang Chinese Med Univ, Clin Med Coll 2, Hangzhou 310053, Peoples R China.;Wang, LH (corresponding author), Zhejiang Prov Peoples Hosp, Affiliated Peoples Hosp, Hangzhou Med Coll, Heart Ctr,Dept Cardiovasc Med, Hangzhou, Zhejiang, Peoples R China.</t>
  </si>
  <si>
    <t>wanglhnew@126.com</t>
  </si>
  <si>
    <t>1471-2261</t>
  </si>
  <si>
    <t>BMC CARDIOVASC DISOR</t>
  </si>
  <si>
    <t>BMC Cardiovasc. Disord.</t>
  </si>
  <si>
    <t>SEP 1</t>
  </si>
  <si>
    <t>10.1186/s12872-023-03480-9</t>
  </si>
  <si>
    <t>Cardiac &amp; Cardiovascular Systems</t>
  </si>
  <si>
    <t>Q8JS4</t>
  </si>
  <si>
    <t>WOS:001059936100006</t>
  </si>
  <si>
    <t>Bhutada, S; Sonje, S; Goel, MD</t>
  </si>
  <si>
    <t>Bhutada, Shubham; Sonje, Saurabh; Goel, Manmohan Dass</t>
  </si>
  <si>
    <t>Multi-objective optimization of foam-filled tubes to enhance the crashworthiness characteristics under impact loading</t>
  </si>
  <si>
    <t>Aluminium foam; Crashworthiness; Cut-outs; Energy absorption; Impact velocity; Interaction effect; Peak Load</t>
  </si>
  <si>
    <t>THIN-WALLED TUBES; SS304L CYLINDRICAL-SHELL; ELASTIC-PLASTIC MODEL; ENERGY-ABSORPTION; SQUARE TUBES; AXIAL COLLAPSE; WINDOWED TUBES; CUTOUT SUBJECT; DESIGN; BEHAVIOR</t>
  </si>
  <si>
    <t>The study presents an understanding of the tube crushing behaviour modified with multiple geometrical configurations. Along with the foam-filling technique, the modifications in a tube geometry are configured in the form of multiple number and shapes of cut-outs. In order to understand the initial buckling behaviour, modified tube structures are subjected to impact loading using finite element (FE) numerical model of split-Hopkinson pressure bar (SHPB) apparatus. The FE analysis of tube deformation is carried out using ABAQUS/Explicit (R). Later on, aluminium foam is filled in hollow tube structures with cut-outs to enhance its energy absorption capacity. Various crashworthiness parameters such as load-deformation profile, peak crushing load, crush load reduction, energy absorption capacity, and energy efficiency are computed and discussed. Tube deformation behaviour is studied on the basis of force transfer rate through the tubes. Tubes with diamond cut-outs are found to be having least force transfer rate value. Foam-filled tubes with cut-outs have shown excellent performance in terms of energy absorption capacity and energy efficiency. Approximately 80% of energy efficiency is achieved in the foam-filled tubes with cut-outs, which is nearly 36.7% and 42.37% higher than the foam-filled tube and hollow tubes without cut-outs, respectively. Moreover, the positive effect of interaction ratio has been observed between the tube and foam material.</t>
  </si>
  <si>
    <t>[Bhutada, Shubham; Sonje, Saurabh; Goel, Manmohan Dass] Visvesvaraya Natl Inst Technol, Dept Appl Mech, Nagpur 440010, India</t>
  </si>
  <si>
    <t>National Institute of Technology (NIT System); Visvesvaraya National Institute of Technology, Nagpur</t>
  </si>
  <si>
    <t>Goel, MD (corresponding author), Visvesvaraya Natl Inst Technol, Dept Appl Mech, Nagpur 440010, India.</t>
  </si>
  <si>
    <t>mdgoel@apm.vnit.ac.in</t>
  </si>
  <si>
    <t>Goel, Manmohan Dass/A-8521-2015</t>
  </si>
  <si>
    <t>Goel, Manmohan Dass/0000-0001-5166-2547</t>
  </si>
  <si>
    <t>10.1007/s40430-023-04398-1</t>
  </si>
  <si>
    <t>Q0QG1</t>
  </si>
  <si>
    <t>WOS:001054640800001</t>
  </si>
  <si>
    <t>Bouabid, K; Echarghaoui, R; El Mansour, M</t>
  </si>
  <si>
    <t>Bouabid, Khalid; Echarghaoui, Rachid; El Mansour, Mohssine</t>
  </si>
  <si>
    <t>TWO DISJOINT AND INFINITE SETS OF SOLUTIONS FOR AN ELLIPTIC EQUATION INVOLVING CRITICAL HARDY-SOBOLEV EXPONENTS</t>
  </si>
  <si>
    <t>ACTA MATHEMATICA SCIENTIA</t>
  </si>
  <si>
    <t>Laplacien; critical Sobolev-Hardy exponent; critical Sobolev exponent; infinitely many solutions; Pohozaev identity</t>
  </si>
  <si>
    <t>In this paper, by an approximating argument, we obtain two disjoint and infinite sets of solutions for the following elliptic equation with critical Hardy-Sobolev exponents { -Delta u = mu|u|(2*- 2) u + |u|(2*(s)-2) u/x|(s) + a(x)|u|(q-2) u in Omega, u - 0 on partial derivative Omega, where Omega is a smooth bounded domain in R-N with 0 is an element of partial derivative Omega and all the principle curvatures of partial derivative Omega at 0 are negative, a is an element of C-1((Omega) over bar, R*(+)), mu &gt; 0, 0 &lt; s &lt; 2, 1 &lt; q &lt; 2 and N &gt; 2 q+1/q-1. By 2* := 2N/N-2 and 2*(s) := 2(N-s)/N-2 we denote the critical Sobolev exponent and Hardy-Sobolev exponent, respectively.</t>
  </si>
  <si>
    <t>[Bouabid, Khalid; Echarghaoui, Rachid; El Mansour, Mohssine] Ibn Tofail Univ, Fac Sci, Dept Math, BP 133, Kenitra, Morocco</t>
  </si>
  <si>
    <t>Ibn Tofail University of Kenitra</t>
  </si>
  <si>
    <t>Bouabid, K (corresponding author), Ibn Tofail Univ, Fac Sci, Dept Math, BP 133, Kenitra, Morocco.</t>
  </si>
  <si>
    <t>bouabid.khalid@uit.ac.ma; rachid.echarghaoui@uit.ac.ma; mohssine.elmansour@uit.ac.ma</t>
  </si>
  <si>
    <t>0252-9602</t>
  </si>
  <si>
    <t>1572-9087</t>
  </si>
  <si>
    <t>ACTA MATH SCI</t>
  </si>
  <si>
    <t>Acta Math. Sci.</t>
  </si>
  <si>
    <t>10.1007/s10473-023-0508-6</t>
  </si>
  <si>
    <t>M8BX9</t>
  </si>
  <si>
    <t>WOS:001032425300008</t>
  </si>
  <si>
    <t>Brancazio, N; Meyer, R</t>
  </si>
  <si>
    <t>Brancazio, Nick; Meyer, Russell</t>
  </si>
  <si>
    <t>Minimal model explanations of cognition</t>
  </si>
  <si>
    <t>EUROPEAN JOURNAL FOR PHILOSOPHY OF SCIENCE</t>
  </si>
  <si>
    <t>Active materials; Minimal cognition; Minimal models; Universality class; Cognitive processes</t>
  </si>
  <si>
    <t>SELF-ORGANIZATION; DYNAMICAL MODELS; AUTOPOIESIS; MEMORY; INTELLIGENCE; PERCEPTION; BEHAVIOR; AGENCY; GAME; IF</t>
  </si>
  <si>
    <t>Active materials are self-propelled non-living entities which, in some circumstances, exhibit a number of cognitively interesting behaviors such as gradient-following, avoiding obstacles, signaling and group coordination. This has led to scientific and philosophical discussion of whether this may make them useful as minimal models of cognition (Hanczyc, 2014; McGivern, 2019). Batterman and Rice (2014) have argued that what makes a minimal model explanatory is that the model is ultimately in the same universality class as the target system, which underpins why it exhibits the same macrobehavior. We appeal to recent research in basal cognition (Lyon et al., 2021) to establish appropriate target systems and essential features of cognition as a target of modeling. Looking at self-propelled oil droplets, a type of active material, we do not find that organization alone indicates that these systems exhibit the essential features of cognition. We then examine the specific behaviors of oil droplets but also fail to find that these demonstrate the essential features of cognition. Without a universality class, Batterman &amp; Rice's account of the explanatory power of minimal models simply does not apply to cognition. However, we also want to stress that it is not intended to; cognition is not the same type of behavioral phenomena as those found in physics. We then look to the minimal cognition methodology of Beer (1996, 2020a, b) to show how active materials can be explanatorily valuable regardless of their cognitive status because they engage in specific behaviors that have traditionally been expected to involve internal representational dynamics, revealing misconceptions about the cognitive underpinnings of certain, specific behaviors in target systems where such behaviors are cognitive. Further, Beer's models can also be genuinely explanatory by providing dynamical explanations.</t>
  </si>
  <si>
    <t>[Brancazio, Nick] Univ Adelaide, Adelaide, SA 5005, Australia; [Meyer, Russell] Chinese Acad Sci, Inst Philosophy CASIP, Beijing, Peoples R China</t>
  </si>
  <si>
    <t>University of Adelaide; Chinese Academy of Sciences</t>
  </si>
  <si>
    <t>Brancazio, N (corresponding author), Univ Adelaide, Adelaide, SA 5005, Australia.</t>
  </si>
  <si>
    <t>nick.brancazio@adelaide.edu.au; russell.meyer92@gmail.com</t>
  </si>
  <si>
    <t>Brancazio, Nick/0000-0002-7345-2337</t>
  </si>
  <si>
    <t>1879-4912</t>
  </si>
  <si>
    <t>1879-4920</t>
  </si>
  <si>
    <t>EUR J PHILOS SCI</t>
  </si>
  <si>
    <t>Eur. J. Philos. Sci.</t>
  </si>
  <si>
    <t>10.1007/s13194-023-00547-4</t>
  </si>
  <si>
    <t>History &amp; Philosophy Of Science</t>
  </si>
  <si>
    <t>History &amp; Philosophy of Science</t>
  </si>
  <si>
    <t>Q4ZD2</t>
  </si>
  <si>
    <t>WOS:001057609300001</t>
  </si>
  <si>
    <t>Briani, L; Bucur, D</t>
  </si>
  <si>
    <t>Briani, Luca; Bucur, Dorin</t>
  </si>
  <si>
    <t>Mean-to-max ratio of the torsion function and honeycomb structures</t>
  </si>
  <si>
    <t>CALCULUS OF VARIATIONS AND PARTIAL DIFFERENTIAL EQUATIONS</t>
  </si>
  <si>
    <t>49Q10; 49J45; 49R05; 35P15; 35J25; 35P99</t>
  </si>
  <si>
    <t>RIGIDITY</t>
  </si>
  <si>
    <t>In this paper we study extremal behaviors of the mean to max ratio of the p-torsion function with respect to the geometry of the domain. For p larger than the dimension of the space N, we prove that the upper bound is uniformly below 1, contrary to the case p E (1, N]. For p = +oo, in two dimensions, we prove that the upper bound is asymptotically attained by a disc from which is removed a network of points consisting on the vertices of a tiling of the plane with regular hexagons of vanishing size.</t>
  </si>
  <si>
    <t>[Briani, Luca] Tech Univ Munich, TUM Sch Computat Informat &amp; Technol, Boltzmannstr 3, D-85748 Garching, Germany; [Bucur, Dorin] Univ Savoie Mont Blanc, Lab Math UMR CNRS 5127, Campus Sci, F-73376 Le Bourget Du Lac, France</t>
  </si>
  <si>
    <t>Briani, L (corresponding author), Tech Univ Munich, TUM Sch Computat Informat &amp; Technol, Boltzmannstr 3, D-85748 Garching, Germany.</t>
  </si>
  <si>
    <t>luca.briani@tum.de; dorin.bucur@univ-savoie.fr</t>
  </si>
  <si>
    <t>0944-2669</t>
  </si>
  <si>
    <t>1432-0835</t>
  </si>
  <si>
    <t>CALC VAR PARTIAL DIF</t>
  </si>
  <si>
    <t>Calc. Var. Partial Differ. Equ.</t>
  </si>
  <si>
    <t>10.1007/s00526-023-02530-6</t>
  </si>
  <si>
    <t>N2UU0</t>
  </si>
  <si>
    <t>WOS:001035633400001</t>
  </si>
  <si>
    <t>Brossel, P</t>
  </si>
  <si>
    <t>Broessel, Peter</t>
  </si>
  <si>
    <t>Learning from experience and conditionalization</t>
  </si>
  <si>
    <t>Bayesian epistemology; Philosophy of perception; Experience; Conditionalization</t>
  </si>
  <si>
    <t>PROBABILITY KINEMATICS; IMAGINATION; PERCEPTION; HOLISM; BELIEF</t>
  </si>
  <si>
    <t>Bayesianism can be characterized as the following twofold position: (i) rational credences obey the probability calculus; (ii) rational learning, i.e., the updating of credences, is regulated by some form of conditionalization. While the formal aspect of various forms of conditionalization has been explored in detail, the philosophical application to learning from experience is still deeply problematic. Some philosophers have proposed to revise the epistemology of perception; others have provided new formal accounts of conditionalization that are more in line with how we learn from perceptual experience. The current investigation argues that Bayesian epistemology is still incomplete; the epistemology of perception and the epistemology of rational reasoning have not been reconciled.</t>
  </si>
  <si>
    <t>[Broessel, Peter] Ruhr Univ Bochum, Dept Philosophy 2, Bochum, Germany; [Broessel, Peter] Ruhr Univ Bochum, Ctr Mind &amp; Cognit, Bochum, Germany</t>
  </si>
  <si>
    <t>Ruhr University Bochum; Ruhr University Bochum</t>
  </si>
  <si>
    <t>Brossel, P (corresponding author), Ruhr Univ Bochum, Dept Philosophy 2, Bochum, Germany.;Brossel, P (corresponding author), Ruhr Univ Bochum, Ctr Mind &amp; Cognit, Bochum, Germany.</t>
  </si>
  <si>
    <t>peter.broessel@rub.de</t>
  </si>
  <si>
    <t>Brossel, Peter/0000-0003-1992-6826</t>
  </si>
  <si>
    <t>German Research Council (DFG) [BR 5210/1-1]; DFG Research Training Group [GRK 2185/1]</t>
  </si>
  <si>
    <t>German Research Council (DFG)(German Research Foundation (DFG)); DFG Research Training Group(German Research Foundation (DFG))</t>
  </si>
  <si>
    <t>I am thankful to Matteo De Benedetto, Anna-Maria Asunta Eder, Insa Lawler, Matias Osta-Velez, Thomas Raleigh, Corina Stroe beta ner, and Filippo Vindrola for helpful comments at various stages of the writing process. I am also thankful to the members of two workshops (Bochum Epistemology Seminar and the Bochum-Rutgers Workshop in Philosophy) at which I presented ideas of this paper. Especially the comments of Frances Egan, Branden Fitelson, Brian McLaughlin, and Richard Pettigrew had a great influence on the paper. Research on this paper has been generously supported by an Emmy Noether Grant from the German Research Council (DFG), reference number BR 5210/1-1 and the DFG Research Training Group Situated Cognition (GRK 2185/1).</t>
  </si>
  <si>
    <t>10.1007/s11098-023-01989-5</t>
  </si>
  <si>
    <t>Q2XS4</t>
  </si>
  <si>
    <t>WOS:001056202100013</t>
  </si>
  <si>
    <t>Chau, CF</t>
  </si>
  <si>
    <t>Chau, Chi Fai</t>
  </si>
  <si>
    <t>Morse Index of Free Boundary Disk in Pseudoconvex Domain</t>
  </si>
  <si>
    <t>MANIFOLDS</t>
  </si>
  <si>
    <t>In this paper, we study the Morse index for the 8(SIC)-energy of a non-holomorphic disk in a strictly pseudoconvex domain in C-n or in a K &amp; auml;hler manifold with non-negative bisectional curvature. We give a proof that a 8(SIC)-energy minimizing disk is holomorphic; in fact, more generally we show that a non-holomorphic critical disk for the 8-energy has Morse index at least n - 1. We also extend the result to domains which satisfy the weaker k-pseudoconvexity property for k = 2.</t>
  </si>
  <si>
    <t>[Chau, Chi Fai] UC Irvine, Irvine, CA 92697 USA</t>
  </si>
  <si>
    <t>University of California System; University of California Irvine</t>
  </si>
  <si>
    <t>Chau, CF (corresponding author), UC Irvine, Irvine, CA 92697 USA.</t>
  </si>
  <si>
    <t>chaucf@uci.edu</t>
  </si>
  <si>
    <t>Chau, Chi Fai/0000-0001-8411-5232</t>
  </si>
  <si>
    <t>10.1007/s12220-023-01329-3</t>
  </si>
  <si>
    <t>J8EA0</t>
  </si>
  <si>
    <t>WOS:001011887600001</t>
  </si>
  <si>
    <t>Chauhan, S; Yadav, U; Bano, N; Kumar, S; Fatima, T; Dubey, A; Singh, PC</t>
  </si>
  <si>
    <t>Chauhan, Soni; Yadav, Udit; Bano, Nasreen; Kumar, Sanjeev; Fatima, Touseef; Dubey, Amita; Singh, Poonam C.</t>
  </si>
  <si>
    <t>Carbendazim Modulates the Metabolically Active Bacterial Populations in Soil and Rhizosphere</t>
  </si>
  <si>
    <t>MICROBIAL COMMUNITIES; DEGRADATION; BIODEGRADATION; STRAINS</t>
  </si>
  <si>
    <t>The impact of fungicide residues on non-target soil bacterial communities is relatively unexplained. We hypothesize that the persistence of fungicide residues in the soil will affect the soil bacterial populations. Persistence depends on biotic and abiotic factors, primarily determined by agricultural activities. Activities such as fallow soil (F), farmyard manure (FYM) amendment, rice straw (RS) mulching, and cultivation of maize (Zea mays) and clover (Trifolium alexandrinum) were used as treatments. The soil CO2 efflux showed no effect of Carbendazim on dormant bacteria (unwatered condition). However, in irrigated condition, Carbendazim enhanced the CO2 efflux by 8, 164, 131, 249, and 182% in fallow, FYM, RS, maize, and Trifolium treatments, respectively. However, 16S rRNA metagenome study after 30 days of carbendazim treatment showed that maize rhizosphere microflora was most susceptible, decreasing the Shannon diversity index from 0.321 to 0.165. Diversity indices generally increased in maize and RS treatments, and Proteobacteria was the most prominent bacterial phyla in the maize rhizosphere. The microbial communities separated into distinct groups on the Principal Co-ordinate analysis (PCoA) plot. The separation on scale 1 (35%) and scale 2 (13%) was based, respectively, on microbial activity and carbendazim treatments. Functionally Maize+Carbendazim treatment showed the highest enzyme activities dehydrogenase (82.25%), acid phosphatase (78.10%), alkaline phosphatase (48.26%), beta-glucosidase (59.99%), protease (126.65%), and urease (50.66%) compared to fallow soil. Overall, Carbendazim enhanced non-target bacterial activity in metabolically active niches, while it did not affect the dormant microflora. Thus, organic amendments and cultivation of fungicide-contaminated soil may help render the contaminant through bacterial activity.</t>
  </si>
  <si>
    <t>[Chauhan, Soni; Yadav, Udit; Bano, Nasreen; Kumar, Sanjeev; Fatima, Touseef; Singh, Poonam C.] Natl Bot Res Inst, Microbial Technol Div, CSIR, Lucknow 226001, India; [Chauhan, Soni; Fatima, Touseef; Dubey, Amita] Integral Univ, Dept Biosci, Kursi Rd, Lucknow 226026, India</t>
  </si>
  <si>
    <t>Council of Scientific &amp; Industrial Research (CSIR) - India; CSIR - National Botanical Research Institute (NBRI); Integral University</t>
  </si>
  <si>
    <t>Singh, PC (corresponding author), Natl Bot Res Inst, Microbial Technol Div, CSIR, Lucknow 226001, India.</t>
  </si>
  <si>
    <t>pc.singh@nbri.res.in</t>
  </si>
  <si>
    <t>OLP project - CSIR, New Delhi</t>
  </si>
  <si>
    <t>We thank Director, CSIR-National Botanical Research Institute, Lucknow, India for providing all the necessary facilities. SK and UY acknowledge AcSIR and fellowship grant from UGC-CSIR. This research was supported by in-house &amp; nbsp;OLP project funded by CSIR, New Delhi. We thank the ethical committee, CSIR-NBRI, for evaluating the manuscript and providing MS No. CSIR-NBRI_MS/2023/02/04. Furthermore, we also thank Integral University for providing MCN no. IU/R &amp; D/2023-MCN0001916.</t>
  </si>
  <si>
    <t>10.1007/s00284-023-03391-0</t>
  </si>
  <si>
    <t>M4NJ1</t>
  </si>
  <si>
    <t>WOS:001029987400001</t>
  </si>
  <si>
    <t>Chen, T; Cao, HY; Wang, MY; Qi, M; Sun, YJ; Song, YB; Yang, Q; Meng, D; Lian, N</t>
  </si>
  <si>
    <t>Chen, Ting; Cao, Hongyan; Wang, Mengying; Qi, Meng; Sun, Yongjiang; Song, Yangbo; Yang, Qing; Meng, Dong; Lian, Na</t>
  </si>
  <si>
    <t>Integrated transcriptome and physiological analysis revealed core transcription factors that promote flavonoid biosynthesis in apricot in response to pathogenic fungal infection</t>
  </si>
  <si>
    <t>PLANTA</t>
  </si>
  <si>
    <t>Disease resistance; Fusarium solani; Prunus armeniaca; RNA-seq; Secondary metabolites</t>
  </si>
  <si>
    <t>PLANT-DISEASE; RESISTANCE; DEFENSE</t>
  </si>
  <si>
    <t>Main conclusionIntegrated transcriptome and physiological analysis of apricot leaves after Fusarium solani treatment. In addition, we identified core transcription factors and flavonoid-related synthase genes which may function in apricot disease resistance.Apricot (Prunus armeniaca) is an important economic fruit species, whose yield and quality of fruit are limited owing to its susceptibility to diseases. However, the molecular mechanisms underlying the response of P. armeniaca to diseases is still unknown. In this study, we used physiology and transcriptome analysis to characterize responses of P. armeniaca subjected to Fusarium solani. The results showed increasing malondialdehyde (MDA) content, enhanced peroxidase (POD) and catalase (CAT) activity during F. solani infestation. A large number of differentially expressed genes (DEGs), which included 4281 upregulated DEGs and 3305 downregulated DEGs, were detected in P. armeniaca leaves exposed to F. solani infestation. Changes in expression of transcription factors (TFs), including bHLH, AP2/ERF, and WRKY indicated their role in triggering pathogen-responsive genes in P. armeniaca. During the P. armeniaca response to F. solani infestation, the content of total flavonoid was changed, and we identified enzyme genes associated with flavonoid biosynthesis. Ectopic overexpression of PabHLH15 and PabHLH102 in Nicotiana benthamiana conferred elevated resistance to Fspa_1. Moreover, PabHLH15 and PabHLH102 positively interact with the promoter of flavonoid biosynthesis-related genes. A regulatory network of TFs regulating enzyme genes related to flavonoid synthesis affecting apricot disease resistance was constructed. These results reveal the potential underlying mechanisms of the F. solani response of P. armeniaca, which would help improve the disease resistance of P. armeniaca and may cultivate high-quality disease-resistant varieties in the future.</t>
  </si>
  <si>
    <t>[Chen, Ting; Cao, Hongyan; Wang, Mengying; Qi, Meng; Sun, Yongjiang; Yang, Qing; Meng, Dong; Lian, Na] Beijing Forestry Univ, Beijing 100083, Peoples R China; [Chen, Ting; Cao, Hongyan; Wang, Mengying; Qi, Meng; Yang, Qing; Meng, Dong] Natl Forestry &amp; Grassland Adm, Ecol Observat &amp; Res Stn, Heilongjiang Sanjiang Plain Wetlands, Shuangyashan 518000, Peoples R China; [Chen, Ting; Cao, Hongyan; Wang, Mengying; Qi, Meng; Yang, Qing; Meng, Dong] Beijing Forestry Univ, Key Lab Silviculture &amp; Conservat, Minist Educ, Beijing 100083, Peoples R China; [Song, Yangbo] Qinghai Univ, Coll Agr &amp; Anim Husb, Xining 810016, Peoples R China</t>
  </si>
  <si>
    <t>Beijing Forestry University; Beijing Forestry University; Qinghai University</t>
  </si>
  <si>
    <t>Lian, N (corresponding author), Beijing Forestry Univ, Beijing 100083, Peoples R China.</t>
  </si>
  <si>
    <t>chenting344@163.com; hongyan89945@163.com; wmy980102@163.com; qimqmm@163.com; sunyongjiang12@163.com; yangbosong792@163.com; yang.qing1020@163.com; mengdongjlf@163.com; lianna@bjfu.edu.cn</t>
  </si>
  <si>
    <t>Meng, Dong/0000-0002-4580-4673</t>
  </si>
  <si>
    <t>National Key Ramp;D Program of China [2019YFD1000605-1]; National Natural Science Foundation of China [32201519,31922058, 32171742, 32271831]; Beijing Natural Science Foundation [6232028, 6212023]</t>
  </si>
  <si>
    <t>National Key Ramp;D Program of China; National Natural Science Foundation of China(National Natural Science Foundation of China (NSFC)); Beijing Natural Science Foundation(Beijing Natural Science Foundation)</t>
  </si>
  <si>
    <t>AcknowledgementsThis research was funded by the National Key R &amp; D Program of China (2019YFD1000605-1), the National Natural Science Foundation of China (32201519,31922058, 32171742, 32271831), the Beijing Natural Science Foundation (6232028, 6212023).</t>
  </si>
  <si>
    <t>0032-0935</t>
  </si>
  <si>
    <t>1432-2048</t>
  </si>
  <si>
    <t>Planta</t>
  </si>
  <si>
    <t>10.1007/s00425-023-04197-x</t>
  </si>
  <si>
    <t>Plant Sciences</t>
  </si>
  <si>
    <t>O5TA2</t>
  </si>
  <si>
    <t>WOS:001044419800001</t>
  </si>
  <si>
    <t>Cheng, JH; Xia, XZ; Liu, ZQ; Wang, LL</t>
  </si>
  <si>
    <t>Cheng, Jiuhui; Xia, Xuanzhe; Liu, Zhiqiang; Wang, Linlin</t>
  </si>
  <si>
    <t>Phase Transition in Geomaterials Under Unsaturated Conditions</t>
  </si>
  <si>
    <t>ROCK MECHANICS AND ROCK ENGINEERING</t>
  </si>
  <si>
    <t>Phase transition; Nuclear magnetic resonance; Saturation; Water distribution; Kinetic rate coefficient; Sandstone</t>
  </si>
  <si>
    <t>UNFROZEN WATER-CONTENT; NMR; ICE; DIFFUSION; CRYSTALLIZATION; PRESSURE; HUMIDITY; KINETICS; POROSITY; PROBE</t>
  </si>
  <si>
    <t>The freezing and thawing processes in sandstones under unsaturated conditions are methodically explored via the low-field nuclear magnetic resonance (NMR) technique. To precisely monitor the water content and distribution during the freezing and thawing processes, a special Carr-Purcell-Meiboom-Gill (CPMG) pulse sequence is proposed, leading pulse-induced temperature perturbations to be minimized. The results exhibit totally dissimilar water distributions in the two processes even under the same saturation: the freezing process retains more water in large pores, while the thawing process contains less water in large pores. This observation is primarily attributed to the ink-bottle effect occurring during the freezing: large pores with narrow entrances do not freeze until the entrance freezes. In addition, phase transition duration depends on the initial water saturation, for instance, the duration of the thawing process increases from 7 to 12 min as the initial water saturation varies from 40% to 80%. Through NMR observation, this phenomenon is associated with the variation of surface-to-volume ratio: high saturation is associated with the presence of water in large pores; the latter owns a small surface-to-volume ratio and accordingly involves a longer phase transition duration. After the assessment of surface-to-volume ratio, the intrinsic kinetic rate coefficient is further estimated to be 4.6 x 10-12 mol cm-2 s-1 celcius-1 for the ice thawing process in the studied rock. This value is five orders of magnitude lower than that found in the literature for the thawing process in bulk condition, i.e., 7.5 x 10-7 mol cm-2 s-1 celcius-1. We suggest that the small intrinsic kinetic rate coefficient addressed in the present work could be related to the constrained effect in rocks. A special pulse sequence with minimized temperature perturbation is developed to perform the freezing/thawing experiment.The difference in water distribution is attributed to the effect of ink-bottle pores in the freezing and thawing processes.Phase transition time increases with initial water saturation, which is lucidly explained by the nuclear magnetic resonance measurement that directly gives rise to information about the surface-to-volume ratio.The intrinsic kinetic rate coefficient for ice melting within sandstones is estimated.</t>
  </si>
  <si>
    <t>[Cheng, Jiuhui; Xia, Xuanzhe; Liu, Zhiqiang; Wang, Linlin] China Univ Petr, State Key Lab Petr Resources &amp; Prospecting, Beijing, Peoples R China; [Cheng, Jiuhui; Xia, Xuanzhe; Wang, Linlin] China Univ Petr, Coll Safety &amp; Ocean Engn, Dept Offshore Oil &amp; Gas Engn, Beijing, Peoples R China</t>
  </si>
  <si>
    <t>China University of Petroleum; China University of Petroleum</t>
  </si>
  <si>
    <t>Wang, LL (corresponding author), China Univ Petr, State Key Lab Petr Resources &amp; Prospecting, Beijing, Peoples R China.;Wang, LL (corresponding author), China Univ Petr, Coll Safety &amp; Ocean Engn, Dept Offshore Oil &amp; Gas Engn, Beijing, Peoples R China.</t>
  </si>
  <si>
    <t>linlin.wang@cup.edu.cn</t>
  </si>
  <si>
    <t>The authors gratefully acknowledge the support of the National Natural Science Foundation of China (Grant No. U20B6005, 22127812 and 51809275). [22127812, 51809275]; National Natural Science Foundation of China; [U20B6005]</t>
  </si>
  <si>
    <t>The authors gratefully acknowledge the support of the National Natural Science Foundation of China (Grant No. U20B6005, 22127812 and 51809275).; National Natural Science Foundation of China(National Natural Science Foundation of China (NSFC));</t>
  </si>
  <si>
    <t>The authors gratefully acknowledge the support of the National Natural Science Foundation of China (Grant No. U20B6005, 22127812 and 51809275).</t>
  </si>
  <si>
    <t>0723-2632</t>
  </si>
  <si>
    <t>1434-453X</t>
  </si>
  <si>
    <t>ROCK MECH ROCK ENG</t>
  </si>
  <si>
    <t>Rock Mech. Rock Eng.</t>
  </si>
  <si>
    <t>10.1007/s00603-023-03514</t>
  </si>
  <si>
    <t>Engineering, Geological; Geosciences, Multidisciplinary</t>
  </si>
  <si>
    <t>Q3AX3</t>
  </si>
  <si>
    <t>WOS:001056285000001</t>
  </si>
  <si>
    <t>Chilingarov, NS; Knot'ko, AV; Borschevsky, AY; Sidorov, LN</t>
  </si>
  <si>
    <t>Chilingarov, N. S.; Knot'ko, A. V.; Borschevsky, A. Ya.; Sidorov, L. N.</t>
  </si>
  <si>
    <t>Fluorination Reaction Control by Surface Migration of Atomic Fluorine</t>
  </si>
  <si>
    <t>RUSSIAN JOURNAL OF PHYSICAL CHEMISTRY A</t>
  </si>
  <si>
    <t>atomic fluorine; surface diffusion; electron microscopy; Knudsen cell mass-spectrometry</t>
  </si>
  <si>
    <t>ARGON</t>
  </si>
  <si>
    <t>Fluorination with atomic fluorine seems to be a promising way to functionalize materials, since such processes occur in a wide temperature range with an activation barrier close to zero. Here we demonstrate the ability to control the fluorination of platinum with atomic fluorine using surface migration (diffusion) of adsorbed fluorine atoms (F-ads). A change in the concentration of fluorine atoms in the reaction zone is achieved by a change in the direction and magnitude of the diffusion flux of F-ads due to the formation of alternative reaction zones. The occurrence of diffusion fluxes is determined by the area of contact of surfaces with the main and alternative reaction zones, which provide conductivity for F-ads. The developed approach made it possible to experimentally establish the achievement of equilibrium in the reaction PtF4(g) + 2F(g) = PtF6(g) and measure the equilibrium constant.</t>
  </si>
  <si>
    <t>[Chilingarov, N. S.; Borschevsky, A. Ya.; Sidorov, L. N.] Lomonosov Moscow State Univ, Dept Chem, Moscow, Russia; [Knot'ko, A. V.] Lomonosov Moscow State Univ, Dept Mat Sci, Moscow, Russia</t>
  </si>
  <si>
    <t>Lomonosov Moscow State University; Lomonosov Moscow State University</t>
  </si>
  <si>
    <t>Borschevsky, AY (corresponding author), Lomonosov Moscow State Univ, Dept Chem, Moscow, Russia.</t>
  </si>
  <si>
    <t>andrey.borschevsky@gmail.com</t>
  </si>
  <si>
    <t>Russian Foundation for Basic Research [16-03-00678]</t>
  </si>
  <si>
    <t>Russian Foundation for Basic Research(Russian Foundation for Basic Research (RFBR)Spanish Government)</t>
  </si>
  <si>
    <t>This work was supported by the Russian Foundation for Basic Research (grant no. 16-03-00678).</t>
  </si>
  <si>
    <t>0036-0244</t>
  </si>
  <si>
    <t>1531-863X</t>
  </si>
  <si>
    <t>RUSS J PHYS CHEM A+</t>
  </si>
  <si>
    <t>Russ. J. Phys. Chem. A</t>
  </si>
  <si>
    <t>10.1134/S0036024423090030</t>
  </si>
  <si>
    <t>Chemistry, Physical</t>
  </si>
  <si>
    <t>Q8WB4</t>
  </si>
  <si>
    <t>WOS:001060257300020</t>
  </si>
  <si>
    <t>Cohen, M; Godron, M; Cretin-Pablo, R; Pujos, R</t>
  </si>
  <si>
    <t>Cohen, Marianne; Godron, Michel; Cretin-Pablo, Raphael; Pujos, Romain</t>
  </si>
  <si>
    <t>Plant biodiversity in Mediterranean orchards is related to historical land use: perspectives for biodiversity-friendly olive production (vol 23, 70, 2023)</t>
  </si>
  <si>
    <t>REGIONAL ENVIRONMENTAL CHANGE</t>
  </si>
  <si>
    <t>[Cohen, Marianne] Sorbonne Univ, Lab Mediat, Paris, France; [Godron, Michel] UMR Ladyss, Paris, France; [Cretin-Pablo, Raphael; Pujos, Romain] Sorbonne Univ, UFR Geog &amp; Amenagement, Paris, France</t>
  </si>
  <si>
    <t>UDICE-French Research Universities; Sorbonne Universite; UDICE-French Research Universities; Universite Paris Cite; UDICE-French Research Universities; Sorbonne Universite</t>
  </si>
  <si>
    <t>Cohen, M (corresponding author), Sorbonne Univ, Lab Mediat, Paris, France.</t>
  </si>
  <si>
    <t>marianne.cohen@sorbonne-universite.fr; migodron@wanadoo.fr; raphael.cretinpablo@gmail.com; romainpujos@gmail.com</t>
  </si>
  <si>
    <t>1436-3798</t>
  </si>
  <si>
    <t>1436-378X</t>
  </si>
  <si>
    <t>REG ENVIRON CHANGE</t>
  </si>
  <si>
    <t>Reg. Envir. Chang.</t>
  </si>
  <si>
    <t>10.1007/s10113-023-02088-1</t>
  </si>
  <si>
    <t>Environmental Sciences; Environmental Studies</t>
  </si>
  <si>
    <t>L0ZN0</t>
  </si>
  <si>
    <t>WOS:001020624400003</t>
  </si>
  <si>
    <t>Cui, PY; Yang, RW</t>
  </si>
  <si>
    <t>Cui, Puyu; Yang, Rongwei</t>
  </si>
  <si>
    <t>A Note on Joint Spectrum in Function Spaces</t>
  </si>
  <si>
    <t>COMPLEX ANALYSIS AND OPERATOR THEORY</t>
  </si>
  <si>
    <t>Toeplitz operator; Shift operator; Projective spectrum</t>
  </si>
  <si>
    <t>TOEPLITZ-OPERATORS; PROJECTIVE SPECTRUM</t>
  </si>
  <si>
    <t>Given several bounded linear operators A(1), ..., A(n) on a Hilbert space, their projective spectrum is the set of complex vectors z = (z(1), ..., z(n)) such that the multiparameter pencil A(z) = z(1) A(1) + . . . +z(n)A(n) is not invertible. This paper studies the projective spectrum of the shift operator T, its adjoint T-* and a projection operator P. Two spaces of concern are the classical Bergman space L-a(2)(D) and the L-2 space over the torus T-2. The projective spectra are completely determined in both cases. The results lead to new questions about Toeplitz operators.</t>
  </si>
  <si>
    <t>[Cui, Puyu] Liaoning Normal Univ, Inst Math, Dalian 116029, Peoples R China; [Yang, Rongwei] SUNY Albany, Deparetment Math &amp; Stat, Albany, NY 12222 USA</t>
  </si>
  <si>
    <t>Liaoning Normal University; State University of New York (SUNY) System; State University of New York (SUNY) Albany</t>
  </si>
  <si>
    <t>Yang, RW (corresponding author), SUNY Albany, Deparetment Math &amp; Stat, Albany, NY 12222 USA.</t>
  </si>
  <si>
    <t>cuipuyu1234@163.com; ryang@albany.edu</t>
  </si>
  <si>
    <t>China Scholarship Council [201908210167]; NNSF of China [11501277]</t>
  </si>
  <si>
    <t>China Scholarship Council(China Scholarship Council); NNSF of China(National Natural Science Foundation of China (NSFC))</t>
  </si>
  <si>
    <t>The first-named author is supported by China Scholarship Council (201908210167). This research is supported by NNSF of China (11501277)</t>
  </si>
  <si>
    <t>1661-8254</t>
  </si>
  <si>
    <t>1661-8262</t>
  </si>
  <si>
    <t>COMPLEX ANAL OPER TH</t>
  </si>
  <si>
    <t>Complex Anal. Oper. Theory</t>
  </si>
  <si>
    <t>10.1007/s11785-023-01383-3</t>
  </si>
  <si>
    <t>M8DD4</t>
  </si>
  <si>
    <t>WOS:001032457200001</t>
  </si>
  <si>
    <t>Dal Canto, E; van Deursen, L; Hoek, AG; Elders, PJM; den Ruijter, HM; van der Velden, J; van Empel, V; Serne, EH; Eringa, EC; Beulens, JWJ</t>
  </si>
  <si>
    <t>Dal Canto, Elisa; van Deursen, L.; Hoek, A. G.; Elders, P. J. M.; den Ruijter, H. M.; van der Velden, J.; van Empel, V.; Serne, E. H.; Eringa, E. C.; Beulens, J. W. J.</t>
  </si>
  <si>
    <t>Microvascular endothelial dysfunction in skin is associated with higher risk of heart failure with preserved ejection fraction in women with type 2 diabetes: the Hoorn Diabetes Care System Cohort</t>
  </si>
  <si>
    <t>Type 2 diabetes; Microvascular function; Diastolic dysfunction; Heart failure with preserved ejection fraction; Sex differences; Cardiovascular prevention</t>
  </si>
  <si>
    <t>SUBSTRATE METABOLISM; EUROPEAN ASSOCIATION; INSULIN-RESISTANCE; AMERICAN SOCIETY; SEX-DIFFERENCES; ECHOCARDIOGRAPHY; PATHOPHYSIOLOGY; RECOMMENDATIONS; PARADIGM; OBESITY</t>
  </si>
  <si>
    <t>BackgroundMicrovascular dysfunction plays a crucial role in complications of type 2 diabetes and might contribute to heart failure with preserved ejection fraction (HFpEF), a disease that disproportionally affects women. We aimed to investigate if presence and degree of microvascular dysfunction (MVD) in skin relates to markers of left ventricular diastolic dysfunction (LVDD) and HFpEF risk in adults with type 2 diabetes, and whether sex modifies this association.MethodsWe recruited 154 participants (50% women) from the Hoorn Diabetes Care System Cohort, a prospective cohort study, for in vivo evaluation of skin MVD, echocardiography and blood sampling. MVD was assessed by laser speckle contrast analysis combined with iontophoresis of insulin, acetylcholine and sodium nitroprusside (SNP). We performed a cross-sectional analysis of the association between perfusion responses and echocardiographic and clinical markers of LVDD and the H2FPEF score by multivariable linear regression analysis adjusted for confounders. Sex was evaluated as a potential effect modifier and the analysis was stratified.ResultsMean age was 67 &amp; PLUSMN; 6y, mean HbA1c 7.6 &amp; PLUSMN; 1.3%. Women were more frequently obese (54.5 vs. 35.1%), had higher NT-proBNP plasma levels (80, IQR:34-165 vs. 46, 27-117 pg/ml) and E/E'(13.3 &amp; PLUSMN; 4.3 vs. 11.4 &amp; PLUSMN; 3.0) than men. Eleven women and three men were diagnosed with HFpEF, and showed lower perfusion response to insulin than those without HFpEF. A lower perfusion response to insulin and acetylcholine was associated with higher HFpEF risk in women, but not men (10% decreased perfusion response was associated with 5.8% [95%CI: 2.3;9.4%] and 5.9% [1.7;10.1%] increase of the H2FPEF score, respectively). A lower perfusion response to SNP was associated with higher pulmonary arterial systolic pressure in men while a lower perfusion response to acetylcholine associated with higher LV mass index in women and with worse LV longitudinal strain in the total population. No significant associations were found between perfusion responses and conventional LVDD markers.ConclusionsImpaired microvascular responses to insulin and acetylcholine in skin confers a higher risk of HFpEF in women with type 2 diabetes. In vivo measures of systemic MVD could represent novel risk markers for HFpEF, opening new avenues for the prevention of HFpEF in type 2 diabetes.</t>
  </si>
  <si>
    <t>[Dal Canto, Elisa; den Ruijter, H. M.] UMC Utrecht, Dept Expt Cardiol, Div Heart &amp; Lungs, Room 03 03 Postbus 85500, NL-3508 GA Utrecht, Netherlands; [Dal Canto, Elisa] Univ Med Ctr Utrecht, Julius Ctr Hlth Sci &amp; Primary Care, Dept Gen Practice &amp; Epidemiol, Utrecht, Netherlands; [van Deursen, L.; Hoek, A. G.; Elders, P. J. M.; Beulens, J. W. J.] Locat Vrije Univ, Amsterdam Univ, Med Ctr, Dept Epidemiol &amp; Data Sci, Amsterdam, Netherlands; [Hoek, A. G.; Elders, P. J. M.; van der Velden, J.; Eringa, E. C.; Beulens, J. W. J.] Amsterdam Cardiovasc Sci, Amsterdam, Netherlands; [Elders, P. J. M.] Univ Amsterdam, Med Ctr, Dept Gen Practice &amp; Elderl Care Med, Amsterdam, Netherlands; [van der Velden, J.; Eringa, E. C.] Univ Amsterdam, Dept Physiol, Med Ctr, Amsterdam, Netherlands; [van Empel, V.; Eringa, E. C.] Maastricht Univ, Med Ctr, CARIM Sch Cardiovasc Dis, Dept Cardiol, Maastricht, Netherlands; [Serne, E. H.] Locat Vrije Univ, Amsterdam Univ, Med Ctr, Dept Vasc Med, Amsterdam, Netherlands; [Serne, E. H.] Locat Vrije Univ, Amsterdam Univ, Diabet Ctr, Med Ctr, Amsterdam, Netherlands; [Beulens, J. W. J.] CARIM Sch Cardiovasc Dis, Dept Physiol, Maastricht, Netherlands; [Beulens, J. W. J.] Univ Med Ctr Utrecht, Julius Ctr Hlth Sci &amp; Primary Care, Utrecht, Netherlands; [Beulens, J. W. J.] Amsterdam Publ Hlth, Amsterdam, Netherlands</t>
  </si>
  <si>
    <t>Utrecht University; Utrecht University Medical Center; Utrecht University; Utrecht University Medical Center; Vrije Universiteit Amsterdam; University of Amsterdam; University of Amsterdam; University of Amsterdam; Maastricht University; University of Amsterdam; Vrije Universiteit Amsterdam; University of Amsterdam; Vrije Universiteit Amsterdam; Maastricht University; Utrecht University; Utrecht University Medical Center</t>
  </si>
  <si>
    <t>Eringa, EC (corresponding author), Amsterdam Cardiovasc Sci, Amsterdam, Netherlands.;Eringa, EC (corresponding author), Univ Amsterdam, Dept Physiol, Med Ctr, Amsterdam, Netherlands.;Eringa, EC (corresponding author), Maastricht Univ, Med Ctr, CARIM Sch Cardiovasc Dis, Dept Cardiol, Maastricht, Netherlands.</t>
  </si>
  <si>
    <t>e.eringa@amsterdamumc.nl</t>
  </si>
  <si>
    <t>Authors' information (optional): not applicable.</t>
  </si>
  <si>
    <t>The authors thank the other investigators, the staff, and the participants of the Hoorn Diabetes Care System Cohort for their valuable contributions.r Authors' information (optional): not applicable.</t>
  </si>
  <si>
    <t>10.1186/s12933-023-01935-z</t>
  </si>
  <si>
    <t>Q3EI5</t>
  </si>
  <si>
    <t>WOS:001056374400001</t>
  </si>
  <si>
    <t>Davis, SD; Chan, JCK</t>
  </si>
  <si>
    <t>Davis, Sara D.; Chan, Jason C. K.</t>
  </si>
  <si>
    <t>Effortful Tests and Repeated Metacognitive Judgments Enhance Future Learning</t>
  </si>
  <si>
    <t>EDUCATIONAL PSYCHOLOGY REVIEW</t>
  </si>
  <si>
    <t>Testing effect; Forward testing effect; Retrieval; Metacognition; JOL Reactivity</t>
  </si>
  <si>
    <t>MULTIPLE-CHOICE TESTS; RETRIEVAL PRACTICE; STRATEGY CHANGE; MEMORY; RETENTION; OVERCONFIDENCE; FACILITATE; EFFICACY; IMPROVES; BUILDUP</t>
  </si>
  <si>
    <t>Prior testing can facilitate subsequent learning, a phenomenon termed the forward testing effect (FTE). We examined a metacognitive account of this effect, which proposes that the FTE occurs because retrieval leads to strategy optimizations during later learning. One prediction of this account is that tests that require less retrieval effort (e.g., multiple-choice relative to cued-recall) should lead to a smaller benefit on new learning. We examined the impact of interpolated multiple-choice or cued-recall testing (relative to no prior testing) on new learning of a four-section STEM text passage. The effect sizes associated with the FTE were numerically, though not significantly larger when the prior tests were cued-recall than multiple-choice, but only when interpolated judgments of learning were not queried. Further, when multiple-choice tests were made more difficult through lure similarity, the FTE was similarly increased. Finally, the FTE was eliminated entirely when participants provided four JOLs after reading each text section. We believe this elimination of the FTE stemmed from an increase in performance for the control participants induced by reactivity from repeated metacognitive queries requiring deep metacognitive reflection. Taken together, these experiments support a metacognitive account of FTE and have important implications for how educators and students should employ retrieval practice and leverage the benefits of metacognitive reflection to improve new learning.</t>
  </si>
  <si>
    <t>[Davis, Sara D.] Univ North Florida, Dept Psychol, Bldg 51,Room 3404, Jacksonville, FL 32224 USA; [Chan, Jason C. K.] Iowa State Univ, Ames, IA USA</t>
  </si>
  <si>
    <t>State University System of Florida; University of North Florida; Iowa State University</t>
  </si>
  <si>
    <t>Davis, SD (corresponding author), Univ North Florida, Dept Psychol, Bldg 51,Room 3404, Jacksonville, FL 32224 USA.</t>
  </si>
  <si>
    <t>sara.davis@unf.edu</t>
  </si>
  <si>
    <t>1040-726X</t>
  </si>
  <si>
    <t>1573-336X</t>
  </si>
  <si>
    <t>EDUC PSYCHOL REV</t>
  </si>
  <si>
    <t>Educ. Psychol. Rev.</t>
  </si>
  <si>
    <t>10.1007/s10648-023-09803-8</t>
  </si>
  <si>
    <t>P7PY0</t>
  </si>
  <si>
    <t>WOS:001052568100001</t>
  </si>
  <si>
    <t>Dayalan, P; Mahanwar, PA</t>
  </si>
  <si>
    <t>Dayalan, Praveenan; Mahanwar, Prakash A.</t>
  </si>
  <si>
    <t>Effect of nano silica on mechanical and water absorption properties of basalt/polyester hybrid composite with glass/hemp</t>
  </si>
  <si>
    <t>Polymer-Matrix Composites; Basalt Fibre; Hybrid Nanocomposites; Hemp fibres; Mechanical Properties</t>
  </si>
  <si>
    <t>FIBER CONTENT; BASALT; BIOCOMPOSITES; SURFACE; HEMP</t>
  </si>
  <si>
    <t>In this paper, Unsaturated Polyester Resin (UPR) composites with an optimum weight percentage of Basalt fibre(BF), Glass Fibre (GF), Hemp fibre (HF) and hybridization of Basalt with Glass (BG) and with Hemp (BH) and with a varying weight percentage of Nano Silica (0,1,2,3,4,5) were developed using VARI technique. The effects of different fibres, hybridization and percentage of Nano Silica in Mechanical Properties (Tensile, Flexural, Izod Impact and Hardness) and Water absorption characteristics of composites were investigated and discussed. The maximum tensile strength and Tensile Modulus were found for UPR + BF + 2% Nano Silica (316.5 MPa &amp; 11.29 GPa, respectively). The hybrid composites showed intermediate results between the neat fibres composites. It was found that all the mechanical properties were enhanced till 2% Nano Silica loading, and after that, the values started declining. Water absorption behavior was studied till the water uptake percentage attained a constant value, and it was found that equilibrium water uptake decreased till 3% of Nano Silica loading. The fractured surface of the composites was studied for fibre pull out, fibre breakage, interface and uniformity using Scanning Electron Microscopy (SEM).</t>
  </si>
  <si>
    <t>[Dayalan, Praveenan; Mahanwar, Prakash A.] Inst Chem Technol, Dept Polymer &amp; Surface Engn, Mumbai 400019, Maharashtra, India</t>
  </si>
  <si>
    <t>Institute of Chemical Technology - Mumbai</t>
  </si>
  <si>
    <t>Dayalan, P (corresponding author), Inst Chem Technol, Dept Polymer &amp; Surface Engn, Mumbai 400019, Maharashtra, India.</t>
  </si>
  <si>
    <t>pol20p.d@pg.ictmumbai.edu.in</t>
  </si>
  <si>
    <t>10.1007/s10965-023-03729-z</t>
  </si>
  <si>
    <t>O3WM1</t>
  </si>
  <si>
    <t>WOS:001043153200001</t>
  </si>
  <si>
    <t>Devi, JSU; Rao, HPS; Balamurugan, TD; Owaise, JM</t>
  </si>
  <si>
    <t>Devi, J. Sakthi Usha; Rao, H. Prasanna Srinivasa; Balamurugan, T. D.; Owaise, J. Muhammed</t>
  </si>
  <si>
    <t>Functional Outcomes of Carcinoma Lip-A Prospective Analysis in a Series of Patients by the Use of FIGS and FLIGS Scoring</t>
  </si>
  <si>
    <t>INDIAN JOURNAL OF SURGERY</t>
  </si>
  <si>
    <t>Lip; Carcinoma; Reconstruction; Flap; Scoring</t>
  </si>
  <si>
    <t>SQUAMOUS-CELL CARCINOMA; INTRAORAL GLASGOW SCALE; LYMPH-NODE METASTASES; PROGNOSTIC-FACTORS; SURGICAL-TREATMENT; DEFECTS; CANCER; RECONSTRUCTION; EPIDEMIOLOGY; MANAGEMENT</t>
  </si>
  <si>
    <t>Oral competence is an important functional component of all patients affected with oral cavity malignancy who are undergoing different treatment modalities. Our primary objectives were to assess and compare the functional outcomes of patients with carcinoma lip undergoing various therapeutic interventions at our institution on the basis of FIGS (Functional Intra Oral Glasgow Scale) and FLiGS (Functional Lip Glasgow Scale) scoring systems. Between January 2021 and April 2022, 23 patients who were histologically confirmed with carcinoma lip were included in our analysis on accrual and were followed up post treatment. A questionnaire was given to the patients translated into their native language, and the responses were analyzed based on the FIGS (Functional Intra Oral Glasgow Score) and FLiGS (Functional Lip Glasgow Scale). Total number of patients that underwent surgical intervention were 78.3% (n-18), and the patients who underwent concurrent chemo-radiotherapy were 21.7% (n-5). Based on the average FIGS and FLIGS scoring and on the responses given by the patients, primary closure and local flap reconstruction scored relatively better (FIGS 15/FLIGS 25) than other forms of reconstruction techniques. Patients undergoing forehead flap reconstruction had responded to have a poorer functional outcome (FIGS 12/FLIGS 22]. Patients undergoing concurrent chemo-radiotherapy also had poor functional outcomes due to post radiotherapy sequelae as per the scoring system. Oncological outcomes in oral cavity malignancies need to emphasize on the functional component of these patients. FIGS (Functional Intraoral Glasgow Scale) and FLiGS (Functional Lip Glasgow Scale) scoring systems are a simple tool that can assess the functional outcomes after various definitive therapeutic interventions for patients with carcinoma lip.</t>
  </si>
  <si>
    <t>[Devi, J. Sakthi Usha; Rao, H. Prasanna Srinivasa; Balamurugan, T. D.; Owaise, J. Muhammed] Govt Arignar Anna Mem Canc Hosp &amp; Res Inst, Dept Surg Oncol, Kanchipuram 631552, Tamilnadu, India</t>
  </si>
  <si>
    <t>Devi, JSU (corresponding author), Govt Arignar Anna Mem Canc Hosp &amp; Res Inst, Dept Surg Oncol, Kanchipuram 631552, Tamilnadu, India.</t>
  </si>
  <si>
    <t>sakthiushadevi@gmail.com</t>
  </si>
  <si>
    <t>0972-2068</t>
  </si>
  <si>
    <t>0973-9793</t>
  </si>
  <si>
    <t>INDIAN J SURG</t>
  </si>
  <si>
    <t>Indian J. Surg</t>
  </si>
  <si>
    <t>10.1007/s12262-023-03914</t>
  </si>
  <si>
    <t>Q4AD1</t>
  </si>
  <si>
    <t>WOS:001056951200001</t>
  </si>
  <si>
    <t>Ding, J; Heittokangas, J; Wen, ZT</t>
  </si>
  <si>
    <t>Ding, Jie; Heittokangas, Janne; Wen, Zhi-Tao</t>
  </si>
  <si>
    <t>A Continuous Transition from e-Sets to R-sets and Beyond</t>
  </si>
  <si>
    <t>e-Set; Logarithmic derivative; Logarithmic difference; Non-tangential limit; R-set; Stolz angle; Tangential limit</t>
  </si>
  <si>
    <t>EQUATIONS; THEOREM</t>
  </si>
  <si>
    <t>The well-known E-set introduced by Hayman in 1960 is a countable collection of Euclidean discs in the complex plane, whose subtending angles at the origin have a finite sum. An important special case of an E-set is known as the R-set, for which the sum of the diameters of the discs is finite. These sets appear in numerous papers in the theories of complex differential and functional equations. A given e-set (hence an R-set) has the property that the set of angles 0 for which the ray arg(z) = 0 meets infinitely many discs in the e-set has linear measure zero. This paper offers a continuous transition from e-sets to R-sets and then to much thinner sets. In addition to rays, plane curves that originate from the zero distribution theory of exponential polynomials will be considered. It turns out that almost every such curve meets at most finitely many discs in the collection in question. Analogous discussions are provided in the case of the unit disc D, where the curves tend to the boundary ?D tangentially or non-tangentially. Finally, these findings will be used for improving wellknown estimates for logarithmic derivatives, logarithmic differences and logarithmic q-differences of meromorphic functions, as well as for improving standard results on exceptional sets.</t>
  </si>
  <si>
    <t>[Ding, Jie; Heittokangas, Janne; Wen, Zhi-Tao] Taiyuan Univ Technol, Dept Math, Yingze West St 79, Taiyuan 030024, Peoples R China; [Heittokangas, Janne] Univ Eastern Finland, Dept Phys &amp; Math, POB 111, Joensuu 80101, Finland; [Wen, Zhi-Tao] Shantou Univ, Dept Math, Daxue Rd 243, Shantou 515063, Peoples R China</t>
  </si>
  <si>
    <t>Taiyuan University of Technology; University of Eastern Finland; Shantou University</t>
  </si>
  <si>
    <t>Heittokangas, J (corresponding author), Taiyuan Univ Technol, Dept Math, Yingze West St 79, Taiyuan 030024, Peoples R China.;Heittokangas, J (corresponding author), Univ Eastern Finland, Dept Phys &amp; Math, POB 111, Joensuu 80101, Finland.</t>
  </si>
  <si>
    <t>dingjie@tyut.edu.cn; janne.heittokangas@uef.fi; zhtwen@stu.edu</t>
  </si>
  <si>
    <t>University of Eastern Finland (UEF); Kuopio University Hospital</t>
  </si>
  <si>
    <t>Open access funding provided by University of Eastern Finland (UEF) including Kuopio University Hospital.</t>
  </si>
  <si>
    <t>10.1007/s12220-023-01336-4</t>
  </si>
  <si>
    <t>J9EV8</t>
  </si>
  <si>
    <t>WOS:001012593500001</t>
  </si>
  <si>
    <t>Dolganov, AV; Klimaeva, LA; Kostryukov, SG; Chugunov, DB; Yudina, AD; Kozlov, AS; Zagorodnova, AS; Tankova, AV; Zhirnova, VO; Tarasova, OV; Knyazev, AV</t>
  </si>
  <si>
    <t>Dolganov, A. V.; Klimaeva, L. A.; Kostryukov, S. G.; Chugunov, D. B.; Yudina, A. D.; Kozlov, A. Sh.; Zagorodnova, A. S.; Tankova, A. V.; Zhirnova, V. O.; Tarasova, O. V.; Knyazev, A. V.</t>
  </si>
  <si>
    <t>1,3-Dimethyl-2-phenyl-1?-benzo[d]imidazolium Iodide-A Representative of a New Class in the Family of Metal-Free Organic Catalysts: Electrochemical Properties and Electrocatalytic Activity in the Reaction of Formation of Molecular Hydrogen</t>
  </si>
  <si>
    <t>molecular hydrogen; metal-free catalysts; benzimidazole</t>
  </si>
  <si>
    <t>EVOLUTION REACTION; FABRICATION; ACRIDINIUM; SALTS</t>
  </si>
  <si>
    <t>The electrochemical properties and electrocatalytic activity of 1,3-dimethyl-2-phenyl-1H-benzo[d]imidazolium-3 iodide (I), a representative of a new class of organic metal-free electrocatalysts, in the reaction of formation of molecular hydrogen, in the presence of acids of various strengths (methanesulfonic acid (CH3SO3H), perchloric acid (HClO4), and trifluoroacetic acid (CF3COOH)) have been studied. It is shown that the efficiency of the electrocatalytic process strongly depends on pKa of the acids used. Using gas chromatography and preparative electrolysis at half-wave potentials, it was shown that molecular hydrogen formed with high Faraday yields in all cases. The behavior of the catalytic wave on the cyclic voltammogram (CV), at various ratios of acid and catalyst concentrations in the presence of all acids is typical for the process proceeding according to a homogeneous mechanism. The mechanism of the process was studied by the density functional method (DFT), and its main intermediates were identified. The protonation of electrochemically generated radicals at the C-2 carbon atom of compound I, with the formation of a C-protonated radical cation, was shown to be the key stage of the electrocatalytic hydrogen evolution reaction (HER).</t>
  </si>
  <si>
    <t>[Dolganov, A. V.; Klimaeva, L. A.; Kostryukov, S. G.; Chugunov, D. B.; Yudina, A. D.; Kozlov, A. Sh.; Zagorodnova, A. S.; Tankova, A. V.; Zhirnova, V. O.; Tarasova, O. V.] Ogarev Natl Res Mordovia State Univ, Saransk, Russia; [Knyazev, A. V.] Lobachevsky State Univ Nizhny Novgorod, Nizhnii Novgorod 430005, Russia</t>
  </si>
  <si>
    <t>Mordovian State University; Lobachevsky State University of Nizhni Novgorod</t>
  </si>
  <si>
    <t>Dolganov, AV (corresponding author), Ogarev Natl Res Mordovia State Univ, Saransk, Russia.</t>
  </si>
  <si>
    <t>dolganov_sasha@mail.ru</t>
  </si>
  <si>
    <t>Ministry of Science and Higher Education of the Russian Federation under the government contract at the~Mordovia State University [121111000064-5]</t>
  </si>
  <si>
    <t>Ministry of Science and Higher Education of the Russian Federation under the government contract at the~Mordovia State University</t>
  </si>
  <si>
    <t>This study was supported by the Ministry of Science and Higher Education of the Russian Federation (topic no. 121111000064-5) under the government contract at the &amp; nbsp;Mordovia State University (creation of new laboratories for young researchers).</t>
  </si>
  <si>
    <t>10.1134/S0036024423090042</t>
  </si>
  <si>
    <t>WOS:001060257300022</t>
  </si>
  <si>
    <t>Dong, Y; Ding, YS; Rui, ZY; Hui, WB; Lian, FM</t>
  </si>
  <si>
    <t>Dong, Yun; Ding, Yusong; Rui, Zhiyuan; Hui, Weibin; Lian, Fangming</t>
  </si>
  <si>
    <t>Unexpected Nonmonotonic Dependence of Phononic Friction on Biaxial Strain Between MoS2 Layers</t>
  </si>
  <si>
    <t>Molybdenum disulfide; Biaxial strain; Energy dissipation; Friction resonance</t>
  </si>
  <si>
    <t>GLOBAL ENERGY-CONSUMPTION; THERMAL-CONDUCTIVITY; GRAPHENE; WEAR; COMMENSURATE; NANOSHEETS; MONOLAYER; TRIBOLOGY; MECHANISM; DYNAMICS</t>
  </si>
  <si>
    <t>It is generally recognized that the lattice mismatch at contact interface due to applied strain will lead to a decrease in friction; however, two aberrant phenomena of friction between strain-controlled molybdenum disulfide (MoS2) layers have been disclosed in the present work. One is that greater energy dissipation appears in the state of slight deviation from the strain-free contact, which is independent of temperature. The reason is that the lattice constant of the tip and substrate enlarges synchronously under slight strain to substrate; thus, the interfacial lattice structure does not mismatch, leading to greater friction. The other phenomenon is that the opposite effects of temperature on friction with different strain ranges are generated, and this is the result of competition between thermal lubrication and thermal collision of the interfacial atoms. Subsequently, the reason for the friction peak changing with velocity under different strains is revealed using the fast Fourier transform (FFT) of the instantaneous friction. It is indicated that the friction peak is caused by resonance, and the amplitude of FFT spectrum at the resonance peak reaches the maximum, resulting in greater energy dissipation.</t>
  </si>
  <si>
    <t>[Dong, Yun; Ding, Yusong; Rui, Zhiyuan; Hui, Weibin; Lian, Fangming] Lanzhou Univ Technol, Sch Mech &amp; Elect Engn, Lanzhou 730050, Peoples R China; [Dong, Yun] Gansu Acad Sci, Inst Nanomat Applicat Technol, Lanzhou 730000, Peoples R China</t>
  </si>
  <si>
    <t>Lanzhou University of Technology; Gansu Academy of Sciences</t>
  </si>
  <si>
    <t>Dong, Y (corresponding author), Lanzhou Univ Technol, Sch Mech &amp; Elect Engn, Lanzhou 730050, Peoples R China.;Dong, Y (corresponding author), Gansu Acad Sci, Inst Nanomat Applicat Technol, Lanzhou 730000, Peoples R China.</t>
  </si>
  <si>
    <t>gxumedy418@163.com</t>
  </si>
  <si>
    <t>National Natural Science Foundation of China [52065037]; Distinguished Youth Foundation of Gansu Province [22JR5RA224]; China Postdoctoral Science Foundation [2021MD703810]; Gansu Postdoctoral Science Foundation [2022GSPD418]; Postdoctoral Science Foundation of Gansu Academy of Sciences [BSH202101]; Doctoral Foundation of Lanzhou University of Technology [062101]; Higher Education Research Project of Lanzhou University of Technology [GJ2022B19]; Educational Unveiling Leadership Project of Gansu Province of China; [2021jyjbgs01]</t>
  </si>
  <si>
    <t>National Natural Science Foundation of China(National Natural Science Foundation of China (NSFC)); Distinguished Youth Foundation of Gansu Province; China Postdoctoral Science Foundation(China Postdoctoral Science Foundation); Gansu Postdoctoral Science Foundation; Postdoctoral Science Foundation of Gansu Academy of Sciences; Doctoral Foundation of Lanzhou University of Technology; Higher Education Research Project of Lanzhou University of Technology; Educational Unveiling Leadership Project of Gansu Province of China;</t>
  </si>
  <si>
    <t>We are grateful to the National Natural Science Foundation of China (52065037), Distinguished Youth Foundation of Gansu Province (22JR5RA224), China Postdoctoral Science Foundation (2021MD703810), Gansu Postdoctoral Science Foundation (2022GSPD418), Postdoctoral Science Foundation of Gansu Academy of Sciences (BSH202101), Doctoral Foundation of Lanzhou University of Technology (062101), Higher Education Research Project of Lanzhou University of Technology (GJ2022B19), and Educational Unveiling Leadership Project of Gansu Province of China (2021jyjbgs01) for support of this work.</t>
  </si>
  <si>
    <t>10.1007/s11249-023-01752-1</t>
  </si>
  <si>
    <t>L1PR6</t>
  </si>
  <si>
    <t>WOS:001021051400002</t>
  </si>
  <si>
    <t>Dosi, A</t>
  </si>
  <si>
    <t>Dosi, Anar</t>
  </si>
  <si>
    <t>Projective positivity of the function systems</t>
  </si>
  <si>
    <t>POSITIVITY</t>
  </si>
  <si>
    <t>Function system; Operator system; Unital cone; State space; Projective positivity; Primary 46L07; Secondary 46B40; 47L25</t>
  </si>
  <si>
    <t>QUANTUM-SYSTEMS; OPERATOR</t>
  </si>
  <si>
    <t>The present paper is devoted to the projective positivity in the category of function systems, which plays a key role in the quantization problems of the operator systems. The main result of the paper asserts that every unital star-normed space can be equipped with the projective positivity. The geometry of the related state spaces is described in the case of Lp-spaces, Schatten matrix spaces, and Lp-spaces of a finite von Neumann algebra.</t>
  </si>
  <si>
    <t>[Dosi, Anar] Middle East Tech Univ, Northern Cyprus Campus, Mersin, Turkiye</t>
  </si>
  <si>
    <t>Middle East Technical University</t>
  </si>
  <si>
    <t>Dosi, A (corresponding author), Middle East Tech Univ, Northern Cyprus Campus, Mersin, Turkiye.</t>
  </si>
  <si>
    <t>dosiev@yahoo.com</t>
  </si>
  <si>
    <t>Dosi, Anar/C-2718-2017</t>
  </si>
  <si>
    <t>Dosi, Anar/0000-0002-4588-4167</t>
  </si>
  <si>
    <t>1385-1292</t>
  </si>
  <si>
    <t>1572-9281</t>
  </si>
  <si>
    <t>Positivity</t>
  </si>
  <si>
    <t>10.1007/s11117-023-00997-3</t>
  </si>
  <si>
    <t>M2TW0</t>
  </si>
  <si>
    <t>WOS:001028765600001</t>
  </si>
  <si>
    <t>Du, K; Luo, XY; Zhou, T</t>
  </si>
  <si>
    <t>Du, Kun; Luo, Xinyao; Zhou, Tao</t>
  </si>
  <si>
    <t>Influence of textural characteristics and mineral composition on the acoustic behavior under acoustic integrated uniaxial compression</t>
  </si>
  <si>
    <t>Ultrasonic; Lithology; Wave velocity; Mineral composition; Particle size; Brittleness index</t>
  </si>
  <si>
    <t>WAVE VELOCITY; ROCKS; PRESSURE; FAILURE; TRANSMISSION; ATTENUATION; SATURATION; FREQUENCY; STRENGTH</t>
  </si>
  <si>
    <t>This paper presents acoustic integrated uniaxial compression tests on 11 types of rock specimens to investigate their acoustic behavior and brittleness properties. Thin section analysis was used to characterize the mineral composition and structural characteristics of the rocks, and their grain uniformity was quantified using the weighted variable coefficient. The acoustic signals of the 11 types of rock specimens during uniaxial compression were monitored and recorded in real time using ultrasonic and acoustic emission (AE) testing technologies. The relationships between grain characteristics, mineral composition, and acoustic behaviors were investigated. The results showed that the centroid frequency (Fcf) and transmission coefficient (Tcf) of the rocks were generally positively correlated with grain uniformity, and mineral grain size had different effects on igneous and sedimentary rocks. The ultrasonic (Vp,, Fcf, Tcf) and damage (D3) characteristics were significantly influenced by the three main mineral compositions (quartz, plagioclase, and k-feldspar). Additionally, differences in the percentage growth of Fcf and Tcf in igneous, sedimentary, and metamorphic rocks were explored and attributed to differences in the structural construction and abundance of initial microcracks. A novel brittleness index for rocks was established based on the ultrasonic characteristic parameters and mineral composition, and the existing brittleness index based on AE parameters was improved.</t>
  </si>
  <si>
    <t>[Du, Kun; Luo, Xinyao] Cent South Univ, Sch Resources &amp; Safety Engn, Changsha, Peoples R China; [Zhou, Tao] Shenzhen Univ, Inst Deep Earth Sci &amp; Green Energy, Coll Civil &amp; Transportat Engn, Guangdong Prov Key Lab Deep Earth Sci &amp; Geothermal, Shenzhen, Peoples R China</t>
  </si>
  <si>
    <t>Central South University; Shenzhen University</t>
  </si>
  <si>
    <t>Zhou, T (corresponding author), Shenzhen Univ, Inst Deep Earth Sci &amp; Green Energy, Coll Civil &amp; Transportat Engn, Guangdong Prov Key Lab Deep Earth Sci &amp; Geothermal, Shenzhen, Peoples R China.</t>
  </si>
  <si>
    <t>tzhou@szu.edu.cn</t>
  </si>
  <si>
    <t>Zhou, Tao/AAH-1717-2020; Kun, Du/GYJ-4174-2022</t>
  </si>
  <si>
    <t>Zhou, Tao/0000-0002-1560-6051; Kun, Du/0000-0002-8757-1783</t>
  </si>
  <si>
    <t>National Natural Science Foundation of China [52274090, 52374150, 52192622]; Science and Technology Innovation Program of Hunan Province [2021RC3007]; Guangdong Basic and Applied Basic Research Foundation [2022A1515010827]; Natural Science Foundation of Shenzhen [JCYJ20210324093400001]; science and technology innovation program of Hunan province [2021RC3007]</t>
  </si>
  <si>
    <t>National Natural Science Foundation of China(National Natural Science Foundation of China (NSFC)); Science and Technology Innovation Program of Hunan Province; Guangdong Basic and Applied Basic Research Foundation; Natural Science Foundation of Shenzhen; science and technology innovation program of Hunan province</t>
  </si>
  <si>
    <t>&amp; nbsp;This work was financially supported by the National Natural Science Foundation of China (52274090, 52374150, 52192622), the Science and Technology Innovation Program of Hunan Province (2021RC3007), Guangdong Basic and Applied Basic Research Foundation (2022A1515010827), the Natural Science Foundation of Shenzhen (JCYJ20210324093400001), and the science and technology innovation program of Hunan province (2021RC3007).</t>
  </si>
  <si>
    <t>10.1007/s10064-023-03389-9</t>
  </si>
  <si>
    <t>Q6ZV5</t>
  </si>
  <si>
    <t>WOS:001058995500001</t>
  </si>
  <si>
    <t>Eash-Scott, D; Stoltzfus, D; Brenneman, R</t>
  </si>
  <si>
    <t>Eash-Scott, Daniel; Stoltzfus, Daniel; Brenneman, Robert</t>
  </si>
  <si>
    <t>The Graves Cannot Be Dug Fast Enough: Excess Deaths Among US Amish and Mennonites During the 1918 Flu Pandemic</t>
  </si>
  <si>
    <t>JOURNAL OF RELIGION &amp; HEALTH</t>
  </si>
  <si>
    <t>Amish; Spanish flu; Pandemic; Excess deaths</t>
  </si>
  <si>
    <t>MORTALITY; TRANSMISSION; COMMUNITY; COVID-19; OUTBREAK; INSIGHTS</t>
  </si>
  <si>
    <t>Estimating the lethal impact of a pandemic on a religious community with significant barriers to outsiders can be exceedingly difficult. Nevertheless, Stein and colleagues (2021) developed an innovative means of arriving at such an estimate for the lethal impact of COVID-19 on the Amish community in 2020 by counting user-generated death reports in the widely circulated Amish periodical The Budget. By comparing monthly averages of reported deaths before and during the COVID-19 pandemic, Stein and colleagues were able to arrive at a rough estimate of excess deaths during the first year of the pandemic. Our research extends the same research method, applying it to the years during and immediately preceding the global influenza pandemic of 1918. Results show similarly robust findings, including three notable waves of excess deaths among Amish and conservative Mennonites in the USA in 1918, 1919, and 1920. Such results point to the promise of utilizing religious periodicals like The Budget as a relatively untapped trove of user-generated data on public health outcomes among religious minorities more than a century in the past.</t>
  </si>
  <si>
    <t>[Eash-Scott, Daniel; Stoltzfus, Daniel; Brenneman, Robert] Goshen Coll, Dept Biol, 1700 S Main St, Goshen, IN 46526 USA</t>
  </si>
  <si>
    <t>Brenneman, R (corresponding author), Goshen Coll, Dept Biol, 1700 S Main St, Goshen, IN 46526 USA.</t>
  </si>
  <si>
    <t>rbrenneman@goshen.edu</t>
  </si>
  <si>
    <t>Goshen College's Maple Scholars program</t>
  </si>
  <si>
    <t>Funding for this paper was provided by Goshen College's Maple Scholars program.</t>
  </si>
  <si>
    <t>0022-4197</t>
  </si>
  <si>
    <t>1573-6571</t>
  </si>
  <si>
    <t>J RELIG HEALTH</t>
  </si>
  <si>
    <t>J. Relig. Health</t>
  </si>
  <si>
    <t>10.1007/s10943-023-01899-0</t>
  </si>
  <si>
    <t>Public, Environmental &amp; Occupational Health; Religion</t>
  </si>
  <si>
    <t>Social Science Citation Index (SSCI); Arts &amp; Humanities Citation Index (A&amp;HCI)</t>
  </si>
  <si>
    <t>Q4AW4</t>
  </si>
  <si>
    <t>WOS:001056971000001</t>
  </si>
  <si>
    <t>El Fadil, L; Kchit, O</t>
  </si>
  <si>
    <t>El Fadil, Lhoussain; Kchit, Omar</t>
  </si>
  <si>
    <t>On index divisors and monogenity of certain number fields defined by x(12) + ax(m) + b</t>
  </si>
  <si>
    <t>RAMANUJAN JOURNAL</t>
  </si>
  <si>
    <t>Theorem of Dedekind; Theorem of Ore; Prime ideal factorization; Newton polygon; Index of a number field; Power integral basis; Monogenic</t>
  </si>
  <si>
    <t>POLYGONS</t>
  </si>
  <si>
    <t>In this paper, we study the monogenity of any number field defined by a monic irreducible trinomial F(x) = x(12) + ax(m) + b ? Z[x] with 1 = m = 11 an integer. For every integer m, we give sufficient conditions on a and b so that the field index i(K) is not trivial. In particular, if i(K) ? 1, then K is not monogenic. For m = 1, we give necessary and sufficient conditions on a and b, which characterize when a rational prime p divides the index i(K). For every prime divisor p of i(K), we also calculate the highest power p dividing i(K), in such a way we answer the problem 22 of Narkiewicz (Elementary and analytic theory of algebraic numbers, Springer Verlag, Auflag, 2004) for the number fields defined by trinomials x(12) + ax + b.</t>
  </si>
  <si>
    <t>[El Fadil, Lhoussain; Kchit, Omar] Sidi Mohamed Ben Abdellah Univ, Fac Sci El Dhar Mahraz, POB 1874, Atlas Fes, Morocco</t>
  </si>
  <si>
    <t>Sidi Mohamed Ben Abdellah University of Fez</t>
  </si>
  <si>
    <t>El Fadil, L (corresponding author), Sidi Mohamed Ben Abdellah Univ, Fac Sci El Dhar Mahraz, POB 1874, Atlas Fes, Morocco.</t>
  </si>
  <si>
    <t>lhoussain.elfadil@usmba.ac.ma; omar.kchit@usmba.ac.ma</t>
  </si>
  <si>
    <t>Kchit, Omar/0000-0002-0844-5034</t>
  </si>
  <si>
    <t>1382-4090</t>
  </si>
  <si>
    <t>1572-9303</t>
  </si>
  <si>
    <t>RAMANUJAN J</t>
  </si>
  <si>
    <t>Ramanujan J.</t>
  </si>
  <si>
    <t>10.1007/s11139-023-00768-4</t>
  </si>
  <si>
    <t>Q8SP7</t>
  </si>
  <si>
    <t>WOS:001060167500002</t>
  </si>
  <si>
    <t>El-Masry, MM</t>
  </si>
  <si>
    <t>El-Masry, Mai M. M.</t>
  </si>
  <si>
    <t>Synthesize and characterization of Ag-CuO/rGO nanoparticles as a filler of the PVDF polymer to improve its polar beta phase and electrical conductivity for polymer batteries applications</t>
  </si>
  <si>
    <t>PVDF; Silver-copper oxide; Polar beta phase; Dielectric properties</t>
  </si>
  <si>
    <t>ELECTROLYTES</t>
  </si>
  <si>
    <t>This article presents the synthesis and characterization of Ag-CuO/rGO nanoparticles, which serve as a filler for the PVDF polymer to enhance its polar beta phase and electrical conductivity for possible use in polymer batteries. The Ag-CuO/rGO nanoparticles were prepared through a straightforward hydrothermal method and incorporated into a PVDF matrix using a solution casting technique. Various techniques were employed to examine the structure, crystallinity, dielectric, and electrical properties of the PVDF/Ag-CuO/rGO nanocomposites. The results revealed that the Ag-CuO/rGO nanoparticles incorporated within the PVDF matrix, promoting the formation of the polar beta phase of PVDF. The PVDF/Ag-CuO/rGO nanocomposites displayed a higher dielectric constant and lower dielectric loss compared to pure PVDF. As the Ag-CuO/ rGO content increased, so did the electrical conductivity of the nanocomposites, reaching a value of 1.23 x10(-3) S/cm at 2.5 Wt% Ag-CuO/rGO loading. The enhanced electrical conductivity was attributed to the conductive networks formed by both the Ag-CuO/rGO nanoparticles and the polar beta phase of PVDF. These findings indicate that PVDF/Ag- CuO/rGO nanocomposites hold promise for different applications such as polymer batteries.</t>
  </si>
  <si>
    <t>[El-Masry, Mai M. M.] Thebes Acad, Higher Engn Inst, Basic Sci Dept, Cairo, Egypt</t>
  </si>
  <si>
    <t>El-Masry, MM (corresponding author), Thebes Acad, Higher Engn Inst, Basic Sci Dept, Cairo, Egypt.</t>
  </si>
  <si>
    <t>mai.elmasry@thebes.edu.eg</t>
  </si>
  <si>
    <t>Science, Technology amp; Innovation Funding Authority (STDF)</t>
  </si>
  <si>
    <t>Science, Technology amp; Innovation Funding Authority (STDF)(Science and Technology Development Fund (STDF))</t>
  </si>
  <si>
    <t>Open access funding provided by The Science, Technology &amp; amp; Innovation Funding Authority (STDF) in cooperation with The Egyptian Knowledge Bank (EKB).</t>
  </si>
  <si>
    <t>10.1007/s10965-023-03727-1</t>
  </si>
  <si>
    <t>P2RK8</t>
  </si>
  <si>
    <t>WOS:001049161600001</t>
  </si>
  <si>
    <t>Fathima, R; Saraswat, R</t>
  </si>
  <si>
    <t>Fathima, Rinu; Saraswat, Rajeev</t>
  </si>
  <si>
    <t>A synthesis of paleomonsoon and associated processes from the unique depocenter, Andaman Sea</t>
  </si>
  <si>
    <t>GEO-MARINE LETTERS</t>
  </si>
  <si>
    <t>INDIAN-SUMMER MONSOON; YOUNGER DRYAS CLIMATE; LAST GLACIAL MAXIMUM; NORTH-ATLANTIC OCEAN; BENTHIC FORAMINIFERA; ARABIAN SEA; ORGANIC-MATTER; GLOBAL MONSOON; PLANKTIC FORAMINIFERA; PTEROPOD PRESERVATION</t>
  </si>
  <si>
    <t>The Andaman Sea is a unique deep basin with limited connectivity with the global ocean. The riverine influx from the major rivers draining from the surrounding Asian landmass combined with a large amount of rainfall during the summer monsoon season strongly affects the Andaman Sea. The biogenic carbonate-rich sediments with ample terrigenous material ensure the potential applicability of a wide range of proxies to reconstruct the past. Thus, the Andaman Sea is an excellent archive to reconstruct the past monsoon and associated processes. The isolated nature of the deeper regions provides a unique opportunity to understand deep water changes, without the usual influence of the Antarctica and North Atlantic Ocean. The presence of both the aerial and sub-marine volcanoes in the Andaman Sea makes it an interesting region to understand the temporal changes in the climate-tectonics interaction. Here, we synthesize the paleomonsoon and associated studies from the Andaman Sea. A majority of the paleoclimatic studies from this region are restricted to the last glacial-interglacial transition, with limited attention being paid to the long-term changes. The provenance of fresh water and sediments reaching the Andaman Sea varied during glacial-interglacial times. A few coral and speleothem-based studies provide high-resolution records of the past monsoon from the Andaman region. The limited drilling during the last expedition to the Andaman Sea (Site U1447 and U1448) was restricted to a relatively shallow depth. The region requires both high-resolution and long-term paleoclimatic studies based on several more drill holes covering a range of depths and latitudinal zones.</t>
  </si>
  <si>
    <t>[Fathima, Rinu; Saraswat, Rajeev] Natl Inst Oceanog, Geol Oceanog Div, Micropaleontol Lab, Panaji, Goa, India; [Fathima, Rinu] Goa Univ, Sch Earth Ocean &amp; Atmospher Sci, Taleigao, Goa, India</t>
  </si>
  <si>
    <t>Council of Scientific &amp; Industrial Research (CSIR) - India; CSIR - National Institute of Oceanography (NIO); Goa University</t>
  </si>
  <si>
    <t>Saraswat, R (corresponding author), Natl Inst Oceanog, Geol Oceanog Div, Micropaleontol Lab, Panaji, Goa, India.</t>
  </si>
  <si>
    <t>rsaraswat@nio.org</t>
  </si>
  <si>
    <t>Council of Scientific and Industrial Research, India</t>
  </si>
  <si>
    <t>Council of Scientific and Industrial Research, India(Council of Scientific &amp; Industrial Research (CSIR) - India)</t>
  </si>
  <si>
    <t>We received funding from the Council of Scientific and Industrial Research, India.</t>
  </si>
  <si>
    <t>0276-0460</t>
  </si>
  <si>
    <t>1432-1157</t>
  </si>
  <si>
    <t>GEO-MAR LETT</t>
  </si>
  <si>
    <t>Geo-Mar. Lett.</t>
  </si>
  <si>
    <t>10.1007/s00367-023-00756-z</t>
  </si>
  <si>
    <t>Geosciences, Multidisciplinary; Oceanography</t>
  </si>
  <si>
    <t>Geology; Oceanography</t>
  </si>
  <si>
    <t>P7YW0</t>
  </si>
  <si>
    <t>WOS:001052800800001</t>
  </si>
  <si>
    <t>Felix-Dominguez, F; Carrillo-Torres, RC; Sanchez-Zeferino, R; Alvarez-Ramos, ME</t>
  </si>
  <si>
    <t>Felix-Dominguez, F.; Carrillo-Torres, R. C.; Sanchez-Zeferino, R.; Alvarez-Ramos, M. E.</t>
  </si>
  <si>
    <t>Tunable emission properties of star-shaped ZnO-ZnS-SiO2 composites synthesized by ultrasound-assisted Stober method</t>
  </si>
  <si>
    <t>Composite; Zinc oxide; Zinc sulfide; Tunable photoluminescence; White light emission</t>
  </si>
  <si>
    <t>ZNO NANOSTRUCTURES; FILMS; PHOTOLUMINESCENCE; MORPHOLOGY; LUMINESCENCE</t>
  </si>
  <si>
    <t>ZnO-ZnS-SiO2 composites were synthesized by an ultrasound-assisted Stober method. The incorporation of blue-emitting ZnS on the surface of ZnO particles allowed the fabrication of a composite material with tunable emission. SEM pictures revealed star-shaped ZnO structures with a size about of 1 &amp; mu;m in length with multiple spindles. The composition of the materials was confirmed by EDS, FT-IR, and Raman spectroscopies. X-ray diffraction pattern analysis revealed that ZnO and ZnS have hexagonal wurtzite and cubic sphalerite crystal structures, respectively. The estimated band gap values of ZnS, ZnO, as well as the composites were 3.61, 3.13 and 3.21 eV, respectively. The emission spectrum of star-shaped ZnO exhibits a weak excitonic signal and a second intense and broad band centered around 620 nm. Photoluminescence analysis of the composites revealed a very broad emission band covering almost entirely the visible region of the spectrum and whose emission color ranges from orange to blue region of the CIE1931 chromaticity space, as the content of ZnS in the composite increases. Moreover, this tuning of the luminescence allows the generation of white light.</t>
  </si>
  <si>
    <t>[Felix-Dominguez, F.; Carrillo-Torres, R. C.; Sanchez-Zeferino, R.; Alvarez-Ramos, M. E.] Univ Sonora, Dept Fis, Hermosillo 83000, Sonora, Mexico</t>
  </si>
  <si>
    <t>Universidad de Sonora</t>
  </si>
  <si>
    <t>Alvarez-Ramos, ME (corresponding author), Univ Sonora, Dept Fis, Hermosillo 83000, Sonora, Mexico.</t>
  </si>
  <si>
    <t>mario@alvarez.uson.mx</t>
  </si>
  <si>
    <t>; Carrillo-Torres, Roberto Carlos/I-6700-2015</t>
  </si>
  <si>
    <t>Alvarez, Mario/0000-0001-7598-9683; Carrillo-Torres, Roberto Carlos/0000-0002-1295-5168</t>
  </si>
  <si>
    <t>10.1007/s00339-023-06895-5</t>
  </si>
  <si>
    <t>P8AK9</t>
  </si>
  <si>
    <t>WOS:001052841700006</t>
  </si>
  <si>
    <t>Freeman, TF; Zhao, QX; Surya, A; Rothe, R; Cenik, ES</t>
  </si>
  <si>
    <t>Freeman, Trevor F.; Zhao, Qiuxia; Surya, Agustian; Rothe, Reed; Cenik, Elif Sarinay</t>
  </si>
  <si>
    <t>Ribosome biogenesis disruption mediated chromatin structure changes revealed by SRAtac, a customizable end to end analysis pipeline for ATAC-seq</t>
  </si>
  <si>
    <t>Nucleolus; ATAC-seq; Chromatin accessibility; C. elegans; RNA polymerase I; ATAC-seq analysis pipeline</t>
  </si>
  <si>
    <t>CAENORHABDITIS-ELEGANS; NUCLEOLUS; GENOME; GENES; EOR-2; RAS</t>
  </si>
  <si>
    <t>The nucleolus is a large nuclear body that serves as the primary site for ribosome biogenesis. Recent studies have suggested that it also plays an important role in organizing chromatin architecture. However, to establish a causal relationship between nucleolar ribosome assembly and chromatin architecture, genetic tools are required to disrupt nucleolar ribosome biogenesis. In this study, we used ATAC-seq to investigate changes in chromatin accessibility upon specific depletion of two ribosome biogenesis components, RPOA-2 and GRWD-1, in the model organism Caenorhabditis elegans. To facilitate the analysis of ATAC-seq data, we introduced two tools: SRAlign, an extensible NGS data processing workflow, and SRAtac, a customizable end-to-end ATAC-seq analysis pipeline. Our results revealed highly comparable changes in chromatin accessibility following both RPOA-2 and GRWD-1 perturbations. However, we observed a weak correlation between changes in chromatin accessibility and gene expression. While our findings corroborate the idea of a feedback mechanism between ribosomal RNA synthesis, nucleolar ribosome large subunit biogenesis, and chromatin structure during the L1 stage of C. elegans development, they also prompt questions regarding the functional impact of these alterations on gene expression.</t>
  </si>
  <si>
    <t>[Freeman, Trevor F.; Zhao, Qiuxia; Surya, Agustian; Rothe, Reed; Cenik, Elif Sarinay] Univ Texas Austin, Dept Mol Biosci, Austin, TX 78712 USA</t>
  </si>
  <si>
    <t>University of Texas System; University of Texas Austin</t>
  </si>
  <si>
    <t>Cenik, ES (corresponding author), Univ Texas Austin, Dept Mol Biosci, Austin, TX 78712 USA.</t>
  </si>
  <si>
    <t>esarinay@utexas.edu</t>
  </si>
  <si>
    <t>We thank Arlen Johnson's lab for critical discussions and Can Cenik, and Blythe M. Bolton for critical reading of this manuscript.</t>
  </si>
  <si>
    <t>10.1186/s12864-023-09576-y</t>
  </si>
  <si>
    <t>Q8JN3</t>
  </si>
  <si>
    <t>gold, Green Accepted</t>
  </si>
  <si>
    <t>WOS:001059930700001</t>
  </si>
  <si>
    <t>Garg, S; Navinkumar, PJ; Godara, A; Sahu, R; Singh, DK; Ramsankaran, R</t>
  </si>
  <si>
    <t>Garg, Siddhi; Navinkumar, P. J.; Godara, Ajay; Sahu, Rakesh; Singh, Dhiraj Kumar; Ramsankaran, Raaj</t>
  </si>
  <si>
    <t>Remote sensing the evolution of debris-covered Panchi Nala-A glacier, India (1971-2021) from satellites and Unmanned Aerial Vehicles</t>
  </si>
  <si>
    <t>Panchi Nala glacier; Bhaga basin; Western Himalaya; Stagnation</t>
  </si>
  <si>
    <t>CHHOTA SHIGRI GLACIER; WESTERN HIMALAYA; HIMACHAL HIMALAYA; MASS BALANCES; BHAGA BASIN; ICE CLIFFS; REGION; INVENTORY; MODEL; NEPAL</t>
  </si>
  <si>
    <t>Supraglacial debris influences the glacier-climate relationship by altering the ablation patterns of the debris-covered glaciers. The intricate surface morphology of debris-covered glaciers renders difficulties in their assessment through satellite remote sensing alone. In this context, unmanned aerial vehicles (UAVs) have the advantage of providing ultra-high-resolution maps of the debris-covered glacier surfaces, thus, aid in inferring the complexity in their behavior. Considering the limitations and to help elucidate the morpho-dynamic evolution of the debris-covered glacier surface, an in-depth investigation is conducted on the Panchi Nala-A glacier (area: 3 km(2); debris percentage: 60%; and thickness: 4-60 cm), Bhaga basin, western Himalaya, using hybrid remote sensing data (declassified Corona, Landsat TM/ETM+/OLI, Planetscope, and UAV-based optical images) during 1971-2021. The results indicate shrinkage (0.3 &amp; PLUSMN; 0.03%a(-1)) and terminal retreat (3 &amp; PLUSMN; 0.6 ma(-1)) of the glacier, with increasing debris extent (0.1 &amp; PLUSMN; 0.0001%a(-1)) during 1971-2021, in sync with the temperature increase and snowfall reduction during 1983-2016. The glacier velocity has reduced, however, trivially (0.6 &amp; PLUSMN; 6 ma(-1)) during 1993-2021, with stagnation in the lower ablation zone (velocity &lt; 5ma(-1)). The glacier thinned consistently during 2000-2018 (- 0.5 &amp; PLUSMN; 0.055 ma(-1)) and 2019-2021 (- 0.48 &amp; PLUSMN; 0.013 ma(-1)) in the lower ablation zone, with glacier-wide thinning rates of - 0.12 &amp; PLUSMN; 0.055 ma(-1) during 2000-2018. The comprehensive picture suggests that the glacier changes are possibly influenced by debris distribution, however, are not substantial and have remained consistent, indicative of its near-stable condition. This glacier response may further change depending on ice cliffs and supraglacial pond dynamics, which have shown a rise of 3.8 times and 86%, respectively, during the recent period between 2019 and 2021.</t>
  </si>
  <si>
    <t>[Garg, Siddhi; Navinkumar, P. J.; Godara, Ajay; Sahu, Rakesh; Singh, Dhiraj Kumar; Ramsankaran, Raaj] Indian Inst Technol, Dept Civil Engn, Hydroremote Sensing Applicat H RSA Grp, Mumbai 400076, India; [Garg, Siddhi; Ramsankaran, Raaj] Indian Inst Technol, Interdisciplinary Program Climate Studies, Mumbai 400076, India; [Sahu, Rakesh] Chandigarh Univ, Comp Sci Dept, Mohali 140413, Punjab, India</t>
  </si>
  <si>
    <t>Indian Institute of Technology System (IIT System); Indian Institute of Technology (IIT) - Bombay; Indian Institute of Technology System (IIT System); Indian Institute of Technology (IIT) - Bombay; Chandigarh University</t>
  </si>
  <si>
    <t>Ramsankaran, R (corresponding author), Indian Inst Technol, Dept Civil Engn, Hydroremote Sensing Applicat H RSA Grp, Mumbai 400076, India.;Ramsankaran, R (corresponding author), Indian Inst Technol, Interdisciplinary Program Climate Studies, Mumbai 400076, India.</t>
  </si>
  <si>
    <t>ramsankaran@civil.iitb.ac.in</t>
  </si>
  <si>
    <t>Garg, Siddhi/0000-0002-9426-0430; Ramsankaran, RAAJ/0000-0001-8602-1934</t>
  </si>
  <si>
    <t>10.1007/s10113-023-02096-1</t>
  </si>
  <si>
    <t>N9SL4</t>
  </si>
  <si>
    <t>WOS:001040324000003</t>
  </si>
  <si>
    <t>Garg, T; Yadav, M; Mushahary, KKK; Kumar, A; Pal, V; Singh, H; Jain, M; Yadav, SR</t>
  </si>
  <si>
    <t>Garg, Tushar; Yadav, Manoj; Mushahary, Khrang Khrang Khunggur; Kumar, Akshay; Pal, Vivek; Singh, Harshita; Jain, Mukesh; Yadav, Shri Ram</t>
  </si>
  <si>
    <t>Spatially activated conserved auxin-transcription factor regulatory module controls de novo root organogenesis in rice</t>
  </si>
  <si>
    <t>Adventitious; crown root primordia; Auxin response factors; In situ hybridization; In vitro plantlet regeneration; Oryza sativa</t>
  </si>
  <si>
    <t>CROWN ROOT; DOMAIN PROTEIN; TILLER ANGLE; GENE; EXPRESSION; WOX11; REGENERATION; INITIATION; OSHOX1; TARGET</t>
  </si>
  <si>
    <t>Main conclusionThis study reveals that the process of crown root development and auxin-induced de novo root organogenesis during in vitro plantlet regeneration share a common auxin-OsWOX10 regulatory module in rice.In the fibrous-type root system of rice, the crown roots (CR) are developed naturally from the shoot tissues. Generation of robust auxin response, followed by activation of downstream cell fate determinants and signaling pathways at the onset of crown root primordia (CRP) establishment is essential for new root initiation. During rice tissue culture, embryonic calli are induced to regenerate shoots in vitro which undergo de novo root organogenesis on an exogenous auxin-supplemented medium, but the mechanism underlying spatially restricted root organogenesis remains unknown. Here, we reveal the dynamics of progressive activation of genes involved in auxin homeostasis and signaling during initiation and outgrowth of rice crown root primordia. By comparative global dataset analysis, we identify the crown root primordia-expressed genes whose expression is also regulated by auxin signaling. In-depth spatio-temporal expression pattern analysis shows that the exogenous application of auxin induces a set of key transcription factors exclusively in the spatially positioned CRP. Further, functional analysis of rice WUSCHEL-RELATED HOMEOBOX 10 (OsWOX10) during in vitro plantlet regeneration from embryogenic calli shows that it promotes de novo root organogenesis from regenerated shoots. Expression of rice OsWOX10 also induces adventitious roots (AR) in Arabidopsis, independent of homologous endogenous Arabidopsis genes. Together, our findings reveal that a common auxin-transcription factor regulatory module is involved in root organogenesis under different conditions.</t>
  </si>
  <si>
    <t>[Garg, Tushar; Yadav, Manoj; Mushahary, Khrang Khrang Khunggur; Kumar, Akshay; Singh, Harshita; Yadav, Shri Ram] Indian Inst Technol, Dept Biosci &amp; Bioengn, Roorkee 247667, Uttarakhand, India; [Garg, Tushar] Univ Calif Davis, Dept Plant Biol, Davis, CA USA; [Yadav, Manoj] All India Inst Med Sci, Dept Biochem, Raebareli, Uttar Pradesh, India; [Pal, Vivek; Jain, Mukesh] Jawaharlal Nehru Univ, Sch Computat &amp; Integrat Sci, New Delhi, India; [Singh, Harshita] Heidelberg Univ, Ctr Organismal Studies, D-69120 Heidelberg, Germany</t>
  </si>
  <si>
    <t>Indian Institute of Technology System (IIT System); Indian Institute of Technology (IIT) - Roorkee; University of California System; University of California Davis; Jawaharlal Nehru University, New Delhi; Ruprecht Karls University Heidelberg</t>
  </si>
  <si>
    <t>Yadav, SR (corresponding author), Indian Inst Technol, Dept Biosci &amp; Bioengn, Roorkee 247667, Uttarakhand, India.</t>
  </si>
  <si>
    <t>shri.yadav@bt.iitr.ac.in</t>
  </si>
  <si>
    <t>Garg, Tushar/JGD-6058-2023</t>
  </si>
  <si>
    <t>Yadav, Shri Ram/0000-0002-4083-7054</t>
  </si>
  <si>
    <t>Department of Biotechnology (DBT), Government of India [BT/PR13488/BPA/118/105/2015]; Science and Engineering Research Board (SERB) [CRG/2020/000172, BT/PR40261/BTIS/137/55/2023]; Indian Institute of Technology, Roorkee (IIT Roorkee); Council of Scientific and Industrial Research (CSIR), India; University Grant Commission (UGC), India; Department of Biotechnology (DBT), India; Shanghai Institutes for Biological Sciences, Chinese Academy of Sciences, Shanghai, China; National Network Project scheme; [ECR/2016/000060]</t>
  </si>
  <si>
    <t>Department of Biotechnology (DBT), Government of India(Department of Biotechnology (DBT) India); Science and Engineering Research Board (SERB); Indian Institute of Technology, Roorkee (IIT Roorkee); Council of Scientific and Industrial Research (CSIR), India(Council of Scientific &amp; Industrial Research (CSIR) - India); University Grant Commission (UGC), India(University Grants Commission, India); Department of Biotechnology (DBT), India(Department of Biotechnology (DBT) India); Shanghai Institutes for Biological Sciences, Chinese Academy of Sciences, Shanghai, China; National Network Project scheme;</t>
  </si>
  <si>
    <t>Financial support by the Department of Biotechnology (DBT), Government of India to SRY laboratory (grant# BT/PR13488/BPA/118/105/2015) and to SRY and MJ labs under the National Network Project scheme &amp; nbsp;(grant# BT/PR40261/BTIS/137/55/2023) is acknowledged. The Science and Engineering Research Board (SERB) is acknowledged to provide financing support to SRY (grant# ECR/2016/000060) and MJ (grant# CRG/2020/000172). Indian Institute of Technology, Roorkee (IIT Roorkee) is acknowledged to provide fellowships to TG and KKKM. Fellowships to AK from the Council of Scientific and Industrial Research (CSIR), India, to VP and HS from the University Grant Commission (UGC), India and to MY from the Department of Biotechnology (DBT), India, are gratefully acknowledged. Dr. Lin Xu, Shanghai Institutes for Biological Sciences, Chinese Academy of Sciences, Shanghai, China is acknowledged for kindly providing Arabidopsis wox11-2, wox12-1 and wox11-2 wox12-1 seeds. The destination vector used for Arabidopsis transformation was a gift from Dr. Ari Pekka Maehoenen's lab at the University of Helsinki, Finland. Dr. Leena Yadav is acknowledged for providing critical comments on the manuscript.</t>
  </si>
  <si>
    <t>10.1007/s00425-023-04210-3</t>
  </si>
  <si>
    <t>N4OT8</t>
  </si>
  <si>
    <t>WOS:001036832200002</t>
  </si>
  <si>
    <t>Georgiev, SG; Tikare, S; Kumar, V</t>
  </si>
  <si>
    <t>Georgiev, Svetlin G.; Tikare, Sanket; Kumar, Vipin</t>
  </si>
  <si>
    <t>Existence of Solutions for Two-Point Integral Boundary Value Problems with Impulses</t>
  </si>
  <si>
    <t>Initial-boundary value problem; Impulses; Existence; Nonnegative solutions; Multiplicity of solutions; Fixed point; Cone; Sum of operators</t>
  </si>
  <si>
    <t>DIFFERENTIAL-SYSTEMS</t>
  </si>
  <si>
    <t>In this paper, we investigate the existence of at least one solution and at least two nonnegative solutions of impulsive differential equations with the two-point integral boundary conditions. We employ the recent fixed point theorems for the sum of two operators on Banach spaces. The applicability of the results is illustrated through an example.</t>
  </si>
  <si>
    <t>[Georgiev, Svetlin G.] Sorbonne Univ, Dept Math, Paris, France; [Tikare, Sanket] Ramniranjan Jhunjhunwala Coll, Dept Math, Mumbai 400086, Maharashtra, India</t>
  </si>
  <si>
    <t>UDICE-French Research Universities; Sorbonne Universite</t>
  </si>
  <si>
    <t>Tikare, S (corresponding author), Ramniranjan Jhunjhunwala Coll, Dept Math, Mumbai 400086, Maharashtra, India.</t>
  </si>
  <si>
    <t>svetlingeorgiev1@gmail.com; sankettikare@rjcollege.edu.in; math.vipinkumar219@gmail.com</t>
  </si>
  <si>
    <t>Kumar, Vipin/AHA-4618-2022</t>
  </si>
  <si>
    <t>Kumar, Vipin/0000-0002-7068-5426; Tikare, Sanket/0000-0002-9000-3031</t>
  </si>
  <si>
    <t>of Ramniranjan Jhunjhunwala College, Mumbai, India [886/13122021]</t>
  </si>
  <si>
    <t>of Ramniranjan Jhunjhunwala College, Mumbai, India</t>
  </si>
  <si>
    <t>The authors are thankful to the referees for their constructive comments and valuable suggestions towards improvement of the paper. The research work of Sanket Tikare is a part of the seed grant MRP (Ref. No. 886/13122021) of Ramniranjan Jhunjhunwala College, Mumbai, India.</t>
  </si>
  <si>
    <t>10.1007/s12346-023-00784-1</t>
  </si>
  <si>
    <t>F2WW1</t>
  </si>
  <si>
    <t>WOS:000981011600002</t>
  </si>
  <si>
    <t>Ghai, I; Wagner, GJ; Matovu, JKB; Juncker, M; Namisango, E; Bouskill, K; Nakami, S; Beyeza-Kashesya, J; Luyirika, E; Wanyenze, RK</t>
  </si>
  <si>
    <t>Ghai, Ishita; Wagner, Glenn J.; Matovu, Joseph K. B.; Juncker, Margrethe; Namisango, Eve; Bouskill, Kathryn; Nakami, Sylvia; Beyeza-Kashesya, Jolly; Luyirika, Emmanuel; Wanyenze, Rhoda K.</t>
  </si>
  <si>
    <t>Increased Knowledge Mediates the Effect of Game Changers for Cervical Cancer Prevention on Diffusion of Cervical Cancer Screening Advocacy Among Social Network Members in a Pilot Trial</t>
  </si>
  <si>
    <t>INTERNATIONAL JOURNAL OF BEHAVIORAL MEDICINE</t>
  </si>
  <si>
    <t>Cervical cancer; Prevention; Peer advocacy; Intervention; Randomized controlled trial; Mediation; Social diffusion; Social networks</t>
  </si>
  <si>
    <t>HIV PREVENTION; DRUG-USERS; INTERVENTION; OUTCOMES; SMOKING</t>
  </si>
  <si>
    <t>BackgroundGame Changers for Cervical Cancer Prevention (GC-CCP), a peer-led, group advocacy training intervention, increased cervical cancer (CC) prevention advocacy not only among intervention recipients, but also their social network members (referred to as alters) who were targeted with advocacy in a pilot randomized controlled trial. We examined mediators and moderators of this effect on alter advocacy, to understand how and for whom the intervention had such an effect.MethodForty women (index participants) who had recently screened for CC enrolled and were randomly assigned to receive the GC-CCP intervention (n = 20) or the wait-list control (n = 20). Up to three alters from each participant (n = 103) were surveyed at baseline and month 6. Measures of CC-related cognitive constructs (knowledge, enacted stigma, and risk management self-efficacy), as well as extent of advocacy received from index participants, were assessed as mediators of the intervention effect on alter advocacy using multivariate regression analyses. Alter characteristics were examined as moderators.ResultsIncreased CC-related knowledge partially mediated the intervention effect on increased alter engagement in CC prevention advocacy; those with greater gains in knowledge reported greater engagement in advocacy. No moderators of the intervention effect were identified.ConclusionThe effect of GC-CCP on alter CC prevention advocacy is enhanced by increased alter knowledge pertaining to CC prevention, causes, and treatment and suggests this may be key for diffusion of intervention effects on increased CC prevention advocacy throughout a social network.Trial RegistrationNCT04960748 (registered on clinicaltrials.gov, 7/14/2021).</t>
  </si>
  <si>
    <t>[Ghai, Ishita] RAND Corp, Frederick S Pardee RAND Grad Sch, Santa Monica, CA 90401 USA; [Wagner, Glenn J.; Bouskill, Kathryn] RAND Corp, Santa Monica, CA USA; [Matovu, Joseph K. B.; Wanyenze, Rhoda K.] Makerere Univ, Sch Publ Hlth, Kampala, Uganda; [Matovu, Joseph K. B.] Busitema Univ, Fac Hlth Sci, Mbale, Uganda; [Juncker, Margrethe; Nakami, Sylvia] Rays Hope Hosp Jinja, Jinja, Uganda; [Namisango, Eve; Luyirika, Emmanuel] African Palliat Care Assoc, Kampala, Uganda; [Beyeza-Kashesya, Jolly] Mulago Specialized Women &amp; Neonatal Hosp, Kampala, Uganda; [Beyeza-Kashesya, Jolly] Makerere Univ, Sch Med, Kampala, Uganda</t>
  </si>
  <si>
    <t>RAND Corporation; Pardee RAND Graduate School; RAND Corporation; Makerere University; Makerere University</t>
  </si>
  <si>
    <t>Ghai, I (corresponding author), RAND Corp, Frederick S Pardee RAND Grad Sch, Santa Monica, CA 90401 USA.</t>
  </si>
  <si>
    <t>ighai@pardeerand.edu</t>
  </si>
  <si>
    <t>We would like to acknowledge the contribution of our study coordinator, Grace Namisi, who was responsible for participation recruitment and all data collection. We thank the women who agreed to participate in the study.</t>
  </si>
  <si>
    <t>1070-5503</t>
  </si>
  <si>
    <t>1532-7558</t>
  </si>
  <si>
    <t>INT J BEHAV MED</t>
  </si>
  <si>
    <t>Int. J. Behav. Med.</t>
  </si>
  <si>
    <t>10.1007/s12529-023-10217-7</t>
  </si>
  <si>
    <t>Psychology, Clinical</t>
  </si>
  <si>
    <t>Q3BC5</t>
  </si>
  <si>
    <t>WOS:001056290200002</t>
  </si>
  <si>
    <t>Goswami, K; Mondal, H; Sen, M</t>
  </si>
  <si>
    <t>Goswami, Kamanashis; Mondal, Haraprasad; Sen, Mrinal</t>
  </si>
  <si>
    <t>Design of 1-to-2-line all-optical decoder based on MMI phase shifter</t>
  </si>
  <si>
    <t>Optical decoder; Photonic crystal; Beam interference; Phase shifter; Band diagram</t>
  </si>
  <si>
    <t>MULTIMODE INTERFERENCE; LOGIC GATES; NANOSCALE; PROPOSAL</t>
  </si>
  <si>
    <t>Design of an all-optical 1:2 decoder has been proposed based on a holes-in-slab photonic crystal structure. Operation of the device depends on optical interferometry of an input and a bias signal. In order to achieve wavelength independent optical interference, a multimode Interference (MMI) based pi-phase shifter is proposed, analysed and integrated within the design of the decoder. Dispersion diagram of the MMI pi-phase shifter depicts almost equal slope of two propagation bands for a long range of wavelengths, which ensures its wavelength insensitive phase-shift operation. Finite Difference Time Domain (FDTD) simulation also confirms the same. Further, several simulations and corresponding analyses for evaluating different performances of the decoder have also been performed. These analyses exhibit the successful decoding operation of the device. The decoder performance has also been studied under the excitation of pulsating input and bias. This study concludes that the device is able to process a bit-rate as-high-as 2.94 Tbps. This small footprint (similar to 243 mu m(2)) device also offers an excellent contrast ratio of the order of 20 dB. Hence, it is expected that the device would be a potential candidate for implementing complex circuitries in photonic integrated circuits.</t>
  </si>
  <si>
    <t>[Goswami, Kamanashis; Mondal, Haraprasad; Sen, Mrinal] Indian Inst Technol ISM Dhanbad, Elect Engn, Dhanbad, Jharkhand, India; [Mondal, Haraprasad] Dibrugarh Univ, Dibrugarh Univ Inst Engn &amp; Technol, Dibrugarh 786001, Assam, India</t>
  </si>
  <si>
    <t>Indian Institute of Technology System (IIT System); Indian Institute of Technology (Indian School of Mines) Dhanbad; Dibrugarh University</t>
  </si>
  <si>
    <t>Sen, M (corresponding author), Indian Inst Technol ISM Dhanbad, Elect Engn, Dhanbad, Jharkhand, India.</t>
  </si>
  <si>
    <t>kamanashis.goswami@gmail.com; mandal.haraprasad@gmail.com; mrinal.sen.ahm@gmail.com</t>
  </si>
  <si>
    <t>10.1007/s11082-023-05055-6</t>
  </si>
  <si>
    <t>L4AT9</t>
  </si>
  <si>
    <t>WOS:001022709300024</t>
  </si>
  <si>
    <t>Guardieiro, V; Raimundo, MM; Poco, J</t>
  </si>
  <si>
    <t>Guardieiro, Vitoria; Raimundo, Marcos M.; Poco, Jorge</t>
  </si>
  <si>
    <t>Enforcing fairness using ensemble of diverse Pareto-optimalmodels</t>
  </si>
  <si>
    <t>DATA MINING AND KNOWLEDGE DISCOVERY</t>
  </si>
  <si>
    <t>Algorithmic fairness; Bias mitigation; Multi-objective optimization; Machine learning; Ensemble learning; Classification</t>
  </si>
  <si>
    <t>One of the main challenges of machine learning is to ensure that its applications do not generate or propagate unfair discrimination based on sensitive characteristics such as gender, race, and ethnicity. Research in this area typically limits models to a level of discrimination quantified by an equity metric (usually the benefit discrepancy between privileged and non-privileged groups). However, when models reduce bias, they may also reduce their performance (e.g., accuracy, F1 score). Therefore, we have to optimize contradictory metrics (performance and fairness) at the same time. This problem is well characterized as a multi-objective optimization (MOO) problem. In this study, we useMOOmethods to minimize the difference between groups, maximize the benefits for each group, and preserve performance. We search for the best trade-off models in binary classification problems and aggregate them using ensemble filtering and voting procedures. The aggregation of models with different levels of benefits for each group improves robustness regarding performance and fairness. We compared our approach with other known methodologies, using logistic regression as a benchmark for comparison. The proposed methods obtained interesting results: (i) multi-objective training found models that are similar to or better than the adversarial methods and are more diverse in terms of fairness and accuracy metrics, (ii) multi-objective selection was able to improve the balance between fairness and accuracy compared to selection with a single metric, and (iii) the final predictor found models with higher fairness without sacrificing much accuracy.</t>
  </si>
  <si>
    <t>[Guardieiro, Vitoria; Raimundo, Marcos M.; Poco, Jorge] Fundacao Getulio Vargas, Sch Appl Math, Rio De Janeiro, Brazil; [Raimundo, Marcos M.] Univ Estadual Campinas, Inst Comp, Campinas, Brazil</t>
  </si>
  <si>
    <t>Escola de Pos-Graduacao em Economia (EPGE); Getulio Vargas Foundation; Universidade Estadual de Campinas</t>
  </si>
  <si>
    <t>Guardieiro, V (corresponding author), Fundacao Getulio Vargas, Sch Appl Math, Rio De Janeiro, Brazil.</t>
  </si>
  <si>
    <t>vitoriaguardieiro@gmail.com; mraimundo@ic.unicamp.br; jorge.poco@fgv.br</t>
  </si>
  <si>
    <t>Poco, Jorge/F-3344-2016; Guardieiro, Vitoria/IVV-7962-2023</t>
  </si>
  <si>
    <t>Poco, Jorge/0000-0001-9096-6287; Guardieiro, Vitoria/0000-0003-1956-5418</t>
  </si>
  <si>
    <t>Getulio Vargas Foundation; Coordination for the Improvement of Higher Education Personnel (CAPES)</t>
  </si>
  <si>
    <t>Getulio Vargas Foundation; Coordination for the Improvement of Higher Education Personnel (CAPES)(Coordenacao de Aperfeicoamento de Pessoal de Nivel Superior (CAPES))</t>
  </si>
  <si>
    <t>This study was supported by Getulio Vargas Foundation and by the Coordination for the Improvement of Higher Education Personnel (CAPES). The authors thank Espaco da Escrita - Pro-Reitoria de Pesquisa-UNICAMP-for the language services provided.</t>
  </si>
  <si>
    <t>1384-5810</t>
  </si>
  <si>
    <t>1573-756X</t>
  </si>
  <si>
    <t>DATA MIN KNOWL DISC</t>
  </si>
  <si>
    <t>Data Min. Knowl. Discov.</t>
  </si>
  <si>
    <t>10.1007/s10618-023-00922-y</t>
  </si>
  <si>
    <t>P2LT7</t>
  </si>
  <si>
    <t>WOS:001049013300004</t>
  </si>
  <si>
    <t>Haddadi, BS; Fang, R; Girija, A; Kattupalli, D; Widdowson, E; Beckmann, M; Yadav, R; Mur, LAJ</t>
  </si>
  <si>
    <t>Haddadi, Bahareh Sadat; Fang, Rui; Girija, Aiswarya; Kattupalli, Divya; Widdowson, Emma; Beckmann, Manfred; Yadav, Rattan; Mur, Luis A. J.</t>
  </si>
  <si>
    <t>Metabolomics targets tissue-specific responses in alleviating the negative effects of salinity in tef (Eragrostis tef) during germination</t>
  </si>
  <si>
    <t>Eragrostis tef; Flavonoids; Germination; Metabolomics; Root colour; Salinity</t>
  </si>
  <si>
    <t>SALT TOLERANCE; L.; METABOLISM; CULTIVARS; GENOTYPES; STRESS; PLANTS; YIELD; ACID</t>
  </si>
  <si>
    <t>Main conclusionSalinity induced metabolite responses resulted in differential accumulation of flavonoids and antioxidant metabolites in shoots and roots suggesting improved antioxidant capacity in providing salt-adaptive phenotype of tef seedling.Tef [(Eragrostis tef) (Zucc.) Trotter] is an important 'cash crop' of Ethiopia grown mainly for human food, and development of elite tef cultivars with better performance is vital to Ethiopian farmers and breeders. Soil salinity is one of the key constraints that affects tef yield in the Ethiopian lowlands and Rift valley where cultivation of tef is limited. Being a minor crop, the responses of tef towards salinity is unknown. Salinity involves physiological and metabolite reprogramming that can have major impact on germination and seedling establishment. Here we evaluate the in vitro effect of NaCl on tef germination and associate this with metabolomic approaches to suggest salt tolerance mechanisms. In this study, 19 tef varieties were screened for NaCl tolerance and were investigated using untargeted metabolomics. Screened tef varieties showed differential germination rates with NaCl treatment varying from &lt; 20 to 100%. Viable seedlings exposed to NaCl exhibited purple-red pigment accumulation in the roots except for Beten and Tullu nasy varieties. Metabolite comparisons between shoots and roots showed significant differences and, in particular, roots of salt tolerant tef varieties accumulated flavonoid derivatives as well as sugars and cell wall associated metabolites. These metabolic changes were correlated with patterns of antioxidant capacities and total flavonoid content in shoots and roots and suggested a mitigating response by tef to salinity. Our study highlights the role of flavonoid accumulation following salt stress on tef seedlings and further these findings could be used as targets for selective tef breeding.</t>
  </si>
  <si>
    <t>[Haddadi, Bahareh Sadat; Fang, Rui; Girija, Aiswarya; Kattupalli, Divya; Widdowson, Emma; Beckmann, Manfred; Mur, Luis A. J.] Aberystwyth Univ, Dept Life Sci DLS, Aberystwyth SY23 3DA, Wales; [Girija, Aiswarya; Yadav, Rattan] Aberystwyth Univ, Inst Biol Rural Environm Sci IBERS, Aberystwyth SY23 3EE, Wales</t>
  </si>
  <si>
    <t>Aberystwyth University; Aberystwyth University</t>
  </si>
  <si>
    <t>Mur, LAJ (corresponding author), Aberystwyth Univ, Dept Life Sci DLS, Aberystwyth SY23 3DA, Wales.</t>
  </si>
  <si>
    <t>lum@aber.ac.uk</t>
  </si>
  <si>
    <t>Mur, Luis/U-1052-2017</t>
  </si>
  <si>
    <t>Mur, Luis/0000-0002-0961-9817; Kattupalli, Divya/0000-0002-0222-4994</t>
  </si>
  <si>
    <t>European Union [842118]; Marie Curie Actions (MSCA) [842118] Funding Source: Marie Curie Actions (MSCA)</t>
  </si>
  <si>
    <t>European Union(European Union (EU)); Marie Curie Actions (MSCA)(Marie Curie Actions)</t>
  </si>
  <si>
    <t>This project has received funding from the European Union's Horizon 2020 research and innovation programme under the Marie Sklodowska-Curie H2020-MSCA-IF-2018 grant agreement No 842118, SUPERTEFF. We thank Helen Philips (Aberystwyth University, UK) for her technical support.</t>
  </si>
  <si>
    <t>10.1007/s00425-023-04224-x</t>
  </si>
  <si>
    <t>P4XU3</t>
  </si>
  <si>
    <t>WOS:001050716500002</t>
  </si>
  <si>
    <t>Hong, Y; Zheng, QX; Cheng, LT; Liu, PP; Xu, GY; Zhang, H; Cao, PJ; Zhou, HA</t>
  </si>
  <si>
    <t>Hong, Yi; Zheng, Qingxia; Cheng, Lingtong; Liu, Pingping; Xu, Guoyun; Zhang, Hui; Cao, Peijian; Zhou, Huina</t>
  </si>
  <si>
    <t>Identification and characterization of TMV-induced volatile signals in Nicotiana benthamiana: evidence for JA/ET defense pathway priming in congeneric neighbors via airborne (E)-2-octenal</t>
  </si>
  <si>
    <t>FUNCTIONAL &amp; INTEGRATIVE GENOMICS</t>
  </si>
  <si>
    <t>(E)-2-Octenal; Nicotiana benthamiana; TMV; Plant-plant interaction; JA; ET pathway; Airborne signal</t>
  </si>
  <si>
    <t>TOBACCO-MOSAIC-VIRUS; INDUCED SYSTEMIC RESISTANCE; SALICYLIC-ACID; ORGANIC-COMPOUNDS; PLANT DEFENSE; DISCRIMINATE; MECHANISMS; INFECTION; RESPONSES; PATHOGEN</t>
  </si>
  <si>
    <t>Plants release a mixture of volatile compounds when subjects to environmental stress, allowing them to transmit information to neighboring plants. Here, we find that Nicotiana benthamiana plants infected with tobacco mosaic virus (TMV) induces defense responses in neighboring congeners. Analytical screening of volatiles from N. benthamiana at 7 days post inoculation (dpi) using an optimized SPME-GC-MS method showed that TMV triggers the release of several volatiles, such as (E)-2-octenal, 6-methyl-5-hepten-2-one, and geranylacetone. Exposure to (E)-2-octenal enhances the resistance of N. benthamiana plants to TMV and triggers the immune system with upregulation of pathogenesis-related genes, such as NbPR1a, NbPR1b, NbPR2, and NbNPR1, which are related to TMV resistance. Furthermore, (E)-2-octenal upregulates jasmonic acid (JA) that levels up to 400-fold in recipient N. benthamiana plants and significantly affects the expression pattern of key genes in the JA/ET signaling pathway, such as NbMYC2, NbERF1, and NbPDF1.2, while the salicylic acid (SA) level is not significantly affected. Our results show for the first time that the volatile (E)-2-octenal primes the JA/ET pathway and then activates immune responses, ultimately leading to enhanced TMV resistance in adjacent N. benthamiana plants. These findings provide new insights into the role of airborne compounds in virus-induced interplant interactions.</t>
  </si>
  <si>
    <t>[Hong, Yi; Zheng, Qingxia; Cheng, Lingtong; Liu, Pingping; Xu, Guoyun; Zhang, Hui; Cao, Peijian; Zhou, Huina] Zhengzhou Tobacco Res Inst CNTC, China Tobacco Gene Res Ctr, Zhengzhou 450001, Peoples R China; [Zheng, Qingxia; Liu, Pingping; Xu, Guoyun; Zhang, Hui; Cao, Peijian; Zhou, Huina] Beijing Life Sci Acad, Beijing 102200, Peoples R China</t>
  </si>
  <si>
    <t>Zhengzhou Tobacco Research Institute of CNTC</t>
  </si>
  <si>
    <t>Cao, PJ; Zhou, HA (corresponding author), Zhengzhou Tobacco Res Inst CNTC, China Tobacco Gene Res Ctr, Zhengzhou 450001, Peoples R China.;Cao, PJ; Zhou, HA (corresponding author), Beijing Life Sci Acad, Beijing 102200, Peoples R China.</t>
  </si>
  <si>
    <t>peijiancao@163.com; joanzhn@163.com</t>
  </si>
  <si>
    <t>1438-793X</t>
  </si>
  <si>
    <t>1438-7948</t>
  </si>
  <si>
    <t>FUNCT INTEGR GENOMIC</t>
  </si>
  <si>
    <t>Funct. Integr. Genomics</t>
  </si>
  <si>
    <t>10.1007/s10142-023-01203-z</t>
  </si>
  <si>
    <t>P1GP5</t>
  </si>
  <si>
    <t>WOS:001048196000001</t>
  </si>
  <si>
    <t>Hu, YF; Yin, SH; Li, KQ; Zhang, B; Han, B</t>
  </si>
  <si>
    <t>Hu, Yafei; Yin, Shenghua; Li, Keqing; Zhang, Bo; Han, Bin</t>
  </si>
  <si>
    <t>Comprehensive utilization of solid waste resources: Development of wet shotcrete for mines</t>
  </si>
  <si>
    <t>INTERNATIONAL JOURNAL OF MINERALS METALLURGY AND MATERIALS</t>
  </si>
  <si>
    <t>tailings; solid waste; wet shotcrete; machine learning; mix proportion</t>
  </si>
  <si>
    <t>CEMENTED PASTE BACKFILL; COMPRESSIVE STRENGTH; OPTIMIZATION; PERFORMANCE; PREDICTION; REGRESSION; EXPANSION; FRACTURE; MODEL</t>
  </si>
  <si>
    <t>The development of solid waste resources as constituent materials for wet shotcrete has significant economic and environmental advantages. In this study, the concept of using tailings as aggregate and fly ash and slag powder as auxiliary cementitious material is proposed and experiments are carried out by response surface methodology (RSM). Multivariate nonlinear response models are constructed to investigate the effect of factors on the uniaxial compressive strength (UCS) of tailings wet shotcrete (TWSC). The UCS of TWSC is predicted and optimized by constructing Gaussian process regression (GPR) and genetic algorithm (GA). The UCS of TWSC is gradually enhanced with the increase of slag powder dosage and fineness modulus, and it is enhanced first and then decreased with the increase of fly ash dosage. The microstructure of TWSC has the highest gray value and the highest UCS when the fly ash dosage is about 120 kg &amp; BULL;m-3. The GPR-GA model constructed in this study achieves high accuracy prediction and optimization of the UCS of TWSC under multi-factor conditions.</t>
  </si>
  <si>
    <t>[Hu, Yafei; Yin, Shenghua; Li, Keqing; Zhang, Bo; Han, Bin] Univ Sci &amp; Technol Beijing, Sch Civil &amp; Resource Engn, Beijing 100083, Peoples R China; [Hu, Yafei; Yin, Shenghua; Li, Keqing; Zhang, Bo; Han, Bin] Univ Sci &amp; Technol Beijing, Minist Educ China Efficient Min &amp; Safety Met Mines, Key Lab, Beijing 100083, Peoples R China</t>
  </si>
  <si>
    <t>University of Science &amp; Technology Beijing; University of Science &amp; Technology Beijing</t>
  </si>
  <si>
    <t>Han, B (corresponding author), Univ Sci &amp; Technol Beijing, Sch Civil &amp; Resource Engn, Beijing 100083, Peoples R China.;Han, B (corresponding author), Univ Sci &amp; Technol Beijing, Minist Educ China Efficient Min &amp; Safety Met Mines, Key Lab, Beijing 100083, Peoples R China.</t>
  </si>
  <si>
    <t>bin.han@ustb.edu.cn</t>
  </si>
  <si>
    <t>This work was financially supported by the National Key Research and Development Program of China (Nos. 2018YFC1900603 and 2018YFC0604604). [2018YFC0604604]; National Key Research and Development Program of China; [2018YFC1900603]</t>
  </si>
  <si>
    <t>This work was financially supported by the National Key Research and Development Program of China (Nos. 2018YFC1900603 and 2018YFC0604604).; National Key Research and Development Program of China;</t>
  </si>
  <si>
    <t>This work was financially supported by the National Key Research and Development Program of China (Nos. 2018YFC1900603 and 2018YFC0604604).</t>
  </si>
  <si>
    <t>1674-4799</t>
  </si>
  <si>
    <t>1869-103X</t>
  </si>
  <si>
    <t>INT J MIN MET MATER</t>
  </si>
  <si>
    <t>Int. J. Miner. Metall. Mater.</t>
  </si>
  <si>
    <t>10.1007/s12613-022-2563-8</t>
  </si>
  <si>
    <t>Materials Science, Multidisciplinary; Metallurgy &amp; Metallurgical Engineering; Mining &amp; Mineral Processing</t>
  </si>
  <si>
    <t>Materials Science; Metallurgy &amp; Metallurgical Engineering; Mining &amp; Mineral Processing</t>
  </si>
  <si>
    <t>Q0US8</t>
  </si>
  <si>
    <t>WOS:001054759000006</t>
  </si>
  <si>
    <t>Huang, WJ; Ma, YB; Tottori, N; Yamanishi, Y</t>
  </si>
  <si>
    <t>Huang, Wenjing; Ma, Yibo; Tottori, Naotomo; Yamanishi, Yoko</t>
  </si>
  <si>
    <t>Enhancing suspended cell transfection by inducing localized distribution of the membrane actin cortex before exposure to electromechanical stimulation</t>
  </si>
  <si>
    <t>BIOTECHNOLOGY LETTERS</t>
  </si>
  <si>
    <t>Actin cortex; Cell transfection; Cytochalasin D; Electrically induced microbubble; Localized disruption; Suspended cell</t>
  </si>
  <si>
    <t>CYTOCHALASIN-D; GENE DELIVERY; CYTOSKELETON; FILAMENTS; POLYMERIZATION; INVOLVEMENT; FIBROBLASTS</t>
  </si>
  <si>
    <t>ObjectivesDuring physical transfection, an electrical field or mechanical force is used to induce cell transfection. We tested if the disruption of a dense actin layer underneath the membrane of a suspended cell enhances cell transfection.ResultsA bubble generator was used to electromechanically stimulate suspended cells. To clarify the influence of the actin layer (the actin cortex) on cell transfection efficiency, we used an actin polymerization inhibitor (cytochalasin D) to disrupt the actin cortex before electromechanical stimulation. Without cytochalasin D treatment, signals from the overall actin cortex decreased after electromechanical stimulation. With cytochalasin D treatment, there was localized F-actin aggregation under static conditions. After electromechanical stimulation, there was a partial loss (localized disruption), but no overall disruption, of the actin cortex. With the pretreatment with cytochalasin D, the transfection efficiency of plasmids (4.7, 8.3, or 11 kbp) into NIH/3T3 or UMR-106 cells increased significantly after exposure to electromechanical stimulation.ConclusionsLocalized distribution of the actin cortex before exposure to electromechanical stimulation is crucial for inducing a partial loss of the cortex, which improves transfection efficiency and large plasmid delivery.</t>
  </si>
  <si>
    <t>[Huang, Wenjing; Ma, Yibo; Tottori, Naotomo; Yamanishi, Yoko] Kyushu Univ, Dept Mech Engn, 744 Motooka,Nishi Ku, Fukuoka 8190395, Japan; [Huang, Wenjing] Kindai Univ Tech Coll, Informat &amp; Control Syst Course, 7-1 Kasugaoka, Nabari, Mie 5180459, Japan</t>
  </si>
  <si>
    <t>Kyushu University</t>
  </si>
  <si>
    <t>Yamanishi, Y (corresponding author), Kyushu Univ, Dept Mech Engn, 744 Motooka,Nishi Ku, Fukuoka 8190395, Japan.</t>
  </si>
  <si>
    <t>W-huang@ktc.ac.jp; yoko@mech.kyushu-u.ac.jp</t>
  </si>
  <si>
    <t>Core Research for Evolutional Science and Technology (CREST) from the Japan Science and Technology Agency (JST) [JPMJCR19S6]; JST Moonshot Ramp;D [JPMJMS2217-3-1]</t>
  </si>
  <si>
    <t>Core Research for Evolutional Science and Technology (CREST) from the Japan Science and Technology Agency (JST)(Japan Science &amp; Technology Agency (JST)Core Research for Evolutional Science and Technology (CREST)); JST Moonshot Ramp;D</t>
  </si>
  <si>
    <t>This work was supported by Core Research for Evolutional Science and Technology (CREST) grant from the Japan Science and Technology Agency (JST) (grant number: JPMJCR19S6) and JST Moonshot R &amp; amp;D (JPMJMS2217-3-1).</t>
  </si>
  <si>
    <t>0141-5492</t>
  </si>
  <si>
    <t>1573-6776</t>
  </si>
  <si>
    <t>BIOTECHNOL LETT</t>
  </si>
  <si>
    <t>Biotechnol. Lett.</t>
  </si>
  <si>
    <t>10.1007/s10529-023-03382</t>
  </si>
  <si>
    <t>Q4AW0</t>
  </si>
  <si>
    <t>WOS:001056970600001</t>
  </si>
  <si>
    <t>Huang, Y; Chang, ZY; Xia, X; Zhao, ZY; Zhang, XJ; Huang, ZW; Wu, CB; Pan, X</t>
  </si>
  <si>
    <t>Huang, Ying; Chang, Ziyao; Xia, Xiao; Zhao, Ziyu; Zhang, Xuejuan; Huang, Zhengwei; Wu, Chuanbin; Pan, Xin</t>
  </si>
  <si>
    <t>Current and evolving knowledge domains of cubosome studies in the new millennium</t>
  </si>
  <si>
    <t>JOURNAL OF NANOPARTICLE RESEARCH</t>
  </si>
  <si>
    <t>Cubosome; Bibliometric study; Web of Science; VOSviewer; Nanostructure; Drug delivery</t>
  </si>
  <si>
    <t>DRUG-DELIVERY; CUBIC PHASE; CRYO-TRANSMISSION; LIQUID-CRYSTAL; SYSTEM; NANOPARTICLES; ADJUVANT; VIVO; PEPTIDES; LIPOSOME</t>
  </si>
  <si>
    <t>Cubosomes have aroused growing interest recently due to their widespread applications in pharmaceutical, food, cosmetic industries, etc. Especially, they demonstrate many advantages as drug delivery systems. However, no pharmaceutical products have been translated from bench to bedside so far. To promote the translation of the drug delivery system candidate, it is significant to accumulate fundamental and applied-fundamental knowledge of cubosomes. In the study, a bibliometric study upon cubosome research was carried out on the basis of Web of Science Core Collection database to figure out current and evolving knowledge domains of the published studies in a logical and robust way, summarizing the status quo and pointing out the future directions of cubosome research. Four questions which are pending addressed were answered by applying this research method and some conclusions were drawn: (1) Australia could be viewed as the most productive contributor for cubosome research. (2) Langmuir might be the most influential publishing media. (3) Using cubosomes as drug delivery carriers was a hot topic. (4) Adopting cubosomes as ocular drug delivery vehicles would continue to be a frequently studied aspect. In addition, cubosomes serve as alternative vector deliver active pharmaceutical ingredients to the brain and encapsulate active components extracted from herbal and traditional medicines in cubosomes are the burgeoning trends. By answering the four questions, productive contributors, influential publishing media, current research foci, and future directions were figured out. Hence, the current and evolving knowledge domains of cubosome studies were illustrated.</t>
  </si>
  <si>
    <t>[Huang, Ying; Xia, Xiao; Zhang, Xuejuan; Huang, Zhengwei; Wu, Chuanbin] Jinan Univ, Coll Pharm, Guangzhou 510006, Peoples R China; [Chang, Ziyao; Pan, Xin] Sun Yat Sen Univ, Sch Pharmaceut Sci, Guangzhou 510006, Peoples R China; [Zhao, Ziyu] Jinan Univ, Guangzhou Red Cross Hosp, Dept Pharm, Guangzhou 510220, Peoples R China</t>
  </si>
  <si>
    <t>Jinan University; Sun Yat Sen University; Jinan University</t>
  </si>
  <si>
    <t>Zhang, XJ; Huang, ZW (corresponding author), Jinan Univ, Coll Pharm, Guangzhou 510006, Peoples R China.;Pan, X (corresponding author), Sun Yat Sen Univ, Sch Pharmaceut Sci, Guangzhou 510006, Peoples R China.</t>
  </si>
  <si>
    <t>zhanghongdou0223@126.com; huangzhengw@jnu.edu.cn; panxin2@mail.sysu.edu.cn</t>
  </si>
  <si>
    <t>China Postdoctoral Science Foundation Special Funded Project [2022T150268]; Guangzhou Science and Technology Plan Project [202201010589]</t>
  </si>
  <si>
    <t>China Postdoctoral Science Foundation Special Funded Project; Guangzhou Science and Technology Plan Project</t>
  </si>
  <si>
    <t>This work was supported by China Postdoctoral Science Foundation Special Funded Project [grant number 2022T150268] and Guangzhou Science and Technology Plan Project [grant number 202201010589].</t>
  </si>
  <si>
    <t>1388-0764</t>
  </si>
  <si>
    <t>1572-896X</t>
  </si>
  <si>
    <t>J NANOPART RES</t>
  </si>
  <si>
    <t>J. Nanopart. Res.</t>
  </si>
  <si>
    <t>10.1007/s11051-023-05823-1</t>
  </si>
  <si>
    <t>Chemistry, Multidisciplinary; Nanoscience &amp; Nanotechnology; Materials Science, Multidisciplinary</t>
  </si>
  <si>
    <t>Q0KD3</t>
  </si>
  <si>
    <t>WOS:001054476900001</t>
  </si>
  <si>
    <t>Hussain, A; Kumar, SHK; Prathiviraj, R; Kumar, AA; Renjith, K; Kiran, GS; Selvin, J</t>
  </si>
  <si>
    <t>Hussain, Afreen; Kumar, S. Hari Krishna; Prathiviraj, R.; Kumar, Ashish Ashwin; Renjith, Kalyani; Kiran, G. Seghal; Selvin, Joseph</t>
  </si>
  <si>
    <t>The genome of Symbiodiniaceae-associated Stutzerimonas frequens CAM01 reveals a broad spectrum of antibiotic resistance genes indicating anthropogenic drift in the Palk Bay coral reef of south-eastern India</t>
  </si>
  <si>
    <t>ARCHIVES OF MICROBIOLOGY</t>
  </si>
  <si>
    <t>Antibiotic resistance; Coral reefs; Palk Bay; Stutzerimonas frequens; Antibiotic-resistant genes</t>
  </si>
  <si>
    <t>PSEUDOMONAS-AERUGINOSA; SURFACE MUCUS; DATABASE; QUALITY; HEALTH; COAST; PREVALENCE; NETWORK; CELLS; LIFE</t>
  </si>
  <si>
    <t>An increase in antibiotic pollution in reef areas will lead to the emergence of antibiotic-resistant bacteria, leading to ecological disturbances in the sensitive coral holobiont. This study provides insights into the genome of antibiotics-resistant Stutzerimonas frequens CAM01, isolated from Favites-associated Symbiodiniaceae of a near-shore polluted reef of Palk Bay, India. The draft genome contains 4.67 Mbp in size with 52 contigs. Further genome analysis revealed the presence of four antibiotic-resistant genes, namely, adeF, rsmA, APH (3)-Ib, and APH (6)-Id that provide resistance by encoding resistance- nodulation-cell division (RND) antibiotic efflux pump and aminoglycoside phosphotransferase. The isolate showed resistance against 73% of the antibiotics tested, concurrent with the predicted AMR genes. Four secondary metabolites, namely Aryl polyene, NRPS-independent-siderophore, terpenes, and ectoine were detected in the isolate, which may play a role in virulence and pathogenicity adaptation in microbes. This study provides key insights into the genome of Stutzerimonas frequens CAM01 and highlights the emergence of antibiotic-resistant bacteria in coral reef ecosystems.</t>
  </si>
  <si>
    <t>[Hussain, Afreen; Kumar, S. Hari Krishna; Prathiviraj, R.; Kumar, Ashish Ashwin; Renjith, Kalyani; Selvin, Joseph] Pondicherry Univ, Dept Microbiol, Kalapet 605014, Puducherry, India; [Kiran, G. Seghal] Pondicherry Univ, Sch Life Sci, Dept Food Sci &amp; Technol, Pondicherry, India</t>
  </si>
  <si>
    <t>Pondicherry University; Pondicherry University</t>
  </si>
  <si>
    <t>Selvin, J (corresponding author), Pondicherry Univ, Dept Microbiol, Kalapet 605014, Puducherry, India.</t>
  </si>
  <si>
    <t>josephselvinss@pondiuni.ac.in</t>
  </si>
  <si>
    <t>Department of Biotechnology (DBT), New Delhi, India [WL (A)/16437/2014]</t>
  </si>
  <si>
    <t>Department of Biotechnology (DBT), New Delhi, India(Department of Biotechnology (DBT) India)</t>
  </si>
  <si>
    <t>The authors would like to acknowledge the Department of Biotechnology (DBT), New Delhi, India for the research grant and~Forest Department for providing permission to carry this research at Palk Bay~(Ref. No. WL (A)/16437/2014).</t>
  </si>
  <si>
    <t>0302-8933</t>
  </si>
  <si>
    <t>1432-072X</t>
  </si>
  <si>
    <t>ARCH MICROBIOL</t>
  </si>
  <si>
    <t>Arch. Microbiol.</t>
  </si>
  <si>
    <t>10.1007/s00203-023-03656-z</t>
  </si>
  <si>
    <t>Q0LK9</t>
  </si>
  <si>
    <t>WOS:001054512300001</t>
  </si>
  <si>
    <t>Jabar, A; Benyoussef, S; Bahmad, L</t>
  </si>
  <si>
    <t>Jabar, A.; Benyoussef, S.; Bahmad, L.</t>
  </si>
  <si>
    <t>A first principal study of the electronic, optic and thermoelectric properties of double perovskite K2CuRhX6 (X = Cl or I)</t>
  </si>
  <si>
    <t>Double perovskite; K2CuRhX6; DFT; Optical properties; Thermoelectric properties; Boltzmann transport theory</t>
  </si>
  <si>
    <t>MONTE-CARLO; MAGNETIC-PROPERTIES</t>
  </si>
  <si>
    <t>Herein, the structural, electronic, optical, and thermoelectric properties of the double perovskite K2CuRhX6 (X = Cl or I) were examined by theoretical calculations in the framework DFT with the GGA-PBE approach. With the optimized lattice parameters, the results showed that K2CuRhCl6 and K2CuRhI6 exhibit a semiconducting nature with an indirect band gap of 0.7 eV and 0.6 eV, respectively. The optical parameters, including real and imaginary parts of optical conductivity, absorption coefficient, and refractive index, were computed and discussed. Besides, analysis of the calculated thermoelectric properties of the materials K2CuRhX6 (X = Cl or I) indicates peaks in the figure of merit at 2.5 for K2CuRhCl6 and 0.1 for K2CuRhI6 at 310 K, respectively, exhibiting that the compound K2CuRhCl6 can be suitable for optoelectronic and thermoelectric devices than the compound K2CuRhI6. Both compounds are the potential for thermoelectric applications, according to the computed results. We anticipate that this publication will encourage additional research using experimental investigations.</t>
  </si>
  <si>
    <t>[Jabar, A.] Hassan II Univ Casablanca, Fac Sci Ain Chock, LPMAT, BP 5366, Casablanca, Morocco; [Jabar, A.] Mohammed V Univ Rabat, Sci Fac, Rabat, Morocco; [Benyoussef, S.; Bahmad, L.] Mohammed V Univ, Fac Sci, Lab Condensed Matter &amp; Interdisciplinary Sci LaMCS, Ave Ibn Batouta,BP 1014, Rabat, Morocco</t>
  </si>
  <si>
    <t>Hassan II University of Casablanca; Mohammed V University in Rabat; Mohammed V University in Rabat</t>
  </si>
  <si>
    <t>Bahmad, L (corresponding author), Mohammed V Univ, Fac Sci, Lab Condensed Matter &amp; Interdisciplinary Sci LaMCS, Ave Ibn Batouta,BP 1014, Rabat, Morocco.</t>
  </si>
  <si>
    <t>bahmad@fsr.ac.ma</t>
  </si>
  <si>
    <t>10.1007/s11082-023-05130-y</t>
  </si>
  <si>
    <t>M2UA3</t>
  </si>
  <si>
    <t>WOS:001028769900002</t>
  </si>
  <si>
    <t>Janssen, EM; van Gog, T; van de Groep, L; de Lange, AJ; Knopper, RL; Onan, E; Wiradhany, W; de Bruin, ABH</t>
  </si>
  <si>
    <t>Janssen, Eva M.; van Gog, Tamara; van de Groep, Laura; de Lange, Anne Joia; Knopper, Roosmarijn L.; Onan, Erdem; Wiradhany, Wisnu; de Bruin, Anique B. H.</t>
  </si>
  <si>
    <t>The Role of Mental Effort in Students' Perceptions of the Effectiveness of Interleaved and Blocked Study Strategies and Their Willingness to Use Them</t>
  </si>
  <si>
    <t>Mental effort; Judgments of learning; Study considerations; Effective study strategies; Interleaved study; Blocked study</t>
  </si>
  <si>
    <t>CONTEXTUAL INTERFERENCE; ACQUISITION; CATEGORY; SKILLS; PERFORMANCE; RETENTION</t>
  </si>
  <si>
    <t>Students tend to avoid effective but effortful study strategies. One potential explanation could be that high-effort experiences may not give students an immediate feeling of learning, which may affect their perceptions of the strategy's effectiveness and their willingness to use it. In two experiments, we investigated the role of mental effort in students' considerations about a typically effortful and effective strategy (interleaved study) versus a typically less effortful and less effective strategy (blocked study), and investigated the effect of individual feedback about students' study experiences and learning outcomes on their considerations. Participants learned painting styles using both blocked and interleaved studying (within-subjects, Experiment 1, N = 150) or either blocked or interleaved studying (between-subjects, Experiment 2, N = 299), and reported their study experiences and considerations before, during, and after studying. Both experiments confirmed prior research that students reported higher effort investment and made lower judgments of learning during interleaved than during blocked studying. Furthermore, effort was negatively related to students' judgments of learning and (via these judgments) to the perceived effectiveness of the strategy and their willingness to use it. Interestingly, these relations were stronger in Experiment 1 than in Experiment 2, suggesting that effort might become a more influential cue when students can directly compare experiences with two strategies. Feedback positively affected students' considerations about interleaved studying, yet not to the extent that they considered it more effective and desirable than blocked studying. Our results provide evidence that students use effort as a cue for their study strategy decisions.</t>
  </si>
  <si>
    <t>[Janssen, Eva M.; van Gog, Tamara; van de Groep, Laura; de Lange, Anne Joia; Knopper, Roosmarijn L.] Univ Utrecht, Dept Educ, Heidelberglaan 1, NL-3584 CS Utrecht, Netherlands; [Onan, Erdem; de Bruin, Anique B. H.] Maastricht Univ, Sch Hlth Profess Educ, Dept Educ Dev &amp; Res, Maastricht, Netherlands; [Wiradhany, Wisnu] Atma Jaya Catholic Univ Indonesia, Fac Psychol, Jakarta, Indonesia</t>
  </si>
  <si>
    <t>Utrecht University; Maastricht University; University Katolik Indonesia Atma Jaya</t>
  </si>
  <si>
    <t>Janssen, EM (corresponding author), Univ Utrecht, Dept Educ, Heidelberglaan 1, NL-3584 CS Utrecht, Netherlands.</t>
  </si>
  <si>
    <t>e.m.janssen@uu.nl</t>
  </si>
  <si>
    <t>Onan, Erdem/JGL-7981-2023</t>
  </si>
  <si>
    <t>Jacobs Foundation</t>
  </si>
  <si>
    <t>This work was supported by the Jacobs Foundation.</t>
  </si>
  <si>
    <t>10.1007/s10648-023-09797-3</t>
  </si>
  <si>
    <t>P2DJ0</t>
  </si>
  <si>
    <t>WOS:001048794100002</t>
  </si>
  <si>
    <t>Jeevalatha, A; Siddappa, S; Kumar, R; Tiwari, RK; Lal, MK; Sharma, S; Chakrabarti, SK; Singh, BP</t>
  </si>
  <si>
    <t>Jeevalatha, Arjunan; Siddappa, Sundaresha; Kumar, Ravinder; Tiwari, Rahul Kumar; Lal, Milan Kumar; Sharma, Sanjeev; Chakrabarti, Swarup Kumar; Singh, Bir Pal</t>
  </si>
  <si>
    <t>RNA-seq analysis reveals an early defense response to tomato leaf curl New Delhi virus in potato cultivar Kufri Bahar</t>
  </si>
  <si>
    <t>Potato; ToLCNDV; RNA-seq; Kufri Bahar; Kufri Pukhraj</t>
  </si>
  <si>
    <t>RESISTANCE; COMPLEX; GENES; INFECTION; SEQUENCE; DISEASE</t>
  </si>
  <si>
    <t>Potatoes in India are very susceptible to apical leaf curl disease, which causes severe symptoms and greater yield losses. Because the majority of potato cultivars are susceptible to the virus, it is crucial to discover sources of resistance and investigate the mechanism of resistance/susceptibility in potato cultivars. In this study, the gene expression profile of two potato cultivars, Kufri Bahar (resistant) and Kufri Pukhraj (susceptible), varying in their level of resistance to ToLCNDV, was analyzed using RNA-Seq. The Ion ProtonTM system was used to sequence eight RiboMinus RNA libraries from inoculated and uninoculated potato plants at 15 and 20 days after inoculation (DAI). The findings indicated that the majority of differentially expressed genes (DEGs) were cultivar-or time-specific. These DEGs included genes for proteins that interact with viruses, genes linked with the cell cycle, genes for proteins involved in defense, transcription and translation initiation factors, and plant hormone signaling pathway genes. Interestingly, defense responses were generated early in Kufri Bahar, at 15 DAI, which may have impeded the replication and spread of ToLCNDV. This research provides a genome-wide transcriptional analysis of two potato cultivars with variable levels of ToLCNDV resistance. At an early stage, we observed suppression of genes that interact with viral proteins, induction of genes associated with restriction of cell division, genes encoding defense proteins, AP2/ERF transcription factors, and altered expression of zinc finger protein genes, HSPs, JA, and SA pathway-related genes. Our findings add to a greater comprehension of the molecular basis of potato resistance to ToLCNDV and may aid in the development of more effective disease management techniques.</t>
  </si>
  <si>
    <t>[Jeevalatha, Arjunan; Siddappa, Sundaresha; Kumar, Ravinder; Tiwari, Rahul Kumar; Lal, Milan Kumar; Sharma, Sanjeev; Chakrabarti, Swarup Kumar; Singh, Bir Pal] ICAR Cent Potato Res Inst, Shimla 171001, Himachal Prades, India; [Jeevalatha, Arjunan] ICAR Indian Inst Sp Res, Kozhikode 673012, Kerala, India</t>
  </si>
  <si>
    <t>Indian Council of Agricultural Research (ICAR); ICAR - Central Potato Research Institute</t>
  </si>
  <si>
    <t>Kumar, R; Tiwari, RK (corresponding author), ICAR Cent Potato Res Inst, Shimla 171001, Himachal Prades, India.</t>
  </si>
  <si>
    <t>chauhanravinder97@gmail.com; rahultiwari226@gmail.com</t>
  </si>
  <si>
    <t>Kumar, Ravinder/AAQ-4588-2021; LAL, MILAN KUMAR/ABI-7965-2020</t>
  </si>
  <si>
    <t>Kumar, Ravinder/0000-0001-9034-7742; LAL, MILAN KUMAR/0000-0002-2442-9640</t>
  </si>
  <si>
    <t>Indian Council of Agricultural Research, New Delhi, India</t>
  </si>
  <si>
    <t>Indian Council of Agricultural Research, New Delhi, India(Indian Council of Agricultural Research (ICAR))</t>
  </si>
  <si>
    <t>This study was funded by the Indian Council of Agricultural Research, New Delhi, India.</t>
  </si>
  <si>
    <t>10.1007/s10142-023-01138-5</t>
  </si>
  <si>
    <t>L1UO4</t>
  </si>
  <si>
    <t>WOS:001021178600002</t>
  </si>
  <si>
    <t>Kaminski, P; Perry, BL; Green, HDG</t>
  </si>
  <si>
    <t>Kaminski, Patrick; Perry, Brea L.; Green Jr, Harold D.</t>
  </si>
  <si>
    <t>Comparing professional communities: Opioid prescriber networks and Public Health Preparedness Districts</t>
  </si>
  <si>
    <t>Public health; Social networks; Interventions; Opioids</t>
  </si>
  <si>
    <t>PATIENT-SHARING NETWORKS; UNITED-STATES; GEO-GRAPH; CARE; ALGORITHMS; INNOVATION</t>
  </si>
  <si>
    <t>Problem opioid use and opioid-related drug overdoses remain a major public health concern despite attempts to reduce and monitor opioid prescriptions and increase access to office-based opioid treatment. Current provider-focused interventions are implemented at the federal, state, regional, and local levels but have not slowed the epidemic. Certain targeted interventions aimed at opioid prescribers rely on populations defined along geographic, political, or administrative boundaries; however, those boundaries may not align well with actual provider-patient communities or with the geographic distribution of high-risk opioid use. Instead of relying exclusively on commonly used geographic and administrative boundaries, we suggest augmenting existing strategies with a social network-based approach to identify communities (or clusters) of providers that prescribe to the same set of patients as another mechanism for targeting certain interventions. To test this approach, we analyze 1 year of prescription data from a commercially insured population in the state of Indiana. The composition of inferred clusters is compared to Indiana's Public Health Preparedness Districts (PHPDs). We find that in some cases the correspondence between provider networks and PHPDs is very high, while in other cases the overlap is low. This has implications for whether an intervention is reaching its intended provider targets efficiently and effectively. Assessing the best intervention targeting strategy for a particular outcome could facilitate more effective interventions to tackle the ongoing opioid use epidemic.</t>
  </si>
  <si>
    <t>[Kaminski, Patrick; Perry, Brea L.] Indiana Univ, Dept Sociol, Bloomington, IN 46202 USA; [Kaminski, Patrick] Indiana Univ, Luddy Sch Informat Comp &amp; Engn, Bloomington, IN 46202 USA; [Green Jr, Harold D.] Indiana Univ, Sch Publ Hlth, Bloomington, IN USA</t>
  </si>
  <si>
    <t>Indiana University System; Indiana University Bloomington; Indiana University System; Indiana University Bloomington; Indiana University System; Indiana University Bloomington</t>
  </si>
  <si>
    <t>Kaminski, P (corresponding author), Indiana Univ, Dept Sociol, Bloomington, IN 46202 USA.;Kaminski, P (corresponding author), Indiana Univ, Luddy Sch Informat Comp &amp; Engn, Bloomington, IN 46202 USA.</t>
  </si>
  <si>
    <t>pckamins@indiana.edu</t>
  </si>
  <si>
    <t>Special thanks to Alexander Gates for helpful discussions of the clustering similarity method, S. Thomas Kelly for assistance with the community detection implementation, and Meltem Odabas and Kaicheng Yang for generating parts of the data. Thanks to our c</t>
  </si>
  <si>
    <t>Special thanks to Alexander Gates for helpful discussions of the clustering similarity method, S. Thomas Kelly for assistance with the community detection implementation, and Meltem Odabas and Kaicheng Yang for generating parts of the data. Thanks to our colleague Sirag Erkol for assistance with developing the maps for this study. Our gratitude as well to Byungkyu Lee, Yong-Yeol Ahn, Sumedha Gupta, Christian Kipp and the Medical Sociology Working Group for valuable discussions of the research. Special thanks to Pam Pontones and Paul Halverson for providing crucial information about the origins and rationale behind the current Public Health Preparedness Districts. We would also like to acknowledge the guidance of Dr. Robin Newhouse for her invaluable assistance during the course of this research. Last, we would like to thank the anonymous reviewers of this paper who have significantly improved it through their suggestions.</t>
  </si>
  <si>
    <t>10.1186/s12954-023-00840-8</t>
  </si>
  <si>
    <t>Q6QD3</t>
  </si>
  <si>
    <t>WOS:001058741500001</t>
  </si>
  <si>
    <t>Karim, F; Haneef, M; Ullah, SS; Alsafyani, M; Alroobaea, R; Algarni, S; Hussain, S</t>
  </si>
  <si>
    <t>Karim, Fazal; Haneef, Muhammad; Ullah, Syed Sajid; Alsafyani, Majed; Alroobaea, Roobaea; Algarni, Sultan; Hussain, Saddam</t>
  </si>
  <si>
    <t>Manipulation speed of light and giant phase shifting: a new quantum-based model for improving efficiency and security of internet of things</t>
  </si>
  <si>
    <t>Quantum communication; Superluminal propagation; Subluminal propagation; Cloaking</t>
  </si>
  <si>
    <t>The Internet of Things (IoT) is transitioning towards Quantum Computing soon, relying on electromagnetic waves for data transfer within circuits and between IoT devices. This paper introduces a four-level atomic medium controlled by electromagnetic fields to manipulate the speed of light, resulting in subluminal and superluminal information transfer for IoT. Subluminal propagation transmits data at an average rate, while superluminal propagation transfers data faster than conventional methods. The differentiation between these two modes of propagation is determined by the sign of the group index, which is positive for subluminal and negative for superluminal. Our proposed model reports a maximum positive and negative group index of +/- 5000. This modified group velocity to become nu(g) = +/- c/5000 enhances IoT information transferring in quantum-based communication. The group delay time is measured to t(d) = +/- 10 mu s in the medium, which increases the capacity for IoT information storage. The maximum value of normal and anomalous phase shift is reported to Phi = +/- 20000 radians at 60cm lengths of the medium; this effect is used to divide information in sub-set that protect IoT information from different types of attacks and losses.</t>
  </si>
  <si>
    <t>[Karim, Fazal; Haneef, Muhammad] Hazara Univ Mansehra, Dept Phys, Mansehra 21120, Pakistan; [Ullah, Syed Sajid] Univ Agder UiA, Dept Informat &amp; Commun Technol, N-4898 Grimstad, Norway; [Alsafyani, Majed; Alroobaea, Roobaea] Taif Univ, Coll Comp &amp; Informat Technol, Dept Comp Sci, POB 11099, Taif 21944, Saudi Arabia; [Algarni, Sultan] King Abdulaziz Univ, Fac Comp &amp; Informat Technol, Dept Informat Syst, Jeddah 21589, Saudi Arabia; [Hussain, Saddam] Univ Brunei Darussalam, Sch Digital Sci, Jalan Tungku Link, BE-1410 Gadong, Brunei</t>
  </si>
  <si>
    <t>Hazara University; University of Agder; Taif University; King Abdulaziz University; University Brunei Darussalam</t>
  </si>
  <si>
    <t>Ullah, SS (corresponding author), Univ Agder UiA, Dept Informat &amp; Commun Technol, N-4898 Grimstad, Norway.</t>
  </si>
  <si>
    <t>fazalkarim3268@gmail.com; hanifsaqi85@gmail.com; syed.s.ullah@uia.no; alsufyani@tu.edu.sa; r.robai@tu.edu.sa; saalgarni@kau.edu.sa; saddamicup1993@gmail.com</t>
  </si>
  <si>
    <t>Alroobaea, Roobaea/M-3894-2019; Alsafyani, Majed Abdullah/IQW-6993-2023</t>
  </si>
  <si>
    <t>Alroobaea, Roobaea/0000-0003-1585-2962; Alsafyani, Majed Abdullah/0009-0004-0048-8402; Alsafyani, Majed/0009-0005-7990-0435</t>
  </si>
  <si>
    <t>Taif University</t>
  </si>
  <si>
    <t>The researchers would like to acknowledge Deanship of Scientific Research, Taif University for funding this work.</t>
  </si>
  <si>
    <t>10.1007/s11082-023-05074-3</t>
  </si>
  <si>
    <t>WOS:001022709300030</t>
  </si>
  <si>
    <t>Kerbl, R</t>
  </si>
  <si>
    <t>Kerbl, Reinhold</t>
  </si>
  <si>
    <t>Networked Pediatrics</t>
  </si>
  <si>
    <t>MONATSSCHRIFT KINDERHEILKUNDE</t>
  </si>
  <si>
    <t>[Kerbl, Reinhold] Landeskrankenhaus Hochsteiermark, Abt Kinder &amp; Jugendl, Vordernberger Str 42, A-8700 Leoben, Austria</t>
  </si>
  <si>
    <t>Kerbl, R (corresponding author), Landeskrankenhaus Hochsteiermark, Abt Kinder &amp; Jugendl, Vordernberger Str 42, A-8700 Leoben, Austria.</t>
  </si>
  <si>
    <t>reinhold.kerbl@kages.at</t>
  </si>
  <si>
    <t>0026-9298</t>
  </si>
  <si>
    <t>1433-0474</t>
  </si>
  <si>
    <t>MONATSSCHR KINDERH</t>
  </si>
  <si>
    <t>Mon.schr. Kinderheilkd.</t>
  </si>
  <si>
    <t>10.1007/s00112-023-01821-8</t>
  </si>
  <si>
    <t>S2KB0</t>
  </si>
  <si>
    <t>WOS:001069497700002</t>
  </si>
  <si>
    <t>Khan, A; Sohail, S; Yaseen, S; Fatima, S; Wisal, A; Ahmed, S; Nasir, M; Irfan, M; Karim, A; Basharat, Z; Khan, Y; Aurongzeb, M; Raza, SK; Alshahrani, MY; Morel, CM; Hassan, SS</t>
  </si>
  <si>
    <t>Khan, Aafareen; Sohail, Saman; Yaseen, Seerat; Fatima, Sareen; Wisal, Ayesha; Ahmed, Sufyan; Nasir, Mahrukh; Irfan, Muhammad; Karim, Asad; Basharat, Zarrin; Khan, Yasmin; Aurongzeb, Muhammad; Raza, Syed Kashif; Alshahrani, Mohammad Y.; Morel, Carlos M.; Hassan, Syed S.</t>
  </si>
  <si>
    <t>Exploring and targeting potential druggable antimicrobial resistance targets ArgS, SecY, and MurA in Staphylococcus sciuri with TCM inhibitors through a subtractive genomics strategy</t>
  </si>
  <si>
    <t>Staphylococcus sciuri; Druggable targets; TCM library; Subtractive genomics; Molecular docking; MD simulation</t>
  </si>
  <si>
    <t>METHICILLIN RESISTANCE; STRAINS; MECA; VIRULENCE; EVOLUTION; DATABASE; GENE; IDENTIFICATION; EXPRESSION; PREDICTION</t>
  </si>
  <si>
    <t>Staphylococcus sciuri (also currently Mammaliicoccus sciuri) are anaerobic facultative and non-motile bacteria that cause significant human pathogenesis such as endocarditis, wound infections, peritonitis, UTI, and septic shock. Methicillin-resistant S. sciuri (MRSS) strains also infects animals that include healthy broilers, cattle, dogs, and pigs. The emergence of MRSS strains thereby poses a serious health threat and thrives the scientific community towards novel treatment options. Herein, we investigated the druggable genome of S. sciuri by employing subtractive genomics that resulted in seven genes/proteins where only three of them were predicted as final targets. Further mining the literature showed that the ArgS (WP_058610923), SecY (WP_058611897), and MurA (WP_058612677) are involved in the multi-drug resistance phenomenon. After constructing and verifying the 3D protein homology models, a screening process was carried out using a library of Traditional Chinese Medicine compounds (consisting of 36,043 compounds). The molecular docking and simulation studies revealed the physicochemical stability parameters of the docked TCM inhibitors in the druggable cavities of each protein target by identifying their druggability potential and maximum hydrogen bonding interactions. The simulated receptor-ligand complexes showed the conformational changes and stability index of the secondary structure elements. The root mean square deviation (RMSD) graph showed fluctuations due to structural changes in the helix-coil-helix and beta-turn-beta changes at specific points where the pattern of the RMSD and root mean square fluctuation (RMSF) (&lt; 1.0 &amp; ANGS;) support any major domain shifts within the structural framework of the protein-ligand complex and placement of ligand was well complemented within the binding site. The &amp; beta;-factor values demonstrated instability at few points while the radius of gyration for structural compactness as a time function for the 100-ns simulation of protein-ligand complexes showed favorable average values and denoted the stability of all complexes. It is assumed that such findings might facilitate researchers to robustly discover and develop effective therapeutics against S. sciuri alongside other enteric infections.</t>
  </si>
  <si>
    <t>[Khan, Aafareen; Sohail, Saman; Wisal, Ayesha] Islamia Coll Peshawar, Dept Chem, Peshawar 25000, KP, Pakistan; [Yaseen, Seerat; Ahmed, Sufyan] Abbasi Shaheed Hosp, Karachi Med &amp; Dent Coll, Karachi, Pakistan; [Fatima, Sareen] Univ Balochistan, Dept Microbiol, Quetta, Balochistan, Pakistan; [Nasir, Mahrukh; Irfan, Muhammad; Karim, Asad; Khan, Yasmin; Hassan, Syed S.] Univ Karachi, Dr Panjwani Ctr Mol Med, Int Ctr Chem &amp; Biol Sci ICCBS PCMD, Karachi 75270, Pakistan; [Basharat, Zarrin] Alpha Genom Private Ltd, Islamabad 44710, Pakistan; [Aurongzeb, Muhammad] Hamdard Univ, Fac Engn Sci &amp; Technol, Karachi 74600, Pakistan; [Raza, Syed Kashif] Riphah Int Univ, Fac Rehabil &amp; Allied Hlth Sci FRAHS, Faisalabad, Pakistan; [Alshahrani, Mohammad Y.] King Khalid Univ, Coll Appl Med Sci, Dept Clin Lab Sci, POB 61413, Abha 9088, Saudi Arabia; [Morel, Carlos M.; Hassan, Syed S.] Oswaldo Cruz Fdn Fiocruz, Ctr Technol Dev Hlth CDTS, Bldg Expansao,8Th Floor Room 814,Ave Brasil 4036 M, BR-21040361 Rio De Janeiro, RJ, Brazil</t>
  </si>
  <si>
    <t>University of Peshawar; University of Balochistan; University of Karachi; Hamdard University; King Khalid University; Center for Technological Development in Health (CDTS); Fundacao Oswaldo Cruz</t>
  </si>
  <si>
    <t>Hassan, SS (corresponding author), Univ Karachi, Dr Panjwani Ctr Mol Med, Int Ctr Chem &amp; Biol Sci ICCBS PCMD, Karachi 75270, Pakistan.;Hassan, SS (corresponding author), Oswaldo Cruz Fdn Fiocruz, Ctr Technol Dev Hlth CDTS, Bldg Expansao,8Th Floor Room 814,Ave Brasil 4036 M, BR-21040361 Rio De Janeiro, RJ, Brazil.</t>
  </si>
  <si>
    <t>aafreendarweshkhan@gmail.com; samansohail195@gmail.com; its_seerat93@hotmail.com; sayreenkhan@gmail.com; ayeshawisal@gmail.com; drsufyan76@yahoo.com; drmahrukhnasir@gmail.com; mirfan046@gmail.com; asad.karim.alvi@gmail.com; zarrin.iiui@gmail.com; yasminkhanmpharm@gmail.com; aurangzebku@gmail.com; s_kashif_raza@outlook.com; moyahya@kku.edu.sa; carlos.morel@cdts.fiocruz.br; hassanchemist83@gmail.com</t>
  </si>
  <si>
    <t>Hassan, Syed Shah/AAQ-5460-2021; Basharat, Zarrin/U-3274-2019; Irfan, Muhammad/AAL-9371-2020</t>
  </si>
  <si>
    <t>Hassan, Syed Shah/0000-0003-1251-5215; Basharat, Zarrin/0000-0003-1785-3803; Irfan, Muhammad/0000-0003-1446-583X; WISAL, AYESHA/0000-0003-2253-8824</t>
  </si>
  <si>
    <t>Deanship of Scientific Research at King Khalid University, Saudi Arabia [RGP. 2/370/44]</t>
  </si>
  <si>
    <t>Deanship of Scientific Research at King Khalid University, Saudi Arabia</t>
  </si>
  <si>
    <t>The authors also express their appreciation to the Deanship of Scientific Research at King Khalid University, Saudi Arabia, (Research Group Program under funding grant number: RGP. 2/370/44).</t>
  </si>
  <si>
    <t>10.1007/s10142-023-01179-w</t>
  </si>
  <si>
    <t>N3PB8</t>
  </si>
  <si>
    <t>WOS:001036161700001</t>
  </si>
  <si>
    <t>Khatamian, N; Motavalizadehkakhky, A; Tabrizi, MH; Mehrzad, J; Zhiani, R</t>
  </si>
  <si>
    <t>Khatamian, Niloufar; Motavalizadehkakhky, Alireza; Tabrizi, Masoud Homayouni; Mehrzad, Jamshid; Zhiani, Rahele</t>
  </si>
  <si>
    <t>Preparation and Characterization of the Myricetin-loaded PLGA Surfaced Modified with Folic Acid-bound Chitosan and Evaluation of its Antitumor and Antiangiogenic Activities in vitro and in vivo in Mice-bearing Tumor Models</t>
  </si>
  <si>
    <t>JOURNAL OF POLYMERS AND THE ENVIRONMENT</t>
  </si>
  <si>
    <t>Myricetin; PLGA; Chitosan; Folate receptor; Active targeting; Cancer</t>
  </si>
  <si>
    <t>FOLATE RECEPTOR; CANCER; APOPTOSIS; CELLS</t>
  </si>
  <si>
    <t>Based on the anticancer properties of a natural product, myricetin, this study aimed to formulate myricetin in the form of PLGA. myricetin-PLGA was surface-modified with folic acid (FA) bound to chitosan (CS). After characterization, the formulation was evaluated for its in vitro release, cytotoxicity, antioxidant properties, and ability to induce apoptosis using flow cytometry, fluorescent microscopy, and real-time quantitative PCR. The anti-angiogenesis properties of the compound were then investigated in vivo on chick chorioallantoic membranes (CAM) and antitumor activities on mice-bearing tumors. According to the present study, a zeta potential of + 29.8 mV and a size of 343 nm are acceptable for oral administration. Based on 144 h of data, Michaelis-Menten fitted the drug release pattern with lag. Myricetin-PLGA-CS-FA exhibited anticancer properties in a dose-dependent manner in cytotoxicity, flow cytometry, and fluorescent studies. Moreover, real-time qPCR results indicated that the formulation activated apoptosis genes to exert its cytotoxic effect. Myricetin-PLGA-CS-FA also demonstrated antioxidant properties in DPPH, ABTS, and FRAP studies. In the CAM assay, formulations shown to have antiangiogenic properties reduce the number and length of vessels and affect VEGF and VEGFR genes, which are associated with angiogenesis. According to the antitumor studies, myricetin-PLGA-CS-FA reduced tumor volume. Based on analysis of tumor mRNA expression, myricetin-PLGA-CS-FA inhibits tumor growth by modulating inflammatory responses.</t>
  </si>
  <si>
    <t>[Khatamian, Niloufar; Mehrzad, Jamshid] Islamic Azad Univ, Dept Biochem, Neyshabur Branch, Neyshabur, Iran; [Motavalizadehkakhky, Alireza; Zhiani, Rahele] Islamic Azad Univ, Dept Chem, Neyshabur Branch, Neyshabur, Iran; [Motavalizadehkakhky, Alireza; Mehrzad, Jamshid] Islamic Azad Univ, Adv Res Ctr Chem Biochem &amp; Nanomat, Neyshabur Branch, Neyshabur, Iran; [Tabrizi, Masoud Homayouni] Islamic Azad Univ, Dept Biol, Mashhad Branch, Mashhad, Iran; [Zhiani, Rahele] Islamic Azad Univ, New Mat Technol &amp; Proc Res Ctr, Dept Chem, Neyshabur Branch, Neyshabur, Iran</t>
  </si>
  <si>
    <t>Islamic Azad University; Islamic Azad University; Islamic Azad University; Islamic Azad University; Islamic Azad University</t>
  </si>
  <si>
    <t>Motavalizadehkakhky, A (corresponding author), Islamic Azad Univ, Dept Chem, Neyshabur Branch, Neyshabur, Iran.;Motavalizadehkakhky, A (corresponding author), Islamic Azad Univ, Adv Res Ctr Chem Biochem &amp; Nanomat, Neyshabur Branch, Neyshabur, Iran.</t>
  </si>
  <si>
    <t>amotavalizadeh@yahoo.com</t>
  </si>
  <si>
    <t>1566-2543</t>
  </si>
  <si>
    <t>1572-8919</t>
  </si>
  <si>
    <t>J POLYM ENVIRON</t>
  </si>
  <si>
    <t>J. Polym. Environ.</t>
  </si>
  <si>
    <t>10.1007/s10924-023-02838-6</t>
  </si>
  <si>
    <t>Engineering, Environmental; Polymer Science</t>
  </si>
  <si>
    <t>Engineering; Polymer Science</t>
  </si>
  <si>
    <t>P2AC7</t>
  </si>
  <si>
    <t>WOS:001048709700009</t>
  </si>
  <si>
    <t>Khoshnami, M; Zare, B; Mardani-Mehrabad, H; Rakhshandehroo, F; Baghery, MA; Malboobi, MA</t>
  </si>
  <si>
    <t>Khoshnami, Maryam; Zare, Bahar; Mardani-Mehrabad, Hamideh; Rakhshandehroo, Farshad; Baghery, Mohammad Amin; Malboobi, Mohammad Ali</t>
  </si>
  <si>
    <t>Assessment of co-infection with BNYVV and BSCTV on resistance against Rhizomania disease in transgenic sugar beet plants</t>
  </si>
  <si>
    <t>TRANSGENIC RESEARCH</t>
  </si>
  <si>
    <t>BSCTV-Ir; BNYVV; Co-infection; Transgenic sugar beet; Rhizomania</t>
  </si>
  <si>
    <t>YELLOW-VEIN-VIRUS; COAT PROTEIN GENE; MEDIATED RESISTANCE; MOSAIC-VIRUS; RNA; SUPPRESSOR; V2</t>
  </si>
  <si>
    <t>Sugar beet is an economically important crop and one of the major sources of sucrose around the world. Beet necrotic yellow vein virus (BNYVV) and Beet severe curly top virus (BSCTV) are two widespread viruses in sugar beet that cause severe damage to its performance. Previously, we have successfully produced resistance to BNYVV based on RNA silencing in sugar beet by introducing constructs carrying the viral coat-protein-encoding DNA sequence, CP21, in sense and anti-sense orientations. Yet, the RNA silencing-mediated resistance to a specific virus could be affected by other ones as a part of synergistic interactions. In this study, we assayed the specificity of the induced resistance against BNYVV in two sets of transgenic events, S3 and S6 carrying 5-UTR with or without CP21-coding sequences, respectively. These events were subjected to viral challenges with either BNYVV, an Iranian isolate of BSCTV (BSCTV-Ir) or both. All the plants inoculated with just BSCTV-Ir displayed curly-leaf symptoms. However, partial resistance was evident in S3 events as shown by mild symptoms and reduced PCR amplification of the BSCTV-Ir coat protein encoding sequence. Based on the presented data, resistance to BNYVV was stable in almost all the transgenic plants co-infected with BSCTV-Ir, except for one event, S3-229. In general, it seems that the co-infection does not affect the resistance to BNYVV in transgenic plants. These findings demonstrated that the introduced RNA silencing-mediated resistance against BNYVV in transgenic sugar beets is specific and is not suppressed after co-infection with a heterologous virus.</t>
  </si>
  <si>
    <t>[Khoshnami, Maryam; Zare, Bahar; Mardani-Mehrabad, Hamideh; Baghery, Mohammad Amin; Malboobi, Mohammad Ali] Natl Inst Genet Engn &amp; Biotechnol, Dept Plant Biotechnol, Pazhouhesh Blvd,Karaj Highway, Tehran, Iran; [Khoshnami, Maryam; Mardani-Mehrabad, Hamideh; Rakhshandehroo, Farshad] Islamic Azad Univ, Coll Agr &amp; Nat Resources, Dept Plant Pathol, Sci &amp; Res Branch, Shohadaye Hesarak Blvd,Daneshgah Sq,Satary Highwa, Tehran, Iran</t>
  </si>
  <si>
    <t>Malboobi, MA (corresponding author), Natl Inst Genet Engn &amp; Biotechnol, Dept Plant Biotechnol, Pazhouhesh Blvd,Karaj Highway, Tehran, Iran.</t>
  </si>
  <si>
    <t>alimalboobi@gmail.com</t>
  </si>
  <si>
    <t>Baghery, Mohammad Amin/AAV-7525-2020</t>
  </si>
  <si>
    <t>Baghery, Mohammad Amin/0000-0002-3780-0867</t>
  </si>
  <si>
    <t>This research was supported and funded by the National Institute of Genetic Engineering and Biotechnology (NIGEB) of Iran (Grant Nos. 167 and 102M) and Green Transgene Technology Development Company (Tehran, Iran). [102M]; National Institute of Genetic Engineering and Biotechnology (NIGEB) of Iran; Green Transgene Technology Development Company (Tehran, Iran); [167]</t>
  </si>
  <si>
    <t>This research was supported and funded by the National Institute of Genetic Engineering and Biotechnology (NIGEB) of Iran (Grant Nos. 167 and 102M) and Green Transgene Technology Development Company (Tehran, Iran).; National Institute of Genetic Engineering and Biotechnology (NIGEB) of Iran; Green Transgene Technology Development Company (Tehran, Iran);</t>
  </si>
  <si>
    <t>This research was supported and funded by the National Institute of Genetic Engineering and Biotechnology (NIGEB) of Iran (Grant Nos. 167 and 102M) and Green Transgene Technology Development Company (Tehran, Iran).</t>
  </si>
  <si>
    <t>0962-8819</t>
  </si>
  <si>
    <t>1573-9368</t>
  </si>
  <si>
    <t>TRANSGENIC RES</t>
  </si>
  <si>
    <t>Transgenic Res.</t>
  </si>
  <si>
    <t>10.1007/s11248-023-00364-8</t>
  </si>
  <si>
    <t>Biochemical Research Methods; Biochemistry &amp; Molecular Biology; Biotechnology &amp; Applied Microbiology</t>
  </si>
  <si>
    <t>Biochemistry &amp; Molecular Biology; Biotechnology &amp; Applied Microbiology</t>
  </si>
  <si>
    <t>Q3BV3</t>
  </si>
  <si>
    <t>WOS:001056309200001</t>
  </si>
  <si>
    <t>Kimura, R; Yoneda, Y; Kuramochi, H; Saito, S</t>
  </si>
  <si>
    <t>Kimura, Ryo; Yoneda, Yusuke; Kuramochi, Hikaru; Saito, Shohei</t>
  </si>
  <si>
    <t>Environment-sensitive fluorescence of COT-fused perylene bisimide based on symmetry-breaking charge separation</t>
  </si>
  <si>
    <t>PHOTOCHEMICAL &amp; PHOTOBIOLOGICAL SCIENCES</t>
  </si>
  <si>
    <t>CYCLOOCTATETRAENE CORE; ELECTRON-TRANSFER; DYES</t>
  </si>
  <si>
    <t>Flexible and aromatic photofunctional system (FLAP) is composed of flapping rigid aromatic wings fused with a flexible 8 &amp; pi; ring at the center such as cyclooctatetraene (COT). A series of FLAP have been actively studied for the interesting dynamic behaviors. Here, we synthesized a new flapping molecule bearing naphtho-perylenebisimide wings (NPBI-FLAP), in which two perylene units are arranged side by side. As a reference compound, we also prepared COT-fused NPBI (NPBI-COT) that contains only single perylene unit. In both compounds, inherent strong fluorescence of the NPBI moiety is almost quenched and the FL lifetime becomes much shortened in highly polar solvents (acetone and DMF). Through the analyses of environment-sensitive fluorescence, electrochemical reduction/oxidation, and femtosecond transient absorption, the fluorescence quenching behavior was attributed to rapid symmetry-breaking charge separation (SB-CS) for NPBI-FLAP and to intramolecular charge transfer (ICT) for NPBI-COT. Most of the excited species of these compounds decay with the bent geometry, which is in contrast with the excited-state planarization behavior of a previously reported COT-fused peryleneimides with the double-headed arrangement of the perylene moieties. These results indicate that changing the fusion manners between COT and other &amp; pi; skeletons offers new functional molecules with distinct dynamics.</t>
  </si>
  <si>
    <t>[Kimura, Ryo; Saito, Shohei] Kyoto Univ, Grad Sch Sci, Kitashirakawa Oiwake Cho,Sakyo Ku, Kyoto 6068502, Japan; [Yoneda, Yusuke; Kuramochi, Hikaru] Res Ctr Integrat Mol Syst CIMoS, Inst Mol Sci, 38 Nishigo Naka, Myodaiji, Okazaki 4448585, Japan</t>
  </si>
  <si>
    <t>Kyoto University; National Institutes of Natural Sciences (NINS) - Japan; Institute for Molecular Science (IMS)</t>
  </si>
  <si>
    <t>Saito, S (corresponding author), Kyoto Univ, Grad Sch Sci, Kitashirakawa Oiwake Cho,Sakyo Ku, Kyoto 6068502, Japan.;Kuramochi, H (corresponding author), Res Ctr Integrat Mol Syst CIMoS, Inst Mol Sci, 38 Nishigo Naka, Myodaiji, Okazaki 4448585, Japan.</t>
  </si>
  <si>
    <t>hkuramochi@ims.ac.jp; saito.shohei.4c@kyoto-u.ac.jp</t>
  </si>
  <si>
    <t>Saito, Shohei/0000-0003-1863-9956; Kuramochi, Hikaru/0000-0001-5666-3880</t>
  </si>
  <si>
    <t>We also thank Prof. Hideki Yorimitsu (Kyoto University) and Prof. Hiromitsu Maeda (Ritsumeikan University) for their help with high-resolution mass spectrometry measurements</t>
  </si>
  <si>
    <t>1474-905X</t>
  </si>
  <si>
    <t>1474-9092</t>
  </si>
  <si>
    <t>PHOTOCH PHOTOBIO SCI</t>
  </si>
  <si>
    <t>Photochem. Photobiol. Sci.</t>
  </si>
  <si>
    <t>10.1007/s43630-023-00468-4</t>
  </si>
  <si>
    <t>Biochemistry &amp; Molecular Biology; Biophysics; Chemistry, Physical</t>
  </si>
  <si>
    <t>Biochemistry &amp; Molecular Biology; Biophysics; Chemistry</t>
  </si>
  <si>
    <t>Q3CE7</t>
  </si>
  <si>
    <t>WOS:001056318600002</t>
  </si>
  <si>
    <t>Koschate, J; Stuckenschneider, T; Zieschang, T</t>
  </si>
  <si>
    <t>Koschate, J.; Stuckenschneider, T.; Zieschang, T.</t>
  </si>
  <si>
    <t>Reactive dynamic balance in the geriatric setting. Possibilities for evaluation and quantification in functionally heterogeneous persons</t>
  </si>
  <si>
    <t>ZEITSCHRIFT FUR GERONTOLOGIE UND GERIATRIE</t>
  </si>
  <si>
    <t>Accidental falls; Gait stability; Gait adaptability; Perturbation treadmill; Gait analysis</t>
  </si>
  <si>
    <t>OVERGROUND WALKING; TREADMILL; PARAMETERS; PEOPLE; FALLS</t>
  </si>
  <si>
    <t>Background: Most falls in older persons occur during walking and are often due to maladaptation in response to gait perturbations. Therefore, the assessment of reactive dynamic balance is highly relevant for determining the individual risk of falling and could enable an early initiation of interventions. Objective: The methods available for perturbation of gait and for evaluating the corresponding reaction patterns are critically discussed in order to approach the assessment of reactive dynamic balance. Material and methods: A diagnostic protocol for perturbation of gait on a treadmill was developed based on the literature. The application of the protocol to map reactive dynamic balance as comprehensively as possible is presented. Results: After the initial determination of the individually preferred gait speed over similar to 6 min, the participant's gait is disrupted with 9 different types of perturbations over a time period of similar to 4:30 min. The evaluation options include spatiotemporal parameters and their variability, the margin of stability and the Lyapunov exponent. Conclusion: Dynamic reactive balance is a promising and specific parameter for quantifying the risk of falling in older persons. The comprehensive evaluation of the documented parameters is currently insufficient because there are no established methods or references. The development of a unified method for the sensitive determination of reactive dynamic balance is essential for its use in assessment of the risk of falling in the clinical context and formeasuring the success of training.</t>
  </si>
  <si>
    <t>[Koschate, J.; Stuckenschneider, T.; Zieschang, T.] Carl von Ossietzky Univ Oldenburg, Fak Med &amp; Gesundheitswissensch 6, Dept Versorgungsforsch, Abt Org Bezogene Versorgungsforsch, Ammerlander Heerstr 140, D-26129 Oldenburg, Germany</t>
  </si>
  <si>
    <t>Carl von Ossietzky Universitat Oldenburg</t>
  </si>
  <si>
    <t>Koschate, J (corresponding author), Carl von Ossietzky Univ Oldenburg, Fak Med &amp; Gesundheitswissensch 6, Dept Versorgungsforsch, Abt Org Bezogene Versorgungsforsch, Ammerlander Heerstr 140, D-26129 Oldenburg, Germany.</t>
  </si>
  <si>
    <t>jessica.koschate@uni-oldenburg.de</t>
  </si>
  <si>
    <t>Stuckenschneider, Tim/AAK-1267-2021</t>
  </si>
  <si>
    <t>Stuckenschneider, Tim/0000-0002-0972-4377</t>
  </si>
  <si>
    <t>0948-6704</t>
  </si>
  <si>
    <t>1435-1269</t>
  </si>
  <si>
    <t>Z GERONTOL GERIATR</t>
  </si>
  <si>
    <t>Z. Gerontol. Geriatr.</t>
  </si>
  <si>
    <t>10.1007/s00391-023-02227-7</t>
  </si>
  <si>
    <t>Q8SI4</t>
  </si>
  <si>
    <t>WOS:001060160200001</t>
  </si>
  <si>
    <t>Kouakou, CRC; He, J; Poder, TG</t>
  </si>
  <si>
    <t>Kouakou, Christian R. C.; He, Jie; Poder, Thomas G.</t>
  </si>
  <si>
    <t>Estimating the monetary value of a Quality-Adjusted Life-Year in Quebec</t>
  </si>
  <si>
    <t>QALY; WTP; Time trade-off; Contingent valuation; Discrete choice experiment; SF-6Dv2; Quebec; D61; D81; I18</t>
  </si>
  <si>
    <t>CLASSIFICATION-SYSTEM; HEALTH; TIME</t>
  </si>
  <si>
    <t>BackgroundThe value of a Quality-Adjusted Life-Year (QALY) is of great importance for the healthcare system. It helps when it comes to defining a cost-effectiveness threshold for the evaluation of health technologies. No willingness-to-pay value for a QALY exists in the province of Quebec, Canada.ObjectivesIn this paper, we empirically investigated the monetary value of a QALY for the population of Quebec.MethodsBased on the Short-Form 6-Dimension version 2 (SF-6Dv2), we conducted an online survey with a representative adult sample living in Quebec. We used a time trade-off (TTO) combined with contingent valuation (CV), and a discrete choice experiment (DCE) to assess both the population's willingness to pay (WTP) for one QALY and the marginal WTP for health attributes. A health utility algorithm using hybrid regression was developed to determine a preference-based value set for health states.ResultsMain analysis was conducted on 993 answers for the CV and 2143 answers for the DCE. The willingness-to-pay per QALY varied from CA$ 47,048.84 (CI: 21,554.38; 72,543.30) for CV to CA$ 73,936.87 (CI: 63,105.40; 84,768.35) for DCE. Among the 6 dimensions of the SF-6Dv2, marginal WTP varied from CA$ 4499.15 (CI: 2975.06; 6023.25) for more role accomplishment in daily activities to CA$ 15,867.12 (CI: 13,825.75; 17,908.49) for less pain. Robustness check with multiple alternative samples, as well as alternative health utility algorithms, showed that the results were robust and the DCE method provided 50% larger results than the CV method, although confidence intervals overlap.ConclusionThis paper provides useful information for decision-makers on the monetary value of a QALY in Quebec.</t>
  </si>
  <si>
    <t>[Kouakou, Christian R. C.; He, Jie] Univ Sherbrooke, Sch Business, Dept Econ, Sherbrooke, PQ, Canada; [Kouakou, Christian R. C.; Poder, Thomas G.] Inst Univ Sante Mentale Montreal, Ctr Rech, CIUSSS Est Ile Montreal, Montreal, PQ, Canada; [Poder, Thomas G.] Univ Montreal, Sch Publ Hlth, Dept Management Evaluat &amp; Hlth Policy, Montreal, PQ, Canada</t>
  </si>
  <si>
    <t>University of Sherbrooke; Universite de Montreal; Universite de Montreal</t>
  </si>
  <si>
    <t>Poder, TG (corresponding author), Inst Univ Sante Mentale Montreal, Ctr Rech, CIUSSS Est Ile Montreal, Montreal, PQ, Canada.;Poder, TG (corresponding author), Univ Montreal, Sch Publ Hlth, Dept Management Evaluat &amp; Hlth Policy, Montreal, PQ, Canada.</t>
  </si>
  <si>
    <t>thomas.poder@umontreal.ca</t>
  </si>
  <si>
    <t>Genome Canada; 2015 Large-Scale Applied Research Project Competition: Natural Resources; Environment: Sector Challenges-Genomic Solutions</t>
  </si>
  <si>
    <t>Genome Canada(Genome Canada); 2015 Large-Scale Applied Research Project Competition: Natural Resources; Environment: Sector Challenges-Genomic Solutions</t>
  </si>
  <si>
    <t>This study was funded by Genome Canada. 2015 Large-Scale Applied Research Project Competition: Natural Resources and the Environment: Sector Challenges-Genomic Solutions.</t>
  </si>
  <si>
    <t>10.1007/s10198-023-01625-3</t>
  </si>
  <si>
    <t>Q4BE3</t>
  </si>
  <si>
    <t>WOS:001056978900001</t>
  </si>
  <si>
    <t>Krutova, ON; Bazanov, MI; Chernikov, VV; Krutov, PD; Romanov, RA; Fashchevskii, KA</t>
  </si>
  <si>
    <t>Krutova, O. N.; Bazanov, M. I.; Chernikov, V. V.; Krutov, P. D.; Romanov, R. A.; Fashchevskii, K. A.</t>
  </si>
  <si>
    <t>Effect of the Nature of Supporting Electrolyte on the Thermodynamic Parameters of the Stepwise Dissociation of Glycyl-D-Phenylalanine in Aqueous Solution</t>
  </si>
  <si>
    <t>glycyl-D-phenylalanine; peptides; calorimetry; enthalpy; solutions</t>
  </si>
  <si>
    <t>ACID-BASE INTERACTION; EQUILIBRIUM-CONSTANTS; TEMPERATURE; HYDROLYSIS; COPPER(II); ENTHALPIES; DIPEPTIDES; COMPLEXES; PEPTIDES; HEAT</t>
  </si>
  <si>
    <t>The thermal effects of acidic and basic dissociation of glycyl-D-phenylalanine dipeptide at a temperature of 298.15 K and ionic strengths of solution of 0.5, 0.75, and 1.0 M against the background of different supporting electrolytes were calculated from the results of direct calorimetric measurements performed on a calorimeter with an isothermal shell and automatic recording of the temperature-time curve. The influence of the nature of supporting electrolytes NaCl, NaClO4, NaNO3, KNO3, and LiNO3 on the thermal effects of stepwise dissociation of the dipeptide is considered. The standard thermal effects of ionization of glycyl-D-phenylalanine in two steps were found by extrapolation to zero ionic strength. The standard changes in thermodynamic functions (enthalpy, entropy, and Gibbs energy) in the acidic and basic dissociation of glycyl-D-phenylalanine dipeptide were calculated.</t>
  </si>
  <si>
    <t>[Krutova, O. N.; Bazanov, M. I.; Chernikov, V. V.; Krutov, P. D.; Romanov, R. A.; Fashchevskii, K. A.] Ivanovo State Univ Chem &amp; Technol, Ivanovo 153000, Russia</t>
  </si>
  <si>
    <t>Russian Academy of Sciences; G. A. Krestov Institute of Solution Chemistry of the Russian Academy of Sciences; Ivanovo State University of Chemistry &amp; Technology</t>
  </si>
  <si>
    <t>Krutova, ON (corresponding author), Ivanovo State Univ Chem &amp; Technol, Ivanovo 153000, Russia.</t>
  </si>
  <si>
    <t>kdvkonkpd@yandex.ru</t>
  </si>
  <si>
    <t>Research Institute of Thermodynamics and Kinetics of Chemical Processes, Iva-novo State University of Chemistry and Technology [FZZW-2023-0008]; Ministry of Science and Higher Education of Russia [075-15-2021-671]</t>
  </si>
  <si>
    <t>Research Institute of Thermodynamics and Kinetics of Chemical Processes, Iva-novo State University of Chemistry and Technology; Ministry of Science and Higher Education of Russia</t>
  </si>
  <si>
    <t>This study was performed at the Research Institute of Thermodynamics and Kinetics of Chemical Processes, Iva-novo State University of Chemistry and Technology, under the government contract (project no. FZZW-2023-0008) using the resources of the Multiaccess Center of the Ivanovo State University for Chemical Technology. The study was supported by the Ministry of Science and Higher Education of Russia, project no. 075-15-2021-671.</t>
  </si>
  <si>
    <t>10.1134/S003602442309011X</t>
  </si>
  <si>
    <t>WOS:001060257300006</t>
  </si>
  <si>
    <t>Lafane, S; Neethling, PH; Khereddine, Y; Malek, S; Abdelli-Messaci, S</t>
  </si>
  <si>
    <t>Lafane, S.; Neethling, P. H.; Khereddine, Y.; Malek, S.; Abdelli-Messaci, S.</t>
  </si>
  <si>
    <t>Femtosecond laser induced optical second harmonic generation in pulsed laser deposited VO2 thin films</t>
  </si>
  <si>
    <t>VO2; Pulsed laser deposition; Second harmonic generation; Femtosecond laser</t>
  </si>
  <si>
    <t>METAL-INSULATOR-TRANSITION; PHASE-TRANSITION; RAMAN-SCATTERING; VANADIUM</t>
  </si>
  <si>
    <t>Vanadium dioxide (VO2) is a material that undergoes a first-order metal-insulator transition and belonging to the centrosymmetric class of materials for which the generation of the second order nonlinearities is forbidden. Optical second harmonic generation (SHG) has been demonstrated for the first time from VO2 thin films using 800 nm femtosecond Ti:Sapphire laser. The VO2 films used for the experiments were grown by pulsed laser deposition technique on two different substrates, glass and alumina, with different parameters leading to the growth of VO2 films of different quality. The film grown on a glass substrate showed an enhanced SH signal but deviated from standard structural and thermo-electrical properties. X-ray diffraction, Raman spectroscopy and Atomic force microscopy analysis indicated, respectively, purity and finite crystallite size, red shifted VO2 vibrational modes and nanocrystalline nature of the film. The thermo-electrical measurements showed a low resistivity, activation energy of electrical conduction and transition temperature, reduced transition contrast, and broadened hysteresis width. Contrary, the one grew on an alumina substrate resulted in improved microstructural and thermo-electrical properties of the transition, and displayed a noticeably weaker SH signal. In addition to the well-known surface and interface effects on the generation of SH, these outcomes indicate the contribution of defects to SH conversion efficiency in VO2 thin films. The generation of SH in VO2 thin films presents new opportunities for material analysis and device fabrication.</t>
  </si>
  <si>
    <t>[Lafane, S.; Khereddine, Y.; Malek, S.; Abdelli-Messaci, S.] Ctr Dev Technol Avancees, Div Milieux Ionises &amp; Laser, Algiers, Algeria; [Neethling, P. H.] Stellenbosch Univ, Laser Res Inst, Phys Dept, Stellenbosch, Western Cape, South Africa</t>
  </si>
  <si>
    <t>Stellenbosch University</t>
  </si>
  <si>
    <t>Lafane, S (corresponding author), Ctr Dev Technol Avancees, Div Milieux Ionises &amp; Laser, Algiers, Algeria.</t>
  </si>
  <si>
    <t>slafane@cdta.dz; pietern@sun.ac.za; ykhereddine@cdta.dz; smalek@cdta.dz; messaci@cdta.dz</t>
  </si>
  <si>
    <t>La Direction Generale de la Recherche Scientifique et du Developpement Technologique (DGRSDT), Algeria-South Africa bilateral research programme</t>
  </si>
  <si>
    <t>This work was supported by La Direction Generale de la Recherche Scientifique et du Developpement Technologique (DGRSDT), Algeria-South Africa bilateral research programme.</t>
  </si>
  <si>
    <t>10.1007/s11082-023-05029-8</t>
  </si>
  <si>
    <t>WOS:001022709300011</t>
  </si>
  <si>
    <t>Lang, PT; Braeuer, PAB; Muller, MN; Faderl, SR; Huber, FJT; Bauer, FJ; Will, S</t>
  </si>
  <si>
    <t>Lang, Peter; Braeuer, Phillipp A. B.; Mueller, Marcel N.; Faderl, Sebastian R.; Huber, Franz J. T.; Bauer, Florian J.; Will, Stefan</t>
  </si>
  <si>
    <t>Determination of the absorption function of laser-heated soot particles from spectrally resolved laser-induced incandescence signals using multiple excitation wavelengths</t>
  </si>
  <si>
    <t>INDUCED FLUORESCENCE; NANOPARTICLES; DIAGNOSTICS; FLAMES</t>
  </si>
  <si>
    <t>In this work, the optical properties of soot particles from a Gulder burner fueled with both ethylene or propane gas were investigated in situ using laser-induced incandescence. The particles in the flame were irradiated with four different laser wavelengths, namely 450 nm, 532 nm, 600 nm and 650 nm. The resulting laser-induced emissions were detected spectrally and temporally resolved by means of a spectrograph and an intensified camera at different delay times with respect to the laser pulse. To determine the optical properties of the particles from the data, the emitted spectra were simulated using a spectroscopic model with variable input parameters, and a regression was performed against the measured data. On the basis of an functional approach of the absorption function on wavelength, the dispersion exponent for soot was evaluated for a reference position on the centre axis at 40 mm height above the burner. It was found that the different fuel gases lead to similar values with regard to the absorption function, which can be expressed by a mean dispersion exponent with a value of 1.75 for ethylene and 1.68 for propane.</t>
  </si>
  <si>
    <t>[Lang, Peter; Braeuer, Phillipp A. B.; Mueller, Marcel N.; Faderl, Sebastian R.; Huber, Franz J. T.; Bauer, Florian J.; Will, Stefan] Friedrich Alexander Univ Erlangen Nurnberg FAU, Lehrstuhl Tech Thermodynam LTT, Erlangen, Germany; [Lang, Peter; Braeuer, Phillipp A. B.; Mueller, Marcel N.; Huber, Franz J. T.; Bauer, Florian J.; Will, Stefan] Friedrich Alexander Univ Erlangen Nurnberg FAU, Erlangen Grad Sch Adv Opt Technol SAOT, Erlangen, Germany</t>
  </si>
  <si>
    <t>University of Erlangen Nuremberg; University of Erlangen Nuremberg</t>
  </si>
  <si>
    <t>Bauer, FJ (corresponding author), Friedrich Alexander Univ Erlangen Nurnberg FAU, Lehrstuhl Tech Thermodynam LTT, Erlangen, Germany.;Bauer, FJ (corresponding author), Friedrich Alexander Univ Erlangen Nurnberg FAU, Erlangen Grad Sch Adv Opt Technol SAOT, Erlangen, Germany.</t>
  </si>
  <si>
    <t>florian.fb.bauer@fau.de</t>
  </si>
  <si>
    <t>The authors gratefully acknowledge funding of the Erlangen Graduate School in Advanced Optical Technologies (SAOT) by the Bavarian State Ministry for Science and Art. The authors would further like to thank Peggy Knospe, Vinzent Olszok and Prof. Alfred Web; Erlangen Graduate School in Advanced Optical Technologies (SAOT) by the Bavarian State Ministry for Science and Art</t>
  </si>
  <si>
    <t>The authors gratefully acknowledge funding of the Erlangen Graduate School in Advanced Optical Technologies (SAOT) by the Bavarian State Ministry for Science and Art. The authors would further like to thank Peggy Knospe, Vinzent Olszok and Prof. Alfred Weber (TU Clausthal) for the acquisition of the TEM images.</t>
  </si>
  <si>
    <t>10.1007/s00340-023-08080-1</t>
  </si>
  <si>
    <t>Q4WQ1</t>
  </si>
  <si>
    <t>WOS:001057543600001</t>
  </si>
  <si>
    <t>Li, C; Chen, BC; Sennah, K; Liu, JP; Liao, MX</t>
  </si>
  <si>
    <t>Li, Cong; Chen, Baochun; Sennah, Khaled; Liu, Junping; Liao, Miaoxing</t>
  </si>
  <si>
    <t>Experimental study on axial compressive behavior of stone masonry with ultra-high performance mortar</t>
  </si>
  <si>
    <t>MATERIALS AND STRUCTURES</t>
  </si>
  <si>
    <t>Ultra-high performance mortar; Stone masonry; Failure mode; Compressive strength; Axial load</t>
  </si>
  <si>
    <t>STRESS-STRAIN CHARACTERISTICS; BRICK MASONRY; STRENGTH; MECHANICS</t>
  </si>
  <si>
    <t>Ultra-high performance mortar (UHPM) has been proposed to replace conventional mortar (CM) as it can improve the compressive performance of stone masonry structure. To investigate performance features such as failure modes, load-versus deformation and ultimate compressive strength, eighteen UHPM and CM stone masonry specimens were tested under axial loading with mortar type, fiber type, mortar thickness and stone block surface condition as the main parameters. The test results indicate that for UHPM specimens, the primary cause of failure is the cracking of stone blocks rather than the mortar joints. And the cracking and ultimate compressive strength is 182.1% and 245.3% higher respectively compared with that of the CM ones. mechanism possible explanation is that stone blocks in stone masonry with UHPM are in a tri-axial compression due to the confinement effect of UHPM material which possesses high elastic modulus and low Poisson's ratio. UHPC without fibers recommended for stone masonry structures as the theoretically positive effects of steel and PVA fibers on UHPC did not show up in this experiment. The artificial sand blasting treatment on stone surface exerts little effect on the compressive performance of UHPC stone masonry. Based on the test results, a new formula of EC6 is recalculated and the ratio between recalculated and test values is 0.97 with a variance of 0.07. However, for the equation used to predict the compressive strength of UHPM stone masonry is still need to improvement.</t>
  </si>
  <si>
    <t>[Li, Cong; Chen, Baochun] Fujian Univ Technol, Sch Civil Engn &amp; Architecture, Fuzhou 350118, Peoples R China; [Li, Cong] Guangxi Univ, Sch Civil Engn, Nanning 530004, Peoples R China; [Chen, Baochun; Liu, Junping; Liao, Miaoxing] Fuzhou Univ, Coll Civil Engn, Fuzhou 350108, Peoples R China; [Sennah, Khaled] Toronto Metropolitan Univ, Civil Engn Dept, Toronto, ON M5B 2K3, Canada</t>
  </si>
  <si>
    <t>Fujian University of Technology; Guangxi University; Fuzhou University</t>
  </si>
  <si>
    <t>Li, C; Chen, BC (corresponding author), Fujian Univ Technol, Sch Civil Engn &amp; Architecture, Fuzhou 350118, Peoples R China.;Li, C (corresponding author), Guangxi Univ, Sch Civil Engn, Nanning 530004, Peoples R China.;Chen, BC (corresponding author), Fuzhou Univ, Coll Civil Engn, Fuzhou 350108, Peoples R China.</t>
  </si>
  <si>
    <t>congli@gxu.edu.cn; baochunchen@fzu.edu.cn</t>
  </si>
  <si>
    <t>National Key Ramp;D Program of China [2018YFC0705400]; China Postdoctoral Science Foundation [2023T160138]; Guangxi University High-level Talent Funding Project [A3030051017, A3030051026]; Guangxi Zhuang autonomous region Postdoctoral Innovative Talent Support Program [T3030097963]</t>
  </si>
  <si>
    <t>National Key Ramp;D Program of China; China Postdoctoral Science Foundation(China Postdoctoral Science Foundation); Guangxi University High-level Talent Funding Project; Guangxi Zhuang autonomous region Postdoctoral Innovative Talent Support Program</t>
  </si>
  <si>
    <t>AcknowledgementsThis project was sponsored in part by the National Key R&amp;D Program of China (2018YFC0705400), Project funded by China Postdoctoral Science Foundation (2023T160138), Guangxi University High-level Talent Funding Project (A3030051017, A3030051026) and Guangxi Zhuang autonomous region Postdoctoral Innovative Talent Support Program (T3030097963). Their supports are gratefully acknowledged.</t>
  </si>
  <si>
    <t>1359-5997</t>
  </si>
  <si>
    <t>1871-6873</t>
  </si>
  <si>
    <t>MATER STRUCT</t>
  </si>
  <si>
    <t>Mater. Struct.</t>
  </si>
  <si>
    <t>10.1617/s11527-023-02215-8</t>
  </si>
  <si>
    <t>Construction &amp; Building Technology; Engineering, Civil; Materials Science, Multidisciplinary</t>
  </si>
  <si>
    <t>Construction &amp; Building Technology; Engineering; Materials Science</t>
  </si>
  <si>
    <t>N4TJ7</t>
  </si>
  <si>
    <t>WOS:001036952800001</t>
  </si>
  <si>
    <t>Li, XF; Li, ZQ</t>
  </si>
  <si>
    <t>Li, Xiaofang; Li, Zhangqun</t>
  </si>
  <si>
    <t>What determines symbiotic nitrogen fixation efficiency in rhizobium: recent insights into Rhizobium leguminosarum</t>
  </si>
  <si>
    <t>Symbiotic nitrogen fixation; Rhizobium; Regulation; Symbiotic genes; Metabolism; Intracellular homeostasis</t>
  </si>
  <si>
    <t>IRON-MOLYBDENUM COFACTOR; SINORHIZOBIUM-MELILOTI; GENE-EXPRESSION; NITRIC-OXIDE; BV VICIAE; DIFFERENTIAL EXPRESSION; REGULATORY MECHANISMS; SIGNAL-TRANSDUCTION; CYSTEINE RESIDUES; NODULATION GENES</t>
  </si>
  <si>
    <t>Symbiotic nitrogen fixation (SNF) by rhizobium, a Gram-negative soil bacterium, is an essential component in the nitrogen cycle and is a sustainable green way to maintain soil fertility without chemical energy consumption. SNF, which results from the processes of nodulation, rhizobial infection, bacteroid differentiation and nitrogen-fixing reaction, requires the expression of various genes from both symbionts with adaptation to the changing environment. To achieve successful nitrogen fixation, rhizobia and their hosts cooperate closely for precise regulation of symbiotic genes, metabolic processes and internal environment homeostasis. Many researches have progressed to reveal the ample information about regulatory aspects of SNF during recent decades, but the major bottlenecks regarding improvement of nitrogen-fixing efficiency has proven to be complex. In this mini-review, we summarize recent advances that have contributed to understanding the rhizobial regulatory aspects that determine SNF efficiency, focusing on the coordinated regulatory mechanism of symbiotic genes, oxygen, carbon metabolism, amino acid metabolism, combined nitrogen, non-coding RNAs and internal environment homeostasis. Unraveling regulatory determinants of SNF in the nitrogen-fixing protagonist rhizobium is expected to promote an improvement of nitrogen-fixing efficiency in crop production.</t>
  </si>
  <si>
    <t>[Li, Xiaofang] Taizhou Univ, Inst Biopharmaceut, 1139 Shifu Ave, Taizhou 318000, Peoples R China; [Li, Xiaofang; Li, Zhangqun] Taizhou Univ, Sch Pharmaceut Sci, 1139 Shifu Ave, Taizhou, Peoples R China</t>
  </si>
  <si>
    <t>Taizhou University; Taizhou University</t>
  </si>
  <si>
    <t>Li, XF (corresponding author), Taizhou Univ, Inst Biopharmaceut, 1139 Shifu Ave, Taizhou 318000, Peoples R China.;Li, XF (corresponding author), Taizhou Univ, Sch Pharmaceut Sci, 1139 Shifu Ave, Taizhou, Peoples R China.</t>
  </si>
  <si>
    <t>fangxliii@163.com</t>
  </si>
  <si>
    <t>Natural Science Foundation of Zhejiang Province [LQ20C010003]; Taizhou Science and Technology Bureau [22nya12]</t>
  </si>
  <si>
    <t>Natural Science Foundation of Zhejiang Province(Natural Science Foundation of Zhejiang Province); Taizhou Science and Technology Bureau</t>
  </si>
  <si>
    <t>&amp; nbsp;This work was funded by the Natural Science Foundation of Zhejiang Province (Grant No. LQ20C010003) and Taizhou Science and Technology Bureau (grant no. 22nya12).</t>
  </si>
  <si>
    <t>10.1007/s00203-023-03640-7</t>
  </si>
  <si>
    <t>O3HH2</t>
  </si>
  <si>
    <t>WOS:001042756600001</t>
  </si>
  <si>
    <t>Li, XC; Yang, Y; Zhan, DC</t>
  </si>
  <si>
    <t>Li, Xin-Chun; Yang, Yang; Zhan, De-Chuan</t>
  </si>
  <si>
    <t>MrTF: model refinery for transductive federated learning</t>
  </si>
  <si>
    <t>Federated learning; Transductive learning; Model refinery</t>
  </si>
  <si>
    <t>We consider a real-world scenario in which a newly-established pilot project needs to make inferences for newly-collected data with the help of other parties under privacy protection policies. Current federated learning (FL) paradigms are devoted to solving the data heterogeneity problem without considering the to-be-inferred data. We propose a novel learning paradigm named transductive federated learning to simultaneously consider the structural information of the to-be-inferred data. On the one hand, the server could use the pre-available test samples to refine the aggregated models for robust model fusion, which tackles the data heterogeneity problem in FL. On the other hand, the refinery process incorporates test samples into training and could generate better predictions in a transductive manner. We propose several techniques including stabilized teachers, rectified distillation, and clustered label refinery to facilitate the model refinery process. Abundant experimental studies verify the superiorities of the proposed Model refinery framework for Transductive Federated learning. The source code is available at https://github.com/lxcnju/MrTF.</t>
  </si>
  <si>
    <t>[Li, Xin-Chun; Zhan, De-Chuan] Nanjing Univ, State Key Lab Novel Software Technol, Nanjing 210023, Jiangsu, Peoples R China; [Li, Xin-Chun; Zhan, De-Chuan] Nanjing Univ, Sch Artificial Intelligence, Nanjing 210023, Jiangsu, Peoples R China; [Yang, Yang] Nanjing Univ Sci &amp; Technol, Sch Comp Sci &amp; Engn, Nanjing 210094, Jiangsu, Peoples R China; [Yang, Yang] Hong Kong Polytech Univ, Dept Comp, Hong Kong 100872, Peoples R China</t>
  </si>
  <si>
    <t>Nanjing University; Nanjing University; Nanjing University of Science &amp; Technology; Hong Kong Polytechnic University</t>
  </si>
  <si>
    <t>Yang, Y (corresponding author), Nanjing Univ Sci &amp; Technol, Sch Comp Sci &amp; Engn, Nanjing 210094, Jiangsu, Peoples R China.;Yang, Y (corresponding author), Hong Kong Polytech Univ, Dept Comp, Hong Kong 100872, Peoples R China.</t>
  </si>
  <si>
    <t>lixc@lamda.nju.edu.cn; yyang@njust.edu.cn; zhandc@nju.edu.cn</t>
  </si>
  <si>
    <t>National Natural Science Foundation of China [61921006, 62006118, 62276131]; National Key RD Program of China [2022YFF0712100]; Fundamental Research Funds for the Central Universities [NJ2022028, 30922010317]</t>
  </si>
  <si>
    <t>National Natural Science Foundation of China(National Natural Science Foundation of China (NSFC)); National Key RD Program of China; Fundamental Research Funds for the Central Universities(Fundamental Research Funds for the Central Universities)</t>
  </si>
  <si>
    <t>This work is partially supported by the National Natural Science Foundation of China (Grant Nos. 61921006, 62006118, 62276131), the National Key RD Program of China (Grant No. 2022YFF0712100) and the Fundamental Research Funds for the Central Universities (Nos. NJ2022028, No.30922010317). Thanks to Huawei Noah's Ark Lab NetMIND Research Team.</t>
  </si>
  <si>
    <t>10.1007/s10618-023-00946-4</t>
  </si>
  <si>
    <t>WOS:001049013300011</t>
  </si>
  <si>
    <t>Li, Y; Feng, XC; Ge, DL; Xu, SS; Zheng, KW; Zhou, Y; Zhang, FY</t>
  </si>
  <si>
    <t>Li, Yan; Feng, Xuchen; Ge, Dongliang; Xu, Songsong; Zheng, Kaiwen; Zhou, Yao; Zhang, Fengyu</t>
  </si>
  <si>
    <t>Investigation of mountainous laser texturing for improving the adhesion and tribological properties of AlCrN coatings</t>
  </si>
  <si>
    <t>Mountainous laser texturing; AlCrN coatings; Adhesion strength; Tribological properties</t>
  </si>
  <si>
    <t>AL-N COATINGS; MECHANICAL-PROPERTIES; RESIDUAL-STRESSES; SURFACE TEXTURES; SLIDING WEAR; PERFORMANCE; ENERGY; TIALN; WETTABILITY; RESISTANCE</t>
  </si>
  <si>
    <t>The effect of mountainous laser texturing on improving the interfacial adhesion and tribological properties of WC-TiC-Co-based AlCrN coatings was studied, which is crucial for the durability of AlCrN coatings. The substrate surface was modified by nanosecond lasers with different powers to prepare mountainous laser texturing with different dimensions. The AlCrN coatings was deposited on the textured substrate surfaces by PVD. The micromorphology, elastic modulus, hardness and surface roughness of textured surface and coatings were obtained. Scratch tests and friction tests were carried out to evaluate the adhesive strength and friction properties of AlCrN coatings on the textured substrates. The results showed that the dimensions of mountainous laser texturing increased with the increase of laser power. The adhesion and tribological properties of the coatings deposited on textured substrates were effectively improved compared to that on polished substrate. Compared with the coatings on polished substrate, the adhesion of the coatings on the laser textured specimen with the power of 6 W increased by up to 37.7%, while the wear depth was reduced by up to 90%. The main mechanism was that the mountainous laser texturing increased the interface contact area and caused mechanical anchorage between the coatings and the substrate. In addition, the laser texturing improved the wettability and surface energy of the substrate surface.</t>
  </si>
  <si>
    <t>[Li, Yan; Feng, Xuchen; Ge, Dongliang; Xu, Songsong; Zheng, Kaiwen; Zhou, Yao; Zhang, Fengyu] Yantai Univ, Sch Electromech &amp; Automot Engn, Yantai 264005, Peoples R China</t>
  </si>
  <si>
    <t>Yantai University</t>
  </si>
  <si>
    <t>Ge, DL (corresponding author), Yantai Univ, Sch Electromech &amp; Automot Engn, Yantai 264005, Peoples R China.</t>
  </si>
  <si>
    <t>gedongliang2014@163.com</t>
  </si>
  <si>
    <t>National Natural Science Foundation of China [51805463]</t>
  </si>
  <si>
    <t>This work is supported by the National Natural Science Foundation of China (51805463)</t>
  </si>
  <si>
    <t>10.1007/s00339-023-06893-7</t>
  </si>
  <si>
    <t>P1ZK4</t>
  </si>
  <si>
    <t>WOS:001048691400001</t>
  </si>
  <si>
    <t>Liu, LS</t>
  </si>
  <si>
    <t>Liu, Long-Sheng</t>
  </si>
  <si>
    <t>The General Solution to a System of Linear Coupled Quaternion Matrix Equations with an Application</t>
  </si>
  <si>
    <t>ADVANCES IN APPLIED CLIFFORD ALGEBRAS</t>
  </si>
  <si>
    <t>Matrix equation; Quaternion; Moore-Penrose inverse; Rank</t>
  </si>
  <si>
    <t>SIMULTANEOUS DECOMPOSITION; SYLVESTER EQUATION</t>
  </si>
  <si>
    <t>Linear coupled matrix equations are widely utilized in applications, including stability analysis of control systems and robust control. In this paper, we establish the necessary and sufficient conditions for the consistency of the system of linear coupled matrix equations and derive an expression of the corresponding general solution (where it is solvable) over quaternion. Additionally, we investigate the necessary and sufficient conditions for the system of linear coupled matrix equations with construct to have a solution and derive a formula of its general solution (where it is solvable). Finally, an algorithm and an example were provided in order to further illustrate the primary outcomes of this paper.</t>
  </si>
  <si>
    <t>[Liu, Long-Sheng] Anqing Normal Univ, Sch Math &amp; Phys, Anqing 246052, Peoples R China</t>
  </si>
  <si>
    <t>Anqing Normal University</t>
  </si>
  <si>
    <t>Liu, LS (corresponding author), Anqing Normal Univ, Sch Math &amp; Phys, Anqing 246052, Peoples R China.</t>
  </si>
  <si>
    <t>liulongsheng@shu.edu.cn</t>
  </si>
  <si>
    <t>0188-7009</t>
  </si>
  <si>
    <t>1661-4909</t>
  </si>
  <si>
    <t>ADV APPL CLIFFORD AL</t>
  </si>
  <si>
    <t>Adv. Appl. Clifford Algebr.</t>
  </si>
  <si>
    <t>10.1007/s00006-023-01283-x</t>
  </si>
  <si>
    <t>Mathematics, Applied; Physics, Mathematical</t>
  </si>
  <si>
    <t>Mathematics; Physics</t>
  </si>
  <si>
    <t>O6GG6</t>
  </si>
  <si>
    <t>WOS:001044764400002</t>
  </si>
  <si>
    <t>Liu, RF; Ren, HW; Chai, YN; Yang, JB</t>
  </si>
  <si>
    <t>Liu, Rufei; Ren, Hongwei; Chai, Yongning; Yang, Jiben</t>
  </si>
  <si>
    <t>3D Rutting Features Extraction Through Continuous Pavement Laser Point Cloud</t>
  </si>
  <si>
    <t>INTERNATIONAL JOURNAL OF PAVEMENT RESEARCH AND TECHNOLOGY</t>
  </si>
  <si>
    <t>Laser point cloud; Feature images; Image processing; 3D features of rutting</t>
  </si>
  <si>
    <t>DEPTH MEASUREMENT ACCURACY</t>
  </si>
  <si>
    <t>High-precision continuous laser point cloud data of road surface includes not only pavement, but also rutting and other pavement diseases. It is urgent to develop an automatic method to extract the information of 3D features of rutting which is the initial pavement disease. It is difficult for the rutting extraction method based on cross-section to express the information which is not in section position. Therefore, this paper proposes a fine 3D feature extraction method for continuous rutting based on feature images. First, road surface elevation feature image, slope feature image and aspect feature image are generated by road point cloud data. Second, the rutting features of each feature image are comprehensively analyzed. And the 3D contour lines of rutting side edge and rutting bottom center are extracted by image processing method according to rutting features. Finally, the moving weighted mean filtering method is used, considering wheel equidistance to repair rutting track contour information. And the fine 3D features of rutting are expressed by the 3D contour lines of repaired rutting. The 3D characteristic contour of rutting is extracted from 3D data of actualpavement by the above method. The experimental results show that the method in this paper is robust for capturing rutting diseases, with the measurement error of rutting depth of no more 0.3 mm and the deviation of rutting position of less than 0.5 cm.</t>
  </si>
  <si>
    <t>[Liu, Rufei; Ren, Hongwei] Minist Transport, Res Inst Highway, Beijing 100088, Peoples R China; [Liu, Rufei; Chai, Yongning; Yang, Jiben] Shandong Univ Sci &amp; Technol, Coll Geodesy &amp; Geomat, Qingdao, Shandong, Peoples R China</t>
  </si>
  <si>
    <t>Ministry of Transport of the People's Republic of China; Shandong University of Science &amp; Technology</t>
  </si>
  <si>
    <t>Yang, JB (corresponding author), Shandong Univ Sci &amp; Technol, Coll Geodesy &amp; Geomat, Qingdao, Shandong, Peoples R China.</t>
  </si>
  <si>
    <t>liurufei@sdust.edu.cn; 2281093946@qq.com; Chai_940603@163.com; yjiben121@163.com</t>
  </si>
  <si>
    <t>National key research and development program [2018YFB1600302]; National Natural Science Foundation of China [42001414]; Shandong Provincial Natural Science Foundation, China [ZR2019BD033]</t>
  </si>
  <si>
    <t>National key research and development program; National Natural Science Foundation of China(National Natural Science Foundation of China (NSFC)); Shandong Provincial Natural Science Foundation, China(Natural Science Foundation of Shandong Province)</t>
  </si>
  <si>
    <t>National key research and development program (2018YFB1600302), National Natural Science Foundation of China (42001414); Shandong Provincial Natural Science Foundation, China (ZR2019BD033).</t>
  </si>
  <si>
    <t>1996-6814</t>
  </si>
  <si>
    <t>1997-1400</t>
  </si>
  <si>
    <t>INT J PAVEMENT RES T</t>
  </si>
  <si>
    <t>Int. J. Pavement Res. Technol.</t>
  </si>
  <si>
    <t>10.1007/s42947-022-00193-8</t>
  </si>
  <si>
    <t>Q6CP0</t>
  </si>
  <si>
    <t>WOS:001058384800012</t>
  </si>
  <si>
    <t>Liu, T; Zhang, NN; Li, HW; Hou, ST; Liu, XW</t>
  </si>
  <si>
    <t>Liu, Tao; Zhang, Nannan; Li, Haiwen; Hou, Shuting; Liu, Xiuwei</t>
  </si>
  <si>
    <t>Analysis of severe fever with thrombocytopenia syndrome cluster in east China</t>
  </si>
  <si>
    <t>Tick-borne transmission; SFTS; China; bunyavirus</t>
  </si>
  <si>
    <t>TO-PERSON TRANSMISSION; SYNDROME BUNYAVIRUS; SYNDROME VIRUS</t>
  </si>
  <si>
    <t>Background Severe fever with thrombocytopenia syndrome (SFTS) is a common tick-borne, natural focal disease. SFTS virus (SFTSV) transmission can occur between family members through close contact with an infected patient. In this study, we explored the possible transmission route of an outbreak cluster in east China.Method A case-control study was carried out to analyze the potential risk factors for person-to-person transmission. Bunia virus was detected by IgM antibody, enzyme-linked immunosorbent assay, and reverse transcription polymerase chain reaction. Chi-square, univariate, and multivariate analyses were performed to calculate the association of possible risk factors for SFTSV transmission.Results Two patients had a clear history of blood and aerosols contact, and one may be exposed to aerosols in a closed environment. Five close contacts of the Index patient were IgM-positive and three were IgM and SFTSV RNA positive. Exposure to a poorly ventilated space where the corpse was stored (?(2) = 5.49, P = 0.019) and contact with the Index patient's contaminated items (?(2) = 15.77, P &lt; 0.001) significantly associated with SFTSV infection.Conclusion We suspect that the cluster outbreak was possibly a person-to-person transmission of SFTSV, which may have been transmitted by directly contacting with blood of SFTS patient. The propagation of aerosols in closed environments is also an undeniable transmission.</t>
  </si>
  <si>
    <t>[Liu, Tao; Zhang, Nannan; Hou, Shuting; Liu, Xiuwei] Yantai Ctr Dis Control &amp; Prevent, Dept Infect Dis Control, 17 Fuhou Rd, Yantai, Shandong, Peoples R China; [Li, Haiwen] Zhaoyuan Ctr Dis Control &amp; Prevent, Dept Infect Dis Control, Yantai, Shandong, Peoples R China</t>
  </si>
  <si>
    <t>Hou, ST; Liu, XW (corresponding author), Yantai Ctr Dis Control &amp; Prevent, Dept Infect Dis Control, 17 Fuhou Rd, Yantai, Shandong, Peoples R China.</t>
  </si>
  <si>
    <t>hst123654@163.com; xiuweiliu2008@163.com</t>
  </si>
  <si>
    <t>10.1186/s12985-023-02155-3</t>
  </si>
  <si>
    <t>R2EC6</t>
  </si>
  <si>
    <t>WOS:001062515700003</t>
  </si>
  <si>
    <t>Lucia-Mulas, MJ; Revuelta-Sanz, P; Ruiz-Mezcua, B; Gonzalez-Carrasco, I</t>
  </si>
  <si>
    <t>Lucia-Mulas, Maria Jose; Revuelta-Sanz, Pablo; Ruiz-Mezcua, Belen; Gonzalez-Carrasco, Israel</t>
  </si>
  <si>
    <t>Automatic music emotion classification model for movie soundtrack subtitling based on neuroscientific premises</t>
  </si>
  <si>
    <t>APPLIED INTELLIGENCE</t>
  </si>
  <si>
    <t>Music emotion recognition; Automatic subtitling; Convolutional neural network</t>
  </si>
  <si>
    <t>RECOGNITION</t>
  </si>
  <si>
    <t>The ability of music to induce emotions has been arousing a lot of interest in recent years, especially due to the boom in music streaming platforms and the use of automatic music recommenders. Music Emotion Recognition approaches are based on combining multiple audio features extracted from digital audio samples and different machine learning techniques. In these approaches, neuroscience results on musical emotion perception are not considered. The main goal of this research is to facilitate the automatic subtitling of music. The authors approached the problem of automatic musical emotion detection in movie soundtracks considering these characteristics and using scientific musical databases, which have become a reference in neuroscience research. In the experiments, the Constant-Q-Transform spectrograms, the ones that best represent the relationships between musical tones from the point of view of human perception, are combined with Convolutional Neural Networks. Results show an efficient emotion classification model for 2-second musical audio fragments representative of intense basic feelings of happiness, sadness, and fear. Those emotions are the most interesting to be identified in the case of movie music captioning. The quality metrics have demonstrated that the results of the different models differ significantly and show no homogeneity. Finally, these results pave the way for an accessible and automatic captioning of music, which could automatically identify the emotional intent of the different segments of the movie soundtrack.</t>
  </si>
  <si>
    <t>[Lucia-Mulas, Maria Jose; Ruiz-Mezcua, Belen; Gonzalez-Carrasco, Israel] Univ Carlos III Madrid, Comp Sci Dept, Av Univ,20, Leganes 28915, Madrid, Spain; [Revuelta-Sanz, Pablo] Univ Oviedo, C Luis Ortiz Berrocal S-N, Gijon 33203, Spain</t>
  </si>
  <si>
    <t>Universidad Carlos III de Madrid; University of Oviedo</t>
  </si>
  <si>
    <t>Gonzalez-Carrasco, I (corresponding author), Univ Carlos III Madrid, Comp Sci Dept, Av Univ,20, Leganes 28915, Madrid, Spain.</t>
  </si>
  <si>
    <t>maluciam@inf.uc3m.es; revueltapablo@uniovi.es; bruiz@inf.uc3m.es; igcarras@inf.uc3m.es</t>
  </si>
  <si>
    <t>Research Program of the Ministry of Science and Innovation - Government of Spain; Madrid Government (Comunidad de Madrid-Spain) [CRUE-CSIC 2023]; UC3M in the line of Excellence of University Professors; V PRICIT (Regional Programme of Research and Technological Innovation); [ACCESS2MEET project-PID2020-116527RB-I00]</t>
  </si>
  <si>
    <t>Research Program of the Ministry of Science and Innovation - Government of Spain; Madrid Government (Comunidad de Madrid-Spain); UC3M in the line of Excellence of University Professors; V PRICIT (Regional Programme of Research and Technological Innovation);</t>
  </si>
  <si>
    <t>This work was supported by the Research Program of the Ministry of Science and Innovation - Government of Spain (ACCESS2MEET project-PID2020-116527RB-I00). This work has been supported by the Madrid Government (Comunidad de Madrid-Spain) under the Multiannual Agreement with UC3M in the line of Excellence of University Professors (EPUC3M17) and in the context of the V PRICIT (Regional Programme of Research and Technological Innovation). Funding for APC: Universidad Carlos III de Madrid (Read &amp; Publish Agreement CRUE-CSIC 2023)</t>
  </si>
  <si>
    <t>0924-669X</t>
  </si>
  <si>
    <t>1573-7497</t>
  </si>
  <si>
    <t>APPL INTELL</t>
  </si>
  <si>
    <t>Appl. Intell.</t>
  </si>
  <si>
    <t>10.1007/s10489-023-04967</t>
  </si>
  <si>
    <t>R1HA5</t>
  </si>
  <si>
    <t>WOS:001061909400001</t>
  </si>
  <si>
    <t>Manzoor, M; Naz, S; Muhammad, HMD; Ahmad, R</t>
  </si>
  <si>
    <t>Manzoor, Meryam; Naz, Safina; Muhammad, Hafiza Muniba Din; Ahmad, Riaz</t>
  </si>
  <si>
    <t>Smart reprogramming of jujube germplasm against salinity tolerance through molecular tools</t>
  </si>
  <si>
    <t>BIOCHEMICAL PARAMETERS; SODIUM-CHLORIDE; GAS-EXCHANGE; STRESS; GROWTH; MARKERS; GENOME; PERSPECTIVE; ACCUMULATION; RESISTANCE</t>
  </si>
  <si>
    <t>[Manzoor, Meryam; Naz, Safina; Muhammad, Hafiza Muniba Din] Bahauddin Zakariya Univ, Dept Hort, Multan, Pakistan; [Ahmad, Riaz] Univ Agr, Dept Hort, Dera Ismail Khan, Pakistan</t>
  </si>
  <si>
    <t>Bahauddin Zakariya University</t>
  </si>
  <si>
    <t>Ahmad, R (corresponding author), Univ Agr, Dept Hort, Dera Ismail Khan, Pakistan.</t>
  </si>
  <si>
    <t>riazahmadbzu@gmail.com</t>
  </si>
  <si>
    <t>10.1007/s10142-023-01140-x</t>
  </si>
  <si>
    <t>L6PT0</t>
  </si>
  <si>
    <t>WOS:001024468700001</t>
  </si>
  <si>
    <t>Meher, J; Sarkar, A; Sarma, BK</t>
  </si>
  <si>
    <t>Meher, Jhumishree; Sarkar, Ankita; Sarma, Birinchi Kumar</t>
  </si>
  <si>
    <t>Binding of stress-responsive OsWRKY proteins through WRKYGQK heptapeptide residue with the promoter region of two rice blast disease resistance genes Pi2 and Pi54 is important for development of blast resistance</t>
  </si>
  <si>
    <t>3 BIOTECH</t>
  </si>
  <si>
    <t>OsWRKY; Blast resistant genes; Molecular docking; Promoter elements; Binding residue; Zinc finger structure</t>
  </si>
  <si>
    <t>TRANSCRIPTION FACTORS; DROUGHT RESPONSES</t>
  </si>
  <si>
    <t>Molecular docking was done to investigate the interactions between five differentially expressed rice WRKY proteins when challenged with the rice blast disease caused by Magnaporthe oryzae and drought stresses applied either individually or overlapped, with the promoter region of two blast resistance genes (Pi2 and Pi54). Molecular docking was performed using the HDOCK server. Initially, the homology models for each of the five rice WRKY proteins were prepared using I-TASSER server, and then the secondary structure as well as the DNA-binding pockets were predicted using PSIPRED and BindUP servers, respectively. The molecular docking study revealed a differential binding pattern of the rice WRKYs with the two blast resistance genes. The WRKY proteins (OsWRKY88 and OsWRKY102), whose transcript levels decrease when drought and blast stresses are overlapped, interact with the two resistance genes mostly involving the residues of the zinc finger structure. On the other hand, the WRKY proteins (OsWRKY53-1 and OsWRKY113), whose transcript levels did not reduce significantly when challenged by drought and blast overlapped condition compared to individual treatment of blast, interact mostly involving the residues of the conserved WRKYGQK heptapeptide sequence. Interestingly, the protein OsWRKY74 whose transcript levels are unaffected in both individual and overlapped stresses, interacts with both the blast resistance genes involving few residues of both WRKYGQK heptapeptide and the zinc finger structure. The findings thus indicate that the interaction of OsWRKY proteins involving the conserved WRKYGQK heptapeptide sequence with the blast resistance genes Pi2 and Pi54 is important to mitigate the blast challenge in rice even during overlapping challenges of drought.</t>
  </si>
  <si>
    <t>[Meher, Jhumishree; Sarkar, Ankita; Sarma, Birinchi Kumar] Banaras Hindu Univ, Inst Agr Sci, Dept Mycol &amp; Plant Pathol, Varanasi 221005, India</t>
  </si>
  <si>
    <t>Banaras Hindu University (BHU)</t>
  </si>
  <si>
    <t>Sarma, BK (corresponding author), Banaras Hindu Univ, Inst Agr Sci, Dept Mycol &amp; Plant Pathol, Varanasi 221005, India.</t>
  </si>
  <si>
    <t>birinchi_ks@yahoo.com</t>
  </si>
  <si>
    <t>Sarma, Birinchi/0000-0002-1041-8422</t>
  </si>
  <si>
    <t>IoE Faculty Incentive Grant of Banaras Hindu University; DST, New Delhi [2017/IF170563]</t>
  </si>
  <si>
    <t>IoE Faculty Incentive Grant of Banaras Hindu University; DST, New Delhi(Department of Science &amp; Technology (India))</t>
  </si>
  <si>
    <t>BKS is grateful to IoE Faculty Incentive Grant of Banaras Hindu University for supporting the program and JM to DST, New Delhi for DST-INSPIRE Fellowship (2017/IF170563).</t>
  </si>
  <si>
    <t>2190-572X</t>
  </si>
  <si>
    <t>2190-5738</t>
  </si>
  <si>
    <t>3 Biotech</t>
  </si>
  <si>
    <t>10.1007/s13205-023-03711-y</t>
  </si>
  <si>
    <t>O4SM1</t>
  </si>
  <si>
    <t>WOS:001043728200002</t>
  </si>
  <si>
    <t>Meng, LZ; Wang, HY; Xia, Q; Yuan, TT; Zhang, XT; Yuan, LB</t>
  </si>
  <si>
    <t>Meng, Lingzhi; Wang, Hongye; Xia, Qi; Yuan, Tingting; Zhang, Xiaotong; Yuan, Libo</t>
  </si>
  <si>
    <t>In-Fiber Thermally Diffused Coupler and Fiber Bragg Grating Inscribed in Twin-Core Fiber for Sensitivity-Enhanced Vector Bending Sensing</t>
  </si>
  <si>
    <t>PHOTONIC SENSORS</t>
  </si>
  <si>
    <t>Digital holographic tomography; thermal diffusion; bending sensing</t>
  </si>
  <si>
    <t>MULTICORE OPTICAL-FIBERS; SENSOR; CURVATURE</t>
  </si>
  <si>
    <t>A vector bending fiber sensor based on core-by-core inscribed fiber Bragg gratings in a twin-core fiber has been proposed and experimentally demonstrated. An in-fiber integrated vector bending sensor is realized by using the thermal diffusion technique to fabricate the coupler. The characteristics of the coupler fabricated by thermal diffusion are simulated and experimented. By inscribing fiber Bragg gratings with different reflection wavelengths in the two cores of a symmetrical twin-core fiber, the curvature sensitivity can be enhanced by tracking the wavelength difference between the fiber Bragg gratings of the two cores. The measured bending sensitivity of the fiber Bragg grating ranges from -161.6 pm/m(-1) to +165.5 pm/m(-1). The differential sensitivity of the two cores is twice that of a conventional single grating, and the temperature-induced crosstalk is also reduced. The bending sensor proposed in this paper has the advantages of high integration, enhancing the sensitivity and two-dimensional orientation recognizability, and reducing temperature crosstalk, which can be a promising candidate for structural health monitoring or wearable artificial electronics applications.</t>
  </si>
  <si>
    <t>[Meng, Lingzhi; Wang, Hongye; Xia, Qi] Harbin Engn Univ, Key Lab Infiber Integrated Opt, Minist Educ China, Harbin 150001, Peoples R China; [Yuan, Tingting; Zhang, Xiaotong] Shenzhen Technol Univ, Julong Coll, Ctr Smart Sensing Syst, Shenzhen 518118, Peoples R China; [Yuan, Libo] Guilin Univ Elect Technol, Photon Res Ctr, Sch Optoelect Engn, Guilin 541004, Peoples R China</t>
  </si>
  <si>
    <t>Harbin Engineering University; Ministry of Education, China; Shenzhen Technology University; Guilin University of Electronic Technology</t>
  </si>
  <si>
    <t>Yuan, LB (corresponding author), Guilin Univ Elect Technol, Photon Res Ctr, Sch Optoelect Engn, Guilin 541004, Peoples R China.</t>
  </si>
  <si>
    <t>lbyuan@vip.sina.com</t>
  </si>
  <si>
    <t>zhang, xiaotong/AAM-4770-2020; xia, qi/JBR-8998-2023; Zhang, Xiaotong/HIR-6204-2022; yuan, tingting/JEZ-8887-2023</t>
  </si>
  <si>
    <t>zhang, xiaotong/0000-0001-6085-2844;</t>
  </si>
  <si>
    <t>National Key Research and Development Program of China [2019YFB2203903]; National Natural Science Foundation of China [61827819, 61735009, 61905154]; special fund for Bagui Scholars Program of Guangxi Zhuang Autonomous Region [2019A38]; Guangxi Innovation-Driven Development Project [AA18242043]</t>
  </si>
  <si>
    <t>National Key Research and Development Program of China; National Natural Science Foundation of China(National Natural Science Foundation of China (NSFC)); special fund for Bagui Scholars Program of Guangxi Zhuang Autonomous Region; Guangxi Innovation-Driven Development Project</t>
  </si>
  <si>
    <t>AcknowledgmentThis work was supported by the National Key Research and Development Program of China (Grant No. 2019YFB2203903); National Natural Science Foundation of China (Grant Nos. 61827819, 61735009, and 61905154); partially supported by special fund for Bagui Scholars Program of Guangxi Zhuang Autonomous Region (Grant No. 2019A38), and Guangxi Innovation-Driven Development Project (Grant No. AA18242043).</t>
  </si>
  <si>
    <t>1674-9251</t>
  </si>
  <si>
    <t>2190-7439</t>
  </si>
  <si>
    <t>PHOTONIC SENS</t>
  </si>
  <si>
    <t>Photonic Sens.</t>
  </si>
  <si>
    <t>10.1007/s13320-023-0683-z</t>
  </si>
  <si>
    <t>Instruments &amp; Instrumentation; Optics</t>
  </si>
  <si>
    <t>A5GG4</t>
  </si>
  <si>
    <t>WOS:000955398700001</t>
  </si>
  <si>
    <t>Mir, B; Yang, JW; Li, ZW; Wang, L; Ali, V; Hu, XQ; Zhang, HB</t>
  </si>
  <si>
    <t>Mir, Baiza; Yang, Jingwen; Li, Zhiwei; Wang, Lei; Ali, Vilayat; Hu, Xueqin; Zhang, Hongbin</t>
  </si>
  <si>
    <t>Review on recent advances in the properties, production and applications of microbial dextranases</t>
  </si>
  <si>
    <t>Dextranase; Synthesis; Properties; Applications</t>
  </si>
  <si>
    <t>EPOXY CIM(R) DISK; ARTHROBACTER-OXYDANS; CRYSTAL-STRUCTURE; ENDO-DEXTRANASE; BIOCHEMICAL-CHARACTERIZATION; EXTRACELLULAR DEXTRANASE; THERMOSTABLE DEXTRANASE; THERMOPHILIC DEXTRANASE; SUBSTRATE-SPECIFICITY; STREPTOCOCCUS-MUTANS</t>
  </si>
  <si>
    <t>Dextranase is a type of hydrolase that is responsible for catalyzing the breakdown of high-molecular-weight dextran into low-molecular-weight polysaccharides. This process is called dextranolysis. A select group of bacteria and fungi, including yeasts and likely certain complex eukaryotes, produce dextranase enzymes as extracellular enzymes that are released into the environment. These enzymes join dextran's &amp; alpha;-1,6 glycosidic bonds to make glucose, exodextranases, or isomalto-oligosaccharides (endodextranases). Dextranase is an enzyme that has a wide variety of applications, some of which include the sugar business, the production of human plasma replacements, the treatment of dental plaque and its protection, and the creation of human plasma replacements. Because of this, the quantity of studies carried out on worldwide has steadily increased over the course of the past couple of decades. The major focus of this study is on the most current advancements in the production, administration, and properties of microbial dextranases. This will be done throughout the entirety of the review.</t>
  </si>
  <si>
    <t>[Mir, Baiza; Yang, Jingwen; Li, Zhiwei; Wang, Lei; Ali, Vilayat; Hu, Xueqin; Zhang, Hongbin] Hefei Univ Technol, Coll Food &amp; Biol Engn, Hefei, Peoples R China</t>
  </si>
  <si>
    <t>Hefei University of Technology</t>
  </si>
  <si>
    <t>Yang, JW; Zhang, HB (corresponding author), Hefei Univ Technol, Coll Food &amp; Biol Engn, Hefei, Peoples R China.</t>
  </si>
  <si>
    <t>jwyang@hfut.edu.cn; hbzhang@hfut.edu.cn</t>
  </si>
  <si>
    <t>Natural Science Foundation of Anhui Province [2108085MC120]</t>
  </si>
  <si>
    <t>Natural Science Foundation of Anhui Province(Natural Science Foundation of Anhui Province)</t>
  </si>
  <si>
    <t>The authors are grateful to the Natural Science Foundation of Anhui Province (grant no. 2108085MC120).</t>
  </si>
  <si>
    <t>10.1007/s11274-023-03691-4</t>
  </si>
  <si>
    <t>L2FU3</t>
  </si>
  <si>
    <t>WOS:001021473800001</t>
  </si>
  <si>
    <t>Moirangthem, B; Alam, MW; Singh, NK</t>
  </si>
  <si>
    <t>Moirangthem, Borish; Alam, Mir Waqas; Singh, Naorem Khelchand</t>
  </si>
  <si>
    <t>Fast switching photodetector based on HfO2 thin film deposited using electron beam evaporation technique</t>
  </si>
  <si>
    <t>HfO2; Amorphous; Responsitivity; Detectivity; Switching; Photodetector</t>
  </si>
  <si>
    <t>OPTICAL-PROPERTIES; ANNEALING TEMPERATURE; PHOTODIODE; MORPHOLOGY</t>
  </si>
  <si>
    <t>This study reports the electrical properties of a fast-switching photodetector based on a Hafnium Oxide (HfO2) thin film (TF) device with gold (Au) Schottky electrodes. It also presents the deposition of an HfO2 TF device using a conventional electron beam evaporation method on p-type Silicon (Si) substrates. XRD analysis confirmed the amorphous structural nature of HfO2 TF, and cross-sectional FESEM analysis shows growth of similar to 140 nm HfO2 on the p-Si substrate. Fourier transforms infrared (FTIR) analysis confirms the HfO2 bonding. Furthermore, the UV-Vis spectroscopy demonstrates that the device exhibits predominant absorption within the UV region. At room temperature, the electrical analysis of the HfO2 TF device was conducted. The device shows a good detectivity (D*) of 1.30 x 10(12) Jones, a low noise equivalent power (NEP) value of 3.23 x 10(-12) W, and a responsivity of 300 mA/W with an internal gain of 1.49. It was also observed that the device has a fast-switching response at + 2 V with fall and rise times of 94 ms and 93 ms, respectively, making it a suitable device for photodetector application.</t>
  </si>
  <si>
    <t>[Moirangthem, Borish; Singh, Naorem Khelchand] Natl Inst Technol, Dept Elect &amp; Commun Engn, Dimapur 797103, Nagaland, India; [Alam, Mir Waqas] King Faisal Univ, Coll Sci, Dept Phys, Al Hasa 31982, Saudi Arabia</t>
  </si>
  <si>
    <t>National Institute of Technology (NIT System); National Institute of Technology Nagaland; King Faisal University</t>
  </si>
  <si>
    <t>Singh, NK (corresponding author), Natl Inst Technol, Dept Elect &amp; Commun Engn, Dimapur 797103, Nagaland, India.</t>
  </si>
  <si>
    <t>khelchand.singh@gmail.com</t>
  </si>
  <si>
    <t>NIT Nagaland; Deanship of Scientific Research, Vice Presidency for Graduate Studies and Scientific Research, King Faisal University, Saudi Arabia [GRANT3811]</t>
  </si>
  <si>
    <t>NIT Nagaland; Deanship of Scientific Research, Vice Presidency for Graduate Studies and Scientific Research, King Faisal University, Saudi Arabia</t>
  </si>
  <si>
    <t>&amp; nbsp;We acknowledge NIT Nagaland for IV measurement, XRD analysis, financial support and NIT Durgapur for FESEM characterization. Also, the authors would like to acknowledge the Deanship of Scientific Research, Vice Presidency for Graduate Studies and Scientific Research, King Faisal University, Saudi Arabia [Project No. GRANT3811] for their support.</t>
  </si>
  <si>
    <t>10.1007/s00339-023-06907-4</t>
  </si>
  <si>
    <t>P2WS7</t>
  </si>
  <si>
    <t>WOS:001049299800002</t>
  </si>
  <si>
    <t>Nagender, T; Parulekar, YM; Shinde, P; Chattopadhyay, J; Selvam, P</t>
  </si>
  <si>
    <t>Nagender, T.; Parulekar, Y. M.; Shinde, Priti; Chattopadhyay, J.; Selvam, P.</t>
  </si>
  <si>
    <t>Degradation assessment of corroded RC frames using in-structure response spectra from shake table tests and numerical simulation</t>
  </si>
  <si>
    <t>BULLETIN OF EARTHQUAKE ENGINEERING</t>
  </si>
  <si>
    <t>Corrosion; Reinforced concrete frames; Shake table tests; Capacity; Ductility</t>
  </si>
  <si>
    <t>CORROSION DAMAGE; CONCRETE; REINFORCEMENT; BEHAVIOR; PERFORMANCE; HYSTERESIS; MODEL</t>
  </si>
  <si>
    <t>Reinforced Concrete (RC) structures located near sea undergo primary durability issue of corrosion of reinforcing steel bars which decreases the load carrying capacity of the structural members. Thus, these structures eventually bear lesser seismic loads and their safety margins are reduced. It is, therefore, essential to study the effect of actual earthquake loads on the corroded structures. In the present work, numerical simulation of uncorroded, 7.5% corroded and 10% corroded RC frames subjected to earthquake loads and its validation with full scale shake table test data is demonstrated. The frames were corroded using induced accelerated corrosion technique. Subsequently, the frames were subjected to increasing shake table excitation and tested till failure. The effect of bond strength reduction, reduction in rebar diameter and decrease in mechanical properties of corroded steel was considered in the numerical model and non-linear time history analysis is carried out using pivot hysteretic model considering strength and stiffness degradation due to corrosion. The in-structure response spectra obtained numerically were in good agreement with those obtained experimentally. It was observed that there is reduction in lateral load carrying capacity by 8.8% and 14.15% along with reduction in ductility by 13.5% and 21.2% for 7.5% and 10% corroded frames respectively with respect to pristine frames.</t>
  </si>
  <si>
    <t>[Nagender, T.; Parulekar, Y. M.; Chattopadhyay, J.] Bhabha Atom Res Ctr, Mumbai 400085, Maharashtra, India; [Parulekar, Y. M.; Chattopadhyay, J.] Homi Bhabha Natl Inst, Mumbai 400094, Maharashtra, India; [Shinde, Priti] Nucl Power Corp India Ltd, Mumbai 400094, Maharashtra, India; [Selvam, P.] Cent Power Res Inst, Bangalore 560080, Karnataka, India</t>
  </si>
  <si>
    <t>Bhabha Atomic Research Center (BARC); Homi Bhabha National Institute; Nuclear Power Corporation of India Limited</t>
  </si>
  <si>
    <t>Parulekar, YM (corresponding author), Bhabha Atom Res Ctr, Mumbai 400085, Maharashtra, India.;Parulekar, YM (corresponding author), Homi Bhabha Natl Inst, Mumbai 400094, Maharashtra, India.</t>
  </si>
  <si>
    <t>yogitap@barc.gov.in</t>
  </si>
  <si>
    <t>1570-761X</t>
  </si>
  <si>
    <t>1573-1456</t>
  </si>
  <si>
    <t>B EARTHQ ENG</t>
  </si>
  <si>
    <t>Bull. Earthq. Eng.</t>
  </si>
  <si>
    <t>10.1007/s10518-023-01754-3</t>
  </si>
  <si>
    <t>R7ZP0</t>
  </si>
  <si>
    <t>WOS:001066504000014</t>
  </si>
  <si>
    <t>Newman, RJS; Thorn, JPR; Haji, TA; Nchimbi, AY; Musa, I; Enns, C; Marchant, RA</t>
  </si>
  <si>
    <t>Newman, Rebecca J. S.; Thorn, Jessica P. R.; Haji, Tahir A.; Nchimbi, Aziza Y.; Musa, Irene; Enns, Charis; Marchant, Robert A.</t>
  </si>
  <si>
    <t>A people-centred framework for exploring water, energy and food security in a small developing island</t>
  </si>
  <si>
    <t>POPULATION AND ENVIRONMENT</t>
  </si>
  <si>
    <t>Climate change; Socio-ecological; Land use competition; Deforestation; Resource management; Adaptation; Maladaptation</t>
  </si>
  <si>
    <t>COMMUNITY-BASED ADAPTATION; CLIMATE-CHANGE; ADAPTIVE CAPACITY; DEVELOPING STATES; TROPICAL COASTAL; LAND-USE; ZANZIBAR; VULNERABILITY; RESILIENCE; GOVERNANCE</t>
  </si>
  <si>
    <t>Small developing islands face a number of environmental and social pressures which impact resource security. This study uses a people-centred framework to investigate social-ecological interactions for water, energy and food security. Ten semi-structured focus group discussions were conducted in Pemba and Unguja islands with village elders and leaders. Results demonstrate that shocks and stresses affecting resource security are attributed to land use and resource competition, deforestation, climate change and insufficient resource infrastructure. The scale and strength of such pressures are heightened in dry seasons and also correspond with spatial characteristics such as remoteness, intensity of land use and amount of natural resource capital. Whilst a number of adaptive responses are identified, these appear to be incremental and do not address the scale of the challenge. Maladaptive responses are also identified; most concerning is the use of poor quality water when piped water was disrupted, reduced nutritional intake during dry season and using unsustainable supplies or methods of obtaining of fuelwood. Findings illustrate the importance of using people-centred approaches for understanding the complexity of social-ecological interactions for resource security. They also demonstrate that interventions for resource management need to consider spatial heterogeneity and temporality in terms of how specific land cover uses connect to differential pressures and adaptation capacity over time.</t>
  </si>
  <si>
    <t>[Newman, Rebecca J. S.; Marchant, Robert A.] Univ York, York Inst Trop Ecosyst, Dept Environm &amp; Geog, York, England; [Thorn, Jessica P. R.] Univ Cape Town, African Climate &amp; Dev Initiat, Cape Town, South Africa; [Haji, Tahir A.; Nchimbi, Aziza Y.] Dept Forestry &amp; Renewable &amp; Non Renewable Resource, Zanzibar, Tanzania; [Musa, Irene] Univ Dar Es Salaam, Inst Resource Assessment, Dar Es Salaam, Tanzania; [Enns, Charis] Global Dev Inst, Arthur Lewis Bldg, Oxford Rd, Manchester, England</t>
  </si>
  <si>
    <t>University of York - UK; University of Cape Town; University of Dar es Salaam</t>
  </si>
  <si>
    <t>Newman, RJS (corresponding author), Univ York, York Inst Trop Ecosyst, Dept Environm &amp; Geog, York, England.</t>
  </si>
  <si>
    <t>Rebecca.newman@york.ac.uk; jessica.thorn@york.ac.uk; twahirhaji@yahoo.com; azizanchimbi@gmail.com; irenemusa4@gmail.com; charis.enns@manchester.ac.uk; robert.marchant@york.ac.uk</t>
  </si>
  <si>
    <t>Thorn, Jessica/0000-0003-2108-2554</t>
  </si>
  <si>
    <t>Economic and Social Research Council [ES/J500215/1]; UK Research and Innovation's Global Challenges Research Fund under the Development Corridors Partnership project [ES/P011500/1]</t>
  </si>
  <si>
    <t>Economic and Social Research Council(UK Research &amp; Innovation (UKRI)Economic &amp; Social Research Council (ESRC)); UK Research and Innovation's Global Challenges Research Fund under the Development Corridors Partnership project</t>
  </si>
  <si>
    <t>&amp; nbsp;The Economic and Social Research Council (grant number ES/J500215/1) funded R. N. This output has also been funded in part by the UK Research and Innovation's Global Challenges Research Fund under the Development Corridors Partnership project (project number ES/P011500/1).</t>
  </si>
  <si>
    <t>0199-0039</t>
  </si>
  <si>
    <t>1573-7810</t>
  </si>
  <si>
    <t>POPUL ENVIRON</t>
  </si>
  <si>
    <t>Popul. Env.</t>
  </si>
  <si>
    <t>10.1007/s11111-023-00427-2</t>
  </si>
  <si>
    <t>Demography; Environmental Studies</t>
  </si>
  <si>
    <t>Demography; Environmental Sciences &amp; Ecology</t>
  </si>
  <si>
    <t>M8WQ0</t>
  </si>
  <si>
    <t>WOS:001032966800001</t>
  </si>
  <si>
    <t>Njuguna, L; Biesbroek, R; Crane, TA; Dewulf, A; Tamás, P</t>
  </si>
  <si>
    <t>Njuguna, Lucy; Biesbroek, Robbert; Crane, Todd A.; Dewulf, Art; Tamas, Peter</t>
  </si>
  <si>
    <t>Do government knowledge production and use systems matter for global climate change adaptation tracking? Insights from Eastern Africa</t>
  </si>
  <si>
    <t>Livestock; Climate change adaptation; Adaptation tracking; Adaptation monitoring; Knowledge production</t>
  </si>
  <si>
    <t>POLITICS; EXPERTISE; STOCKTAKE; POLICY</t>
  </si>
  <si>
    <t>National contexts play a critical role in shaping the transposition of international laws and agreements, such as the Paris Agreement. However, the relevance of national contexts when assessing global progress in adaptation to climate change has received little theoretical and empirical attention. To bridge this gap, we conduct a comparative study of government systems for producing and using policy knowledge on the livestock sectors of three Eastern Africa countries. We find distinct features within and between countries, which may explain variations in how adaptation progress is tracked. In particular, our study shows that prevailing administrative structures influence horizontal and vertical coordination, with implications for the flow of knowledge within government. The extent of coordination and the establishment of knowledge production procedures and accountability mechanisms affect the compatibility of the various knowledge streams in each country which, in turn, determines the potential for integrating adaptation tracking across the various administrative units. Our findings suggest that the effectiveness and feasibility of tracking adaptation progress over time and space will depend on the adequacy and successful linkage of tracking programs with existing systems of knowledge production and use. These findings underscore the relevance of a fit-for-context approach that examines how adaptation tracking can effectively be integrated into existing structures and processes while developing strategies for improving knowledge production and use.</t>
  </si>
  <si>
    <t>[Njuguna, Lucy; Biesbroek, Robbert; Dewulf, Art] Wageningen Univ &amp; Res, Publ Adm &amp; Policy Grp, Wageningen, Netherlands; [Njuguna, Lucy; Crane, Todd A.] Int Livestock Res Inst ILRI, Nairobi, Kenya; [Tamas, Peter] Wageningen Univ &amp; Res, Biometr Grp, Wageningen, Netherlands</t>
  </si>
  <si>
    <t>Wageningen University &amp; Research; CGIAR; International Livestock Research Institute (ILRI); Wageningen University &amp; Research</t>
  </si>
  <si>
    <t>Njuguna, L (corresponding author), Wageningen Univ &amp; Res, Publ Adm &amp; Policy Grp, Wageningen, Netherlands.;Njuguna, L (corresponding author), Int Livestock Res Inst ILRI, Nairobi, Kenya.</t>
  </si>
  <si>
    <t>Lucy.Njuguna@wur.nl; Robbert.Biesbroek@wur.nl; T.Crane@cgiar.org; Art.Dewulf@wur.nl; Peter.Tamas@wur.nl</t>
  </si>
  <si>
    <t>; Biesbroek, Robbert/I-2384-2013</t>
  </si>
  <si>
    <t>Tamas, Peter/0000-0002-5409-1273; Biesbroek, Robbert/0000-0002-2906-1419</t>
  </si>
  <si>
    <t>German Federal Ministry for Economic Cooperation and Development (BMZ); Deutsche Gesellschaft fur Internationale Zusammenarbeit (GIZ) through the Fund International Agricultural Research (FIA) [81231239]; CGIAR Trust Fund</t>
  </si>
  <si>
    <t>German Federal Ministry for Economic Cooperation and Development (BMZ); Deutsche Gesellschaft fur Internationale Zusammenarbeit (GIZ) through the Fund International Agricultural Research (FIA); CGIAR Trust Fund(CGIAR)</t>
  </si>
  <si>
    <t>The work by Lucy Njuguna and Todd Crane is funded through two sources. First, we appreciate the contribution from the Program for Climate Smart Livestock (PCSL) which received financial support from the German Federal Ministry for Economic Cooperation and Development (BMZ) commissioned by the Deutsche Gesellschaft fur Internationale Zusammenarbeit (GIZ) through the Fund International Agricultural Research (FIA), grant number: 81231239. The second is the One CGIAR's Livestock and Climate initiative. We would like to thank the funders who supported this research through their contributions to the CGIAR Trust Fund https://www.cgiar.org/funders/.</t>
  </si>
  <si>
    <t>10.1007/s10113-023-02077-4</t>
  </si>
  <si>
    <t>K6KH2</t>
  </si>
  <si>
    <t>WOS:001017504600004</t>
  </si>
  <si>
    <t>Omotani, S; Murakami, K; Naka, A; Hatsuda, Y; Myotoku, M</t>
  </si>
  <si>
    <t>Omotani, Sachiko; Murakami, Kanaha; Naka, Arisa; Hatsuda, Yasutoshi; Myotoku, Michiaki</t>
  </si>
  <si>
    <t>Differences in the growth of microorganisms depends on the type of semi-solid enteral nutritional supplements</t>
  </si>
  <si>
    <t>JOURNAL OF PHARMACEUTICAL HEALTH CARE AND SCIENCES</t>
  </si>
  <si>
    <t>Semi-solid enteral nutrition; RTH preparations; Microorganisms</t>
  </si>
  <si>
    <t>BACTERIAL-CONTAMINATION; LIPID EMULSION</t>
  </si>
  <si>
    <t>BackgroundEnteral nutritional supplements are used in many medical facilities and home care, but require appropriate management because they are nutrient-rich products. Recently, infection control methods for Ready To Hang (RTH) preparations, which are widely used and are expected to reduce the risk of infection, have not been established in Japan and are dependent on caregivers. Therefore, we evaluated the difference in the growth of microorganisms depending on the type of enteral nutrients following contamination with microorganisms.MethodsNine types of enteral nutrition were used. Escherichia coli (E. coli) W3110, Serratia marcescens (S. marcescens) NBRC3046, and Candida albicans (C. albicans) IFM61197 were used as test bacteria. The bacterial solution was added to the enteral nutritional supplement, adjusted, and the number of bacteria was measured at 0, 4, 8, and 24 h after the addition of the bacterial solution at 25 &amp; DEG;C and in the dark.ResultsE. coli and S. marcescens grew in RACOL &amp; REG;-NF SemiSolid for Enteral Use, Hine &amp; REG; Jerry AQUA, and Mermed Plus &amp; REG; over a 24-h period; however, a decrease was observed for other enteral nutrition products. In contrast, C. albicans grew in all enteral nutrition products.ConclusionBecause the viscosity and calorie content vary among enteral nutrition preparations in which growth was observed, we found that pH had the greatest effect on the differences in bacterial growth. Nonetheless, C. albicans growth occurred in all nine types of enteral nutrients, indicating that unlike bacteria, its growth was independent of pH. If semi-solid enteral nutrients are contaminated with microorganisms for any reason, microorganisms will grow, so appropriate infection control is necessary to prevent infection.</t>
  </si>
  <si>
    <t>[Omotani, Sachiko; Murakami, Kanaha; Naka, Arisa; Hatsuda, Yasutoshi; Myotoku, Michiaki] Osaka Ohtani Univ, Fac Pharm, 3-11-1 Nishikiori Kita, Tondabayashi, Osaka 5848540, Japan</t>
  </si>
  <si>
    <t>Myotoku, M (corresponding author), Osaka Ohtani Univ, Fac Pharm, 3-11-1 Nishikiori Kita, Tondabayashi, Osaka 5848540, Japan.</t>
  </si>
  <si>
    <t>myoutom@osaka-ohtani.ac.jp</t>
  </si>
  <si>
    <t>2055-0294</t>
  </si>
  <si>
    <t>J PHARM HEALTH CARE</t>
  </si>
  <si>
    <t>J. PHARM. HEALTH CARE SCI.</t>
  </si>
  <si>
    <t>10.1186/s40780-023-00297-8</t>
  </si>
  <si>
    <t>Q1ZA9</t>
  </si>
  <si>
    <t>WOS:001055558400002</t>
  </si>
  <si>
    <t>Orts, F; Paulavicius, R; Filatovas, E</t>
  </si>
  <si>
    <t>Orts, Francisco; Paulavicius, Remigijus; Filatovas, Ernestas</t>
  </si>
  <si>
    <t>Improving the implementation of quantum blockchain based on hypergraphs</t>
  </si>
  <si>
    <t>QUANTUM INFORMATION PROCESSING</t>
  </si>
  <si>
    <t>Quantum blockchain; Hypergraph states; Quantum circuit; Quantum computing; Blockchain</t>
  </si>
  <si>
    <t>In recent years, there has been a growing interest in the potential of quantum computing for enhancing the security and efficiency of blockchain technology. While quantum blockchain protocols offer improved security over their classical counterparts, implementing such protocols on present-day quantum computers poses difficulties due to the limited number of qubits and quantum gates and the significant effects of noise. In this paper, we propose a set of improvements for implementing a quantum blockchain protocol based on hypergraphs that aim to reduce the required resources and operations and increase noise tolerance. Specifically, we focus on enhancing the state-of-the-art quantum circuits that underpin the quantum blockchain by optimizing the so-called T-count and T-depth, which represent the number of quantum gates and the circuit depth, respectively. Our proposed implementations also leverage proven error detection and correction codes to improve noise tolerance. To evaluate the effectiveness of our proposed improvements, we tested them on real quantum devices. Our results demonstrate a significant reduction in the T-count and T-depth. Overall, our proposed improvements provide a promising direction for the practical implementation of quantum blockchain protocols on current quantum computers and lay a foundation for further research in this area.</t>
  </si>
  <si>
    <t>[Orts, Francisco; Paulavicius, Remigijus; Filatovas, Ernestas] Vilnius Univ, Inst Data Sci &amp; Digital Technol, Vilnius, Lithuania</t>
  </si>
  <si>
    <t>Vilnius University</t>
  </si>
  <si>
    <t>Orts, F (corresponding author), Vilnius Univ, Inst Data Sci &amp; Digital Technol, Vilnius, Lithuania.</t>
  </si>
  <si>
    <t>francisco.gomez@mif.vu.lt; remigijus.paulavicius@mif.vu.lt; ernestas.filatovas@mif.vu.lt</t>
  </si>
  <si>
    <t>Orts, Francisco/X-6626-2019</t>
  </si>
  <si>
    <t>Orts, Francisco/0000-0002-4312-3671</t>
  </si>
  <si>
    <t>Research Council of Lithuania (LMTLT) [S-MIP-21-53]</t>
  </si>
  <si>
    <t>Research Council of Lithuania (LMTLT)(Research Council of Lithuania (LMTLT))</t>
  </si>
  <si>
    <t>This research has received funding from the Research Council of Lithuania (LMTLT), agreement No. S-MIP-21-53</t>
  </si>
  <si>
    <t>1570-0755</t>
  </si>
  <si>
    <t>1573-1332</t>
  </si>
  <si>
    <t>QUANTUM INF PROCESS</t>
  </si>
  <si>
    <t>Quantum Inf. Process.</t>
  </si>
  <si>
    <t>10.1007/s11128-023-04096-w</t>
  </si>
  <si>
    <t>Quantum Science &amp; Technology; Physics, Multidisciplinary; Physics, Mathematical</t>
  </si>
  <si>
    <t>R1FP3</t>
  </si>
  <si>
    <t>WOS:001061872200002</t>
  </si>
  <si>
    <t>Pang, DH; Wang, H; Ma, J; Liang, D</t>
  </si>
  <si>
    <t>Pang, Denghao; Wang, Hong; Ma, Jian; Liang, Dong</t>
  </si>
  <si>
    <t>DCTN: a dense parallel network combining CNN and transformer for identifying plant disease in field</t>
  </si>
  <si>
    <t>SOFT COMPUTING</t>
  </si>
  <si>
    <t>Deep learning; Convolutional neural networks; Transformer; Plant pathology recognition</t>
  </si>
  <si>
    <t>Crop diseases can have a detrimental impact on crop growth, resulting in a significant reduction in crop yield. Therefore, accurate detection of these diseases is crucial for enhancing crop productivity. Despite notable advancements in deep learning techniques for disease identification, most experiments have been conducted under simplified laboratory conditions, posing challenges for accurately identifying crop diseases in complex real-world field environments. To bridge this gap, we draw inspiration from the Transformer model's ability to capture long-range global dependencies and handle occlusion. We propose a novel approach called Dense CNNs and Transformer Network (DCTN) for accurate detection of field crop diseases. Moreover, we introduce a new attention mechanism that utilizes multi-head self-attention via deep separable convolution projection and down-sampling, significantly enhancing computational efficiency. Additionally, we have meticulously curated and cleaned a dataset of 45,547 images depicting healthy and diseased crops in real-field environments. Our proposed method demonstrates superior performance, particularly in terms of its robustness against background interference in crop disease detection. Notably, DCTN achieves accuracies of 93.01% and 99.69% on our dataset and a publicly available dataset, respectively. For those who are interested, the code for our approach will be made available on https://github.com/wh9704/DCTN.</t>
  </si>
  <si>
    <t>[Pang, Denghao; Wang, Hong; Ma, Jian; Liang, Dong] Anhui Univ, Sch Internet, Hefei 230601, Anhui, Peoples R China; [Pang, Denghao; Liang, Dong] Anhui Univ, Natl Engn Res Ctr Agroecol Big Data Anal &amp; Applica, Agroecol Big Data Anal &amp; Applicat, Hefei 230601, Anhui, Peoples R China; [Ma, Jian] Fudan Univ, Sch Comp Sci, Shanghai 200433, Peoples R China</t>
  </si>
  <si>
    <t>Anhui University; Anhui University; Fudan University</t>
  </si>
  <si>
    <t>Liang, D (corresponding author), Anhui Univ, Sch Internet, Hefei 230601, Anhui, Peoples R China.;Liang, D (corresponding author), Anhui Univ, Natl Engn Res Ctr Agroecol Big Data Anal &amp; Applica, Agroecol Big Data Anal &amp; Applicat, Hefei 230601, Anhui, Peoples R China.</t>
  </si>
  <si>
    <t>pangdenghao@ahu.edu.cn; wh131015@163.com; jianma@ahu.edu.cn; dliang@ahu.edu.cn</t>
  </si>
  <si>
    <t>Pang, Denghao/0000-0001-7669-3614</t>
  </si>
  <si>
    <t>This work was supported by National Natural Science Foundation of China (Grant Numbers 62273001, 62072002, 61906118, 12301185), Anhui Provincial Major Science and Technology Special Program (Grant Number 202003a06020016). [62072002, 61906118, 12301185, 202003a06020016]; National Natural Science Foundation of China; Anhui Provincial Major Science and Technology Special Program; [62273001]</t>
  </si>
  <si>
    <t>This work was supported by National Natural Science Foundation of China (Grant Numbers 62273001, 62072002, 61906118, 12301185), Anhui Provincial Major Science and Technology Special Program (Grant Number 202003a06020016).(National Natural Science Foundation of China (NSFC)); National Natural Science Foundation of China(National Natural Science Foundation of China (NSFC)); Anhui Provincial Major Science and Technology Special Program;</t>
  </si>
  <si>
    <t>This work was supported by National Natural Science Foundation of China (Grant Numbers 62273001, 62072002, 61906118, 12301185), Anhui Provincial Major Science and Technology Special Program (Grant Number 202003a06020016).</t>
  </si>
  <si>
    <t>1432-7643</t>
  </si>
  <si>
    <t>1433-7479</t>
  </si>
  <si>
    <t>SOFT COMPUT</t>
  </si>
  <si>
    <t>Soft Comput.</t>
  </si>
  <si>
    <t>10.1007/s00500-023-09071-2</t>
  </si>
  <si>
    <t>Computer Science, Artificial Intelligence; Computer Science, Interdisciplinary Applications</t>
  </si>
  <si>
    <t>Q4BR8</t>
  </si>
  <si>
    <t>WOS:001056993400007</t>
  </si>
  <si>
    <t>Parashiva, J; Nuthan, BR; Rakshith, D; Satish, S</t>
  </si>
  <si>
    <t>Parashiva, Javaraiah; Nuthan, Bettadapura Rameshgowda; Rakshith, Devaraju; Satish, Sreedharamurthy</t>
  </si>
  <si>
    <t>Endophytic Fungi as a Promising Source of Anticancer L-Asparaginase: A Review</t>
  </si>
  <si>
    <t>EXTRACELLULAR L-ASPARAGINASE; RECOMBINANT L-ASPARAGINASE; SOLID-STATE FERMENTATION; MICROBIAL L-ASPARAGINASE; PARTIAL-PURIFICATION; ERWINIA-CHRYSANTHEMI; OPTIMIZATION; GLUTAMINASE; ENZYME; EXPRESSION</t>
  </si>
  <si>
    <t>L-asparaginase is a tetrameric enzyme from the amidohydrolases family, that catalyzes the breakdown of L-asparagine into L-aspartic acid and ammonia. Since its discovery as an anticancer drug, it is used as one of the prime chemotherapeutic agents to treat acute lymphoblastic leukemia. Apart from its use in the biopharmaceutical industry, it is also used to reduce the formation of a carcinogenic substance called acrylamide in fried, baked, and roasted foods. L-asparaginase is derived from many organisms including plants, bacteria, fungi, and actinomycetes. Currently, L-asparaginase preparations from Escherichia coli and Erwinia chrysanthemi are used in the clinical treatment of acute lymphoblastic leukemia. However, they are associated with low yield and immunogenicity problems. At this juncture, endophytic fungi from medicinal plants have gained much attention as they have several advantages over the available bacterial preparations. Many medicinal plants have been screened for L-asparaginase producing endophytic fungi and several studies have reported potent L-asparaginase producing strains. This review provides insights into fungal endophytes from medicinal plants and their significance as probable alternatives for bacterial L-asparaginase.</t>
  </si>
  <si>
    <t>[Parashiva, Javaraiah; Nuthan, Bettadapura Rameshgowda; Satish, Sreedharamurthy] Univ Mysore, Dept Studies Microbiol, Mysuru 570006, Karnataka, India; [Rakshith, Devaraju] Univ Mysore, Yuvarajas Coll, Dept Microbiol, Mysuru 570005, Karnataka, India</t>
  </si>
  <si>
    <t>University of Mysore; University of Mysore</t>
  </si>
  <si>
    <t>Satish, S (corresponding author), Univ Mysore, Dept Studies Microbiol, Mysuru 570006, Karnataka, India.</t>
  </si>
  <si>
    <t>satish.micro@gmail.com</t>
  </si>
  <si>
    <t>Satish, Sreedharamurthy/0000-0003-1164-4701</t>
  </si>
  <si>
    <t>10.1007/s00284-023-03392-z</t>
  </si>
  <si>
    <t>M5IB7</t>
  </si>
  <si>
    <t>WOS:001030541200001</t>
  </si>
  <si>
    <t>Park, J; Yang, S; Kwon, HJ; Kim, H; Lee, D</t>
  </si>
  <si>
    <t>Park, Jongwoon; Yang, Seongun; Kwon, Hyeok-Jun; Kim, Hwasoo; Lee, Dooyoul</t>
  </si>
  <si>
    <t>Structural Reliability Analysis of Corroded Landing Gear Drag Beam Considering Uncertainties in Radiographic Thickness Measurement</t>
  </si>
  <si>
    <t>Radiographic testing; Corrosion; Structural reliability analysis; Landing gear; Thickness estimation</t>
  </si>
  <si>
    <t>This study investigated the reliability of a corroded drag beam of a helicopter landing gear. The drag beam made up of high-strength steel failed due to corrosion-initiated cracking. The fracture probability was calculated using a simple capacity and demand model. The strength distribution of the drag beam was obtained through the estimated thickness using radiography, and a model for thickness measurement was developed using a linear attenuation coefficient for both a base metal and a corrosion product. The thickness reduction by corrosion was estimated by comparing the photon intensities of the corroded region and the region of known thickness without any corrosion. Due to uncertainties in the model parameters-thickness of the good area, photon intensity with or without the corrosion product, and corrosion rate-Monte Carlo simulation was conducted. The load distribution was obtained using the flight load data from strain gauges attached to the drag beams, which mainly carried a compressive load and a much smaller torsional load. The results show that the currently operated drag beams have a sufficient margin of safety. Considering uncertainties, the inspection of the drag beam using radiography proved that it was structurally reliable.</t>
  </si>
  <si>
    <t>[Park, Jongwoon; Kwon, Hyeok-Jun; Kim, Hwasoo] Republ Korea Air Force, Aero Technol Res Inst, Daegu, South Korea; [Yang, Seongun] Oregon State Univ, Sch Mech Ind &amp; Mfg Engn, Corvallis, OR USA; [Lee, Dooyoul] Korea Natl Def Univ, Dept Def Sci, Nonsan, South Korea</t>
  </si>
  <si>
    <t>Oregon State University</t>
  </si>
  <si>
    <t>Lee, D (corresponding author), Korea Natl Def Univ, Dept Def Sci, Nonsan, South Korea.</t>
  </si>
  <si>
    <t>dlee05291@korea.kr</t>
  </si>
  <si>
    <t>10.1007/s10921-023-00983-5</t>
  </si>
  <si>
    <t>O5RF9</t>
  </si>
  <si>
    <t>WOS:001044373500001</t>
  </si>
  <si>
    <t>Qiu, F; Feng, WM; Song, H; Yang, ZQ; Zhang, F; Hu, XG</t>
  </si>
  <si>
    <t>Qiu, Feng; Feng, Weimin; Song, Hui; Yang, Zhiquan; Zhang, Fei; Hu, Xianguo</t>
  </si>
  <si>
    <t>On the Structure-Activity Relationship of Glyceryl oleate Friction Modifiers and Its Synergistic Mechanism on Phosphate ester Antiwear Additives</t>
  </si>
  <si>
    <t>Glyceryl oleate; Structure-activity relationship; Synergistic antiwear; Molecular dynamics; Density functional theory</t>
  </si>
  <si>
    <t>MOLECULAR-DYNAMICS SIMULATIONS; TRIBOLOGICAL PROPERTIES; BOUNDARY LUBRICATION; MIXED LUBRICATION; CARBON NANOTUBES; GRAPHENE OXIDE; ADSORPTION; BEHAVIOR; SURFACE; FILM</t>
  </si>
  <si>
    <t>The structure-activity relationship of glyceryl oleate organic friction modifiers and the difference in interaction with antiwear additives significantly affect the friction and wear characteristics of the lubrication system. This paper comprehensively considered the differences between polar functional groups and hydrocarbon tail chains, the structure-activity relationship of three glyceryl oleate friction modifiers and the synergistic antiwear mechanism with phosphate ester additives were investigated by experiments and simulations. The results indicated that the substitution of hydroxyl groups in glyceryl oleate weakened the electrostatic and hydrogen bonding interactions with the metal interface, and the increase of hydrocarbon tail chains led to the enhanced steric hindrance effect, which in turn led to the deterioration of tribological properties. In addition, the binary additive system of glyceryl monooleate and phosphate ester exhibited significant synergistic antiwear effects. This is attributed to the chemisorption of additive O(C = O/P-O/P = O) active sites and Fe2O3 metal interface, GMO hydrogen bond interaction, the deprotonation of phosphate ester, and carbonate and phosphate protective film generated by tribochemical reaction.</t>
  </si>
  <si>
    <t>[Qiu, Feng; Feng, Weimin; Song, Hui; Yang, Zhiquan; Zhang, Fei; Hu, Xianguo] Hefei Univ Technol, Inst Tribol, Tunxi Rd 193, Hefei 230009, Peoples R China; [Yang, Zhiquan] Chinese Acad Sci, Lanzhou Inst Chem Phys, State Key Lab Solid Lubricat, Lanzhou 730000, Peoples R China</t>
  </si>
  <si>
    <t>Hefei University of Technology; Chinese Academy of Sciences; Lanzhou Institute of Chemical Physics, CAS</t>
  </si>
  <si>
    <t>Hu, XG (corresponding author), Hefei Univ Technol, Inst Tribol, Tunxi Rd 193, Hefei 230009, Peoples R China.</t>
  </si>
  <si>
    <t>xghu@hfut.edu.cn</t>
  </si>
  <si>
    <t>Hu, Xianguo/I-7355-2016</t>
  </si>
  <si>
    <t>Hu, Xianguo/0000-0001-8239-7950</t>
  </si>
  <si>
    <t>National Nature Science Foundation of China [52075141]</t>
  </si>
  <si>
    <t>National Nature Science Foundation of China(National Natural Science Foundation of China (NSFC))</t>
  </si>
  <si>
    <t>This work was supported by the National Nature Science Foundation of China (Grant No. 52075141).</t>
  </si>
  <si>
    <t>10.1007/s11249-023-01764-x</t>
  </si>
  <si>
    <t>M9QO0</t>
  </si>
  <si>
    <t>WOS:001033488800002</t>
  </si>
  <si>
    <t>Resende, GJ; Malatesta, V; Savio, MC; Castro, BM</t>
  </si>
  <si>
    <t>Resende, Gustavo Jorge; Malatesta, Vinicius; Savio, Marcos Cesar; Castro, Breno Moura</t>
  </si>
  <si>
    <t>Wing's aerodynamic characteristics due to distributed propulsion over the wingspan</t>
  </si>
  <si>
    <t>VLM; Distributed-propulsion; High-lift propellers; VSPAERO</t>
  </si>
  <si>
    <t>Distributed propulsion (DP) is not a new concept but recent advances in electric motors and batteries, along with the need for more environmentally friendly products, brought this concept back to the spotlight. This paper addresses two types of DP: wingtip-mounted propellers and distributed propellers along the wingspan. The benchmark of the analysis is NASA's X-57 Maxwell demonstrator. Another goal of this paper is to evaluate how good is the VSPAERO code to modeling aerodynamic flows, from a simple case of the isolated wing to a more complex 14 rotors case. The overall results show that VSPAERO provides consistent estimations for most cases scenarios, becoming a powerful tool for the pre-design of aircraft with distributed propulsion.</t>
  </si>
  <si>
    <t>[Resende, Gustavo Jorge; Savio, Marcos Cesar; Castro, Breno Moura] Embraer, Commercial Aviat, Av Brg Faria Lima, BR-12227901 Sao Jose Dos Campos, SP, Brazil; [Malatesta, Vinicius] ITA Aeronaut Inst Technol, Aeronaut, Praca Marechal Eduardo Gomes, BR-12228900 Sao Jose Dos Campos, SP, Brazil</t>
  </si>
  <si>
    <t>Embraer S.A.</t>
  </si>
  <si>
    <t>Resende, GJ (corresponding author), Embraer, Commercial Aviat, Av Brg Faria Lima, BR-12227901 Sao Jose Dos Campos, SP, Brazil.</t>
  </si>
  <si>
    <t>gustavojresende@gmail.com; vinicius.malatesta@gp.ita.br; marcos.savio@embraer.com.br; breno.castro@embraer.com.br</t>
  </si>
  <si>
    <t>10.1007/s40430-023-04413-5</t>
  </si>
  <si>
    <t>Q6JV7</t>
  </si>
  <si>
    <t>WOS:001058575500001</t>
  </si>
  <si>
    <t>Ruiz-Ruiz, TM; Morquecho, L; Cruz-Garcia, LM; Torres, JR; Flores-Miranda, MD; Arreola-Lizarraga, JA</t>
  </si>
  <si>
    <t>Ruiz-Ruiz, Thelma Michelle; Morquecho, Lourdes; Cruz-Garcia, Luz Maria; Torres, Jony R.; Flores-Miranda, Ma del Carmen; Arreola-Lizarraga, Jose Alfredo</t>
  </si>
  <si>
    <t>Eutrophication assessment and environmental management perspectives of Tobari: an arid subtropical coastal lagoon of the Gulf of California</t>
  </si>
  <si>
    <t>Coastal lagoon; Eutrophication; Gulf of California; Yaqui Valley; Environmental management</t>
  </si>
  <si>
    <t>PROROCENTRUM-MINIMUM PAVILLARD; EUCAMPIA-ZODIACUS EHRENBERG; HARMFUL ALGAL BLOOMS; MACROALGAL BLOOMS; NUTRIENT INPUTS; WATER-QUALITY; PHYTOPLANKTON; NITROGEN; DINOFLAGELLATE; AQUACULTURE</t>
  </si>
  <si>
    <t>Coastal lagoons are vulnerable to eutrophication processes. In this study, we evaluate the eutrophication process in the restricted, arid subtropical Tobari coastal lagoon, located in the eastern coast of the Gulf of California, where the main source of nutrient inputs and other pollutants is agricultural wastewater from the Yaqui Valley. The Assessment of Estuarine Trophic Status (ASSETS) model and the Trophic State Index (TRIX) were used to evaluate eutrophication. Overall, ASSETS showed that the Tobari lagoon has a moderate eutrophication process, with seasonal symptoms of hypoxia, increased phytoplankton biomass, dominance of macroalgae (indicative of nutrient enrichment), and blooms development of potentially harmful algae species. The TRIX showed that the lagoon is mesotrophic most of the year. Challenges of environmental management detected correspond to reducing the input of nutrients and others contaminants from anthropic sources: agriculture, shrimp farming, livestock, and urban zones.</t>
  </si>
  <si>
    <t>[Ruiz-Ruiz, Thelma Michelle; Arreola-Lizarraga, Jose Alfredo] Ctr Invest Biol Noroeste CIB, Km 2-35 Camino Tular, Guaymas 85454, Sonora, Mexico; [Morquecho, Lourdes] Ctr Invest Biol Noroeste CIB, Av IPN 195, La Paz 23096, BCS, Mexico; [Cruz-Garcia, Luz Maria] Univ Autonoma Baja California Sur UABCS, Carretera Km 5-5, La Paz 23080, BCS, Mexico; [Torres, Jony R.] Inst Tecnol Valle Yaqui ITVY, Av Tecnol,Block 611, Bacum 85276, Sonora, Mexico; [Flores-Miranda, Ma del Carmen] Univ Guadalajara UdG, Gomez Farias 82, San Patricio Melaque 48980, Jalisco, Mexico</t>
  </si>
  <si>
    <t>Arreola-Lizarraga, JA (corresponding author), Ctr Invest Biol Noroeste CIB, Km 2-35 Camino Tular, Guaymas 85454, Sonora, Mexico.</t>
  </si>
  <si>
    <t>aarreola04@cibnor.mx</t>
  </si>
  <si>
    <t>Centro de Investigaciones Biologicas del Noroeste, S.C. [984-1, 986-1]</t>
  </si>
  <si>
    <t>Centro de Investigaciones Biologicas del Noroeste, S.C.</t>
  </si>
  <si>
    <t>This research was funded by the Centro de Investigaciones Biologicas del Noroeste, S.C., supported by projects 984-1 and 986-1.</t>
  </si>
  <si>
    <t>10.1007/s10661-023-11638-3</t>
  </si>
  <si>
    <t>P4CL1</t>
  </si>
  <si>
    <t>WOS:001050140400018</t>
  </si>
  <si>
    <t>Sakalar, E</t>
  </si>
  <si>
    <t>Sakalar, Ece</t>
  </si>
  <si>
    <t>Ece Sakalar, MSc is Researcher of the month September 2023</t>
  </si>
  <si>
    <t>WIENER KLINISCHE WOCHENSCHRIFT</t>
  </si>
  <si>
    <t>GAMMA OSCILLATIONS; HIPPOCAMPAL; CELLS</t>
  </si>
  <si>
    <t>[Sakalar, Ece] Med Univ Wien, Zentrum Hirnforsch, Abt Kognit Neurobiol, Spitalgasse 4, A-1090 Vienna, Austria</t>
  </si>
  <si>
    <t>Medical University of Vienna</t>
  </si>
  <si>
    <t>Sakalar, E (corresponding author), Med Univ Wien, Zentrum Hirnforsch, Abt Kognit Neurobiol, Spitalgasse 4, A-1090 Vienna, Austria.</t>
  </si>
  <si>
    <t>ece.sakalar@meduniwien.ac.at</t>
  </si>
  <si>
    <t>0043-5325</t>
  </si>
  <si>
    <t>1613-7671</t>
  </si>
  <si>
    <t>WIEN KLIN WOCHENSCHR</t>
  </si>
  <si>
    <t>Wien. Klin. Wochen.</t>
  </si>
  <si>
    <t>17-18</t>
  </si>
  <si>
    <t>10.1007/s00508-023-02280-7</t>
  </si>
  <si>
    <t>S2LO1</t>
  </si>
  <si>
    <t>WOS:001069537800009</t>
  </si>
  <si>
    <t>Salmina, AB</t>
  </si>
  <si>
    <t>Salmina, A. B.</t>
  </si>
  <si>
    <t>Metabolic Plasticity in Developing and Aging Brain</t>
  </si>
  <si>
    <t>NEUROCHEMICAL JOURNAL</t>
  </si>
  <si>
    <t>brain; metabolism; energy production; brain development; brain aging; neurodegeneration; pseudohypoxia</t>
  </si>
  <si>
    <t>NEURAL STEM/PROGENITOR CELLS; CENTRAL INSULIN-RESISTANCE; ALZHEIMERS-DISEASE; NEUROVASCULAR UNIT; MOUSE MODEL; OXYS RATS; NAD(+); EXPRESSION; BARRIER; NEUROGENESIS</t>
  </si>
  <si>
    <t>Brain plasticity is a fundamental phenomenon based on various types of intercellular interactions (synaptic activity, neuritogenesis, synaptogenesis and elimination of synapses, and neuron-glia interactions), development, differentiation, migration of newly-born cells and cell death (neurogenesis/gliogenesis and neuronal or glial cell death, angiogenesis and regression of cerebral microvessels), and adaptation of tissue metabolism to changing environmental conditions. In this review, we discuss our own data and available literature in the context of regulation of certain types of energy metabolism (glycolysis and mitochondrial respiration) in neuronal, glial, and endothelial cells, the signaling functions of metabolites in nervous tissue, and the mechanisms of establishment of cerebral insulin resistance, pseudohypoxia, and associated neuroinflammation in brain pathology, as well as some prospects for detecting novel molecular markers of pathobiochemical processes associated with impaired metabolic plasticity in the developing and aging brain.</t>
  </si>
  <si>
    <t>[Salmina, A. B.] Res Ctr Neurol, Moscow, Russia; [Salmina, A. B.] Voino Yasenetsky Krasnoyarsk State Med Univ, Krasnoyarsk, Russia; [Salmina, A. B.] Volokolamskoe Shosse 80, Moscow 125367, Russia</t>
  </si>
  <si>
    <t>Research Center of Neurology; Krasnoyarsk State Medical University</t>
  </si>
  <si>
    <t>Salmina, AB (corresponding author), Volokolamskoe Shosse 80, Moscow 125367, Russia.</t>
  </si>
  <si>
    <t>allasalmina@mail.ru</t>
  </si>
  <si>
    <t>1819-7124</t>
  </si>
  <si>
    <t>1819-7132</t>
  </si>
  <si>
    <t>NEUROCHEM J+</t>
  </si>
  <si>
    <t>Neurochem. J.</t>
  </si>
  <si>
    <t>10.1134/S1819712423030157</t>
  </si>
  <si>
    <t>Q6KR7</t>
  </si>
  <si>
    <t>WOS:001058598100001</t>
  </si>
  <si>
    <t>Seadawy, AR; Rizvi, STR; Ahmad, A; Ali, K</t>
  </si>
  <si>
    <t>Seadawy, Aly R.; Rizvi, Syed T. R.; Ahmad, Ahtasham; Ali, Kashif</t>
  </si>
  <si>
    <t>Multiwaves, rogue waves, breathers and lump solutions for an NLSE under the influence of self-steeping and Raman effects, along with cubic quintic septimal parameters</t>
  </si>
  <si>
    <t>Periodic cross-kink; Nonlinear effects; Ansatz transformations; Analytical solutions</t>
  </si>
  <si>
    <t>POWER-LAW NONLINEARITY; OPTICAL SOLITONS; EQUATION; MODEL; FIBERS; SYSTEM</t>
  </si>
  <si>
    <t>In this paper, we will study different kinds of analytical solutions for higher order nonlinear Schrodinger equation (HNLSE) under the influence of self-steeping and Raman effects, along with quintic nonlinear and septimal forms. We will obtain lump, periodic wave, periodic cross-kink, rogue wave, breathers, lump with one and two kink, periodic-cross lump and multi-wave. We will also compute the interaction, between lump periodic and kink waves, periodic cross-kink waves and other forms of solutions. To see the behaviour of these waves, for the better understanding of our solutions we will also present graphs in 3D, 2D and contour forms with constraints conditions.</t>
  </si>
  <si>
    <t>[Seadawy, Aly R.] Taibah Univ, Fac Sci, Math Dept, Al Madinah Al Munawarah, Saudi Arabia; [Rizvi, Syed T. R.; Ahmad, Ahtasham; Ali, Kashif] COMSATS Univ Islamabad, Dept Math, Lahore Campus, Islamabad, Pakistan</t>
  </si>
  <si>
    <t>Taibah University; COMSATS University Islamabad (CUI)</t>
  </si>
  <si>
    <t>Seadawy, AR (corresponding author), Taibah Univ, Fac Sci, Math Dept, Al Madinah Al Munawarah, Saudi Arabia.</t>
  </si>
  <si>
    <t>aabdelalim@taibahu.edu.sa; strrizvi@gmail.com; ahtshamali319@gmail.com; akashifalig@gmail.com</t>
  </si>
  <si>
    <t>Rizvi, Syed Tahir Raza/ABA-7102-2020</t>
  </si>
  <si>
    <t>10.1007/s11082-023-05022-1</t>
  </si>
  <si>
    <t>L3PH8</t>
  </si>
  <si>
    <t>WOS:001022408100007</t>
  </si>
  <si>
    <t>Sellaiyan, S; Ajaykumari, P; Vimaladevi, L; Avinash, M; Subbiah, A; Sivaji, K</t>
  </si>
  <si>
    <t>Sellaiyan, S.; Ajaykumari, P.; Vimaladevi, L.; Avinash, M.; Subbiah, A.; Sivaji, K.</t>
  </si>
  <si>
    <t>Li and Na metal ion-induced defects in CuO nanocrystallites studied by positron annihilation spectroscopy</t>
  </si>
  <si>
    <t>Alkali metal-doped CuO; Defects; Positron lifetime; Doppler broadening</t>
  </si>
  <si>
    <t>OPTICAL-PROPERTIES; RARE-EARTH; THIN-FILMS; CO; FERROMAGNETISM; CONDUCTION; CU2O</t>
  </si>
  <si>
    <t>Alkali metal ion (Li+ and Na+)-doped CuO nanocrystallites were investigated using X-ray diffraction (XRD), transmission electron microscopy (TEM), positron annihilation lifetime (PAL), and Doppler broadening annihilation radiation (DBAR) spectroscopy methods. A comparative analysis of XRD, TEM, average lifetime, and electron momentum variation is presented based on defect formation and curing. DBAR studies divulge the positron trapping sites as Cu vacancies and vacancy complex clusters in undoped CuO. The study also reveals lattice defect and migration of point defect in the doped CuO lattice. The positron lifetimes of undoped CuO show extended point defects, V-Cu-V-O vacancy complexes, and voids. These defects are reduced to Cu interstitial (Cu-i) type point defects upon annealing. The lifetime confirms the V-Cu recovery and cluster vacancies for annealed Li- and Na-doped CuO. Higher Li concentrations showed a significant point defect of isolated oxygen vacancies as well as Li interstitials. Antisite and oxygen interstitial-type defects are prominent for all the Na concentrations.</t>
  </si>
  <si>
    <t>[Sellaiyan, S.] Univ Tsukuba, Div Appl Phys, Ibaraki 3058573, Japan; [Ajaykumari, P.; Avinash, M.; Sivaji, K.] Univ Madras, Dept Nucl Phys, Guindy Campus, Chennai 600025, India; [Vimaladevi, L.] Anna Univ, Dept Phys, MIT Campus, Chennai 600044, India; [Subbiah, A.] CSIR Cent Electrochem Res Inst, Karaikkudi 630003, Tamil Nadu, India</t>
  </si>
  <si>
    <t>University of Tsukuba; University of Madras; Anna University; Anna University Chennai; Council of Scientific &amp; Industrial Research (CSIR) - India; CSIR - Central Electrochemical Research Institute (CECRI)</t>
  </si>
  <si>
    <t>Sellaiyan, S (corresponding author), Univ Tsukuba, Div Appl Phys, Ibaraki 3058573, Japan.</t>
  </si>
  <si>
    <t>selva2d@gmail.com</t>
  </si>
  <si>
    <t>Manoharan, Avinash/0000-0002-5866-9933</t>
  </si>
  <si>
    <t>10.1007/s00339-023-06891-9</t>
  </si>
  <si>
    <t>P4OR9</t>
  </si>
  <si>
    <t>WOS:001050461800001</t>
  </si>
  <si>
    <t>Shafaee, M; Niazi, Z; Asarnia, M; Goharshadi, EK; Dehghani, R</t>
  </si>
  <si>
    <t>Shafaee, Masoomeh; Niazi, Zohreh; Asarnia, Moeid; Goharshadi, Elaheh K.; Dehghani, Reyhaneh</t>
  </si>
  <si>
    <t>Modified pine cone with MnO2 nanoparticles as a photoabsorber for highly efficient seawater desalination and wastewater treatment</t>
  </si>
  <si>
    <t>Solar desalination; Semiconductor-based photoabsorber; Sewage purification; MnO2 NPs</t>
  </si>
  <si>
    <t>SOLAR STEAM-GENERATION; NANOCOMPOSITE; PERFORMANCE; DEVICE; CARBON</t>
  </si>
  <si>
    <t>Production of drinking water using interfacial solar steam generation (ISSG) is an efficient and sustainable technology that addresses environmental impacts and high costs associated with industrial desalination methods. In this work, a photoabsorber was fabricated for ISSG of seawater and wastewater treatment using manganese dioxide nanoparticles (MnO2 NPs) deposited on a pine cone (PC), which was named as K-PC. K-PC transports seawater or wastewater through numerous aligned microchannels to its hot surface, where the MnO2 NPs absorb a broad range of the solar spectrum in the ultraviolet to near-infrared wavelength region and convert it to heat. Under 1 sun (1 kW m(-2)), K-PC achieved an evaporation flux of 1.61 kg m(-2) h(-1) and 100% conversion efficiency. Additionally, K-PC reduced the concentration of Na+, K+, Mg2+, and Ca2+ ions in seawater and paper industry wastewater. K-PC demonstrated superior stability for ISSG during 10 evaporation-condensation cycles.</t>
  </si>
  <si>
    <t>[Shafaee, Masoomeh] Univ Tehran, Univ Coll Sci, Dept Phys Chem, Sch Chem, Tehran 14155, Iran; [Niazi, Zohreh; Asarnia, Moeid; Goharshadi, Elaheh K.; Dehghani, Reyhaneh] Ferdowsi Univ Mashhad, Fac Sci, Dept Chem, Mashhad 9177948974, Iran; [Goharshadi, Elaheh K.] Ferdowsi Univ Mashhad, Nano Res Ctr, Mashhad, Iran; [Goharshadi, Elaheh K.] Ferdowsi Univ Mashhad, Ctr Nanotechnol Renewable Energies, Mashhad 9177948974, Iran</t>
  </si>
  <si>
    <t>University of Tehran; Ferdowsi University Mashhad; Ferdowsi University Mashhad; Ferdowsi University Mashhad</t>
  </si>
  <si>
    <t>Goharshadi, EK (corresponding author), Ferdowsi Univ Mashhad, Fac Sci, Dept Chem, Mashhad 9177948974, Iran.;Goharshadi, EK (corresponding author), Ferdowsi Univ Mashhad, Nano Res Ctr, Mashhad, Iran.;Goharshadi, EK (corresponding author), Ferdowsi Univ Mashhad, Ctr Nanotechnol Renewable Energies, Mashhad 9177948974, Iran.</t>
  </si>
  <si>
    <t>gohari@um.ac.ir</t>
  </si>
  <si>
    <t>Goharshadi, Elaheh/0000-0002-6789-389X</t>
  </si>
  <si>
    <t>The support of Ferdowsi University of Mashhad (Grant No. 1/57962), Iran, for this work is appreciated.; Ferdowsi University of Mashhad; [1/57962]</t>
  </si>
  <si>
    <t>The support of Ferdowsi University of Mashhad (Grant No. 1/57962), Iran, for this work is appreciated.; Ferdowsi University of Mashhad;</t>
  </si>
  <si>
    <t>The support of Ferdowsi University of Mashhad (Grant No. 1/57962), Iran, for this work is appreciated.</t>
  </si>
  <si>
    <t>10.1007/s00339-023-06938-x</t>
  </si>
  <si>
    <t>Q6KU6</t>
  </si>
  <si>
    <t>WOS:001058601000004</t>
  </si>
  <si>
    <t>Silva, E; Vilchis-Nestor, AR; Castro-Beltran, A; Luque, PA</t>
  </si>
  <si>
    <t>Silva, E.; Vilchis-Nestor, A. R.; Castro-Beltran, A.; Luque, P. A.</t>
  </si>
  <si>
    <t>Analysis of the optical properties of ZnO semiconductor nanoparticles obtained using Artemisia ludoviciana and their influence on the photocatalytic removal of methyl orange</t>
  </si>
  <si>
    <t>ZnO; Artemisia ludoviciana; Semiconductor; Photocatalysis</t>
  </si>
  <si>
    <t>GREEN SYNTHESIS; ANTIBACTERIAL; DEGRADATION; EXTRACT; XPS</t>
  </si>
  <si>
    <t>This paper reports on a simple and efficient process to obtain semiconductor zinc oxide (ZnO) nanoparticles (NPs) using Artemisia ludoviciana extract as a chelating agent. The properties of the ZnO NPs were analyzed using various characterization techniques, revealing hexagonal and quasi-spherical NPs with sizes going from 30.46 to 16.74 nm and band gap values of 2.5 to 2.2 eV. Additionally, the structural analysis shows a wurtzite phase with no secondary phases, while elemental analysis revealed both the presence of residual carbon from Artemisia ludoviciana and the presence of oxygen vacancies. The photocatalytic assay of the obtained ZnO showed excellent methyl orange (MO) degradation. The best performance was observed with E4, which removed 95.8% of MO after being exposed to UV light for 120 min. The results demonstrate that the ZnO NPs obtained using Artemisia ludoviciana have good photocatalytic capabilities and show potential to be used in other similar applications.</t>
  </si>
  <si>
    <t>[Silva, E.; Castro-Beltran, A.] Univ Autonoma Sinaloa, Fac Ingn Mochis, Los Mochis 81223, Mexico; [Vilchis-Nestor, A. R.] UAEM UNAM, Ctr Conjunto Invest Quim Sustentable, Toluca 50200, Mexico; [Luque, P. A.] Univ Autonoma Baja California, Fac Ingn Arquitectura &amp; Diseno, Ensenada 22860, Mexico</t>
  </si>
  <si>
    <t>Universidad Autonoma de Sinaloa; Universidad Nacional Autonoma de Mexico; Universidad Autonoma de Baja California</t>
  </si>
  <si>
    <t>Luque, PA (corresponding author), Univ Autonoma Baja California, Fac Ingn Arquitectura &amp; Diseno, Ensenada 22860, Mexico.</t>
  </si>
  <si>
    <t>pluque@uabc.edu.mx</t>
  </si>
  <si>
    <t>CONACYT [280518, A1-S-34533, 402/3391]</t>
  </si>
  <si>
    <t>CONACYT(Consejo Nacional de Ciencia y Tecnologia (CONACyT))</t>
  </si>
  <si>
    <t>AcknowledgementsThis research was financially supported by CONACYT Grant No. 280518 and Grant A1-S-34533. The authors acknowledgment to Dr. Uvaldo Hernandez, M.Sc. Melina Tapia (PXRD) and B.Sc. Maria Citlalit Martinez Soto from CCIQS for technical assistance. The authors thank the UABC project number 402/3391.</t>
  </si>
  <si>
    <t>10.1007/s11082-023-05134-8</t>
  </si>
  <si>
    <t>M6NA6</t>
  </si>
  <si>
    <t>WOS:001031351600004</t>
  </si>
  <si>
    <t>Sinet-Mathiot, V; Rendu, W; Steele, TE; Spasov, R; Madelaine, S; Renou, S; Soulier, MC; Martisius, NL; Aldeias, V; Endarova, E; Goldberg, P; Mcpherron, SJP; Rezek, Z; Sandgathe, D; Sirakov, N; Sirakova, S; Soressi, M; Tsanova, T; Turq, A; Hublin, JJ; Welker, F; Smith, GM</t>
  </si>
  <si>
    <t>Sinet-Mathiot, Virginie; Rendu, William; Steele, Teresa E.; Spasov, Rosen; Madelaine, Stephane; Renou, Sylvain; Soulier, Marie-Cecile; Martisius, Naomi L.; Aldeias, Vera; Endarova, Elena; Goldberg, Paul; Mcpherron, Shannon J. P.; Rezek, Zeljko; Sandgathe, Dennis; Sirakov, Nikolay; Sirakova, Svoboda; Soressi, Marie; Tsanova, Tsenka; Turq, Alain; Hublin, Jean-Jacques; Welker, Frido; Smith, Geoff M.</t>
  </si>
  <si>
    <t>Identifying the unidentified fauna enhances insights into hominin subsistence strategies during the Middle to Upper Palaeolithic transition</t>
  </si>
  <si>
    <t>ARCHAEOLOGICAL AND ANTHROPOLOGICAL SCIENCES</t>
  </si>
  <si>
    <t>ZooMS; Zooarchaeology; Bone surface modification; Subsistence behaviour; Middle to Upper Palaeolithic transition; Late Pleistocene</t>
  </si>
  <si>
    <t>JONZAC CHARENTE-MARITIME; ARCHAEOZOOLOGICAL ANALYSIS; SPECIES IDENTIFICATION; GLUTAMINE DEAMIDATION; NEANDERTHAL MOBILITY; PART REPRESENTATION; LES COTTES; MIS 5-3; BONE; CAVE</t>
  </si>
  <si>
    <t>Understanding Palaeolithic hominin subsistence strategies requires the comprehensive taxonomic identification of faunal remains. The high fragmentation of Late Pleistocene faunal assemblages often prevents proper taxonomic identification based on bone morphology. It has been assumed that the morphologically unidentifiable component of the faunal assemblage would reflect the taxonomic abundances of the morphologically identified portion. In this study, we analyse three faunal datasets covering the Middle to Upper Palaeolithic transition (MUPT) at Bacho Kiro Cave (Bulgaria) and Les Cottes and La Ferrassie (France) with the application of collagen type I peptide mass fingerprinting (ZooMS). Our results emphasise that the fragmented component of Palaeolithic bone assemblages can differ significantly from the morphologically identifiable component. We obtain contrasting identification rates between taxa resulting in an overrepresentation of morphologically identified reindeer (Rangifer tarandus) and an underrepresentation of aurochs/bison (Bos/Bison) and horse/European ass (Equus) at Les Cottes and La Ferrassie. Together with an increase in the relative diversity of the faunal composition, these results have implications for the interpretation of subsistence strategies during a period of possible interaction between Neanderthals and Homo sapiens in Europe. Furthermore, shifts in faunal community composition and in carnivore activity suggest a change in the interaction between humans and carnivores across the MUPT and indicate a possible difference in site use between Neanderthals and Homo sapiens. The combined use of traditional and biomolecular methods allows (zoo)archaeologists to tackle some of the methodological limits commonly faced during the morphological assessment of Palaeolithic bone assemblages.</t>
  </si>
  <si>
    <t>[Sinet-Mathiot, Virginie; Hublin, Jean-Jacques] Max Planck Inst Evolutionary Anthropol, Leipzig, Germany; [Rendu, William] RAS, Inst Archaeol SB, CNRS IAET SB RAS Int Res Lab, IRL 2013,ArchaeoZool Siberia &amp; Cent Asia ZooSCAn, Novosibirsk, Russia; [Steele, Teresa E.] Univ Calif Davis, Dept Anthropol, Davis, CA 95616 USA; [Spasov, Rosen; Endarova, Elena] New Bulgarian Univ, Archaeol Dept, Sofia, Bulgaria; [Madelaine, Stephane; Turq, Alain] Musee Natl Prehist, Eyzies, France; [Madelaine, Stephane] Univ Bordeaux, CNRS, UMR PACEA 5199, Pessac, France; [Renou, Sylvain] HADES Agence Atlantique, Bordeaux, France; [Soulier, Marie-Cecile] Univ Toulouse Jean Jaures, UMR 5608 TRACES, CNRS, Maison Rech, Toulouse, France; [Martisius, Naomi L.] Univ Tulsa, Dept Anthropol, Tulsa, OK 74104 USA; [Aldeias, Vera; Goldberg, Paul] Univ Algarve, Interdisciplinary Ctr Archaeol &amp; Evolut Human Beha, Campus Gambelas, P-8005139 Faro, Portugal; [Goldberg, Paul] Univ Wollongong, Sch Earth Atmospher &amp; Life Sci, Wollongong, Australia; [Goldberg, Paul] Univ Tubingen, Inst Naturwissensch Archaol Geoarchaol, Tubingen, Germany; [Mcpherron, Shannon J. P.; Tsanova, Tsenka] Max Planck Inst Evolutionary Anthropol, Dept Human Evolut, Leipzig, Germany; [Rezek, Zeljko; Hublin, Jean-Jacques] Coll France, Chaire Paleoanthropol, CIRB UMR 7241 U1050, Paris, France; [Sandgathe, Dennis] Simon Fraser Univ, Dept Archaeol, Burnaby, BC, Canada; [Sirakov, Nikolay; Sirakova, Svoboda] Bulgarian Acad Sci, Natl Inst Archaeol Museum, Sofia, Bulgaria; [Soressi, Marie] Leiden Univ, Fac Archaeol, Leiden, Netherlands; [Tsanova, Tsenka] Univ Bologna, Dept Chem G Ciamician, Alma Mater Studiorum, Bologna, Italy; [Welker, Frido] Univ Copenhagen, Globe Inst, Copenhagen, Denmark; [Smith, Geoff M.] Univ Kent, Sch Anthropol &amp; Conservat, Canterbury, England</t>
  </si>
  <si>
    <t>Max Planck Society; Russian Academy of Sciences; University of California System; University of California Davis; New Bulgarian University; Centre National de la Recherche Scientifique (CNRS); CNRS - Institute of Ecology &amp; Environment (INEE); UDICE-French Research Universities; Universite de Bordeaux; Centre National de la Recherche Scientifique (CNRS); CNRS - Institute of Ecology &amp; Environment (INEE); Universite de Toulouse; Universite de Toulouse - Jean Jaures; University of Tulsa; Universidade do Algarve; University of Wollongong; Eberhard Karls University of Tubingen; Max Planck Society; UDICE-French Research Universities; Universite PSL; College de France; Simon Fraser University; Bulgarian Academy of Sciences; Leiden University - Excl LUMC; Leiden University; University of Bologna; University of Copenhagen; University of Kent</t>
  </si>
  <si>
    <t>Sinet-Mathiot, V (corresponding author), Max Planck Inst Evolutionary Anthropol, Leipzig, Germany.;Welker, F (corresponding author), Univ Copenhagen, Globe Inst, Copenhagen, Denmark.;Smith, GM (corresponding author), Univ Kent, Sch Anthropol &amp; Conservat, Canterbury, England.</t>
  </si>
  <si>
    <t>virginie.sinetmathiot@palaeome.org; frido.welker@sund.ku.dk; G.Smith-548@kent.ac.uk</t>
  </si>
  <si>
    <t>Virginie, Sinet-Mathiot/AAW-6253-2020; SORESSI, Marie/N-7728-2015</t>
  </si>
  <si>
    <t>Virginie, Sinet-Mathiot/0000-0003-3228-5824; SORESSI, Marie/0000-0003-1733-7745; Smith, Geoffrey/0000-0001-7155-5140; aldeias, vera/0000-0002-7680-182X</t>
  </si>
  <si>
    <t>Projekt DEAL; Max Planck Society; Dutch Research Council [VI.C.191.070]; European Research Council (ERC) [948365]; European Union [101027850]; National Science Foundation (NSF-SBE) [2004818]; European Union (ERC) [101041245]; Marie Curie Actions (MSCA) [101027850] Funding Source: Marie Curie Actions (MSCA); European Research Council (ERC) [101041245, 948365] Funding Source: European Research Council (ERC)</t>
  </si>
  <si>
    <t>Projekt DEAL; Max Planck Society(Max Planck SocietyFoundation CELLEX); Dutch Research Council; European Research Council (ERC)(European Research Council (ERC)Spanish Government); European Union(European Union (EU)); National Science Foundation (NSF-SBE)(National Science Foundation (NSF)); European Union (ERC)(European Union (EU)European Research Council (ERC)); Marie Curie Actions (MSCA)(Marie Curie Actions); European Research Council (ERC)(European Research Council (ERC)Spanish Government)</t>
  </si>
  <si>
    <t>Open Access funding enabled and organized by Projekt DEAL. This study was funded by the Max Planck Society. T.E.S. received travel support through University of California, Davis' Small Grants in Aid of Research. M.S. is funded by the Dutch Research Council (NWO; VI.C.191.070). F.W. received funding from the European Research Council (ERC) under the European Union's Horizon 2020 research and innovation programme (grant agreement no. 948365). G.M.S. is funded by the European Union's Horizon 2020 research and innovation programme under the Marie Sklodowska-Curie scheme (grant agreement no. 101027850). N.L.M. was funded by the National Science Foundation (NSF-SBE; Award ID: 2004818). V. Aldeias is funded by the European Union (ERC, MATRIX project n 101041245).</t>
  </si>
  <si>
    <t>1866-9557</t>
  </si>
  <si>
    <t>1866-9565</t>
  </si>
  <si>
    <t>ARCHAEOL ANTHROP SCI</t>
  </si>
  <si>
    <t>Archaeol. Anthropol. Sci.</t>
  </si>
  <si>
    <t>10.1007/s12520-023-01830-4</t>
  </si>
  <si>
    <t>Anthropology; Archaeology; Geosciences, Multidisciplinary</t>
  </si>
  <si>
    <t>Science Citation Index Expanded (SCI-EXPANDED); Social Science Citation Index (SSCI); Arts &amp; Humanities Citation Index (A&amp;HCI)</t>
  </si>
  <si>
    <t>Anthropology; Archaeology; Geology</t>
  </si>
  <si>
    <t>Q5KE4</t>
  </si>
  <si>
    <t>WOS:001057900900001</t>
  </si>
  <si>
    <t>Slavik, A; Vesely, J</t>
  </si>
  <si>
    <t>Slavik, Antonin; Vesely, Jiri</t>
  </si>
  <si>
    <t>Mathematical Tourists in Karlovy Vary</t>
  </si>
  <si>
    <t>MATHEMATICAL INTELLIGENCER</t>
  </si>
  <si>
    <t>[Slavik, Antonin; Vesely, Jiri] Charles Univ Prague, Fac Math &amp; Phys, Sokolovska 83, Prague 8, Czech Republic</t>
  </si>
  <si>
    <t>Charles University Prague</t>
  </si>
  <si>
    <t>Slavik, A (corresponding author), Charles Univ Prague, Fac Math &amp; Phys, Sokolovska 83, Prague 8, Czech Republic.</t>
  </si>
  <si>
    <t>slavik@karlin.mff.cuni.cz; jvesely@karlin.mff.cuni.cz</t>
  </si>
  <si>
    <t>0343-6993</t>
  </si>
  <si>
    <t>1866-7414</t>
  </si>
  <si>
    <t>MATH INTELL</t>
  </si>
  <si>
    <t>Math. Intell.</t>
  </si>
  <si>
    <t>10.1007/s00283-023-10297</t>
  </si>
  <si>
    <t>Q8SI0</t>
  </si>
  <si>
    <t>WOS:001060159800001</t>
  </si>
  <si>
    <t>Souza, AS; Bettega, R</t>
  </si>
  <si>
    <t>Souza, Amarilis S.; Bettega, Rodrigo</t>
  </si>
  <si>
    <t>CFD evaluation of the influence of the draft tube on solids circulation in conical spouted beds</t>
  </si>
  <si>
    <t>Geometrical aspects; Particle circulation; Hydrodynamics; Cycle time</t>
  </si>
  <si>
    <t>FLUID-DYNAMICS; NUMERICAL-SIMULATION; OPERATING-CONDITIONS; HEAT-TRANSFER; CYCLE TIME; PARTICLES; HYDRODYNAMICS; FLOW; EQUATIONS; GEOMETRY</t>
  </si>
  <si>
    <t>The particle circulation is important to guarantee process homogeneity and efficiency in conical spouted beds. This work investigated the influence of the draft tube on the solids circulation of conical spouted beds using a Computational Fluid Dynamics (CFD) Euler-Euler multiphase model. The solids mass flow in the spout and the particle cycle time were estimated for different conditions of solids bed height and inlet air velocities. Validation of the mathematical model was performed comparing the minimum spouting velocity according to experimental data from the literature, presenting deviations of 1.6% and 7.5%. Simulation results indicated a reduction in the minimum spouting velocity between 46.7 and 53.0% after the insertion of the draft tube in the equipment. However, the draft tube reduced the solids mass flow rate in the spout by approximately 70.5-78.0% when compared to configurations without the tube, hence causing a pronounced increase in solids cycle time. CFD performed a detailed and physically coherent analysis of the behavior of particle circulation parameters that are difficult to obtain experimentally.</t>
  </si>
  <si>
    <t>[Souza, Amarilis S.; Bettega, Rodrigo] Univ Fed Sao Carlos, Drying Ctr Pastes Suspens &amp; Seeds, Dept Chem Engn, Sao Carlos, SP, Brazil</t>
  </si>
  <si>
    <t>Universidade Federal de Sao Carlos</t>
  </si>
  <si>
    <t>Souza, AS (corresponding author), Univ Fed Sao Carlos, Drying Ctr Pastes Suspens &amp; Seeds, Dept Chem Engn, Sao Carlos, SP, Brazil.</t>
  </si>
  <si>
    <t>amarilis.sev@gmail.com</t>
  </si>
  <si>
    <t>Coordenacao de Aperfeicoamento de Pessoal de Nivel Superior - Brasil (CAPES) [001]; Conselho Nacional de Desenvolvimento Cientifico e Tecnologico - Brasil (CNPq) [142102/2019-9]</t>
  </si>
  <si>
    <t>Coordenacao de Aperfeicoamento de Pessoal de Nivel Superior - Brasil (CAPES)(Coordenacao de Aperfeicoamento de Pessoal de Nivel Superior (CAPES)); Conselho Nacional de Desenvolvimento Cientifico e Tecnologico - Brasil (CNPq)(Conselho Nacional de Desenvolvimento Cientifico e Tecnologico (CNPQ))</t>
  </si>
  <si>
    <t>This study was financed in part by the Coordenacao de Aperfeicoamento de Pessoal de Nivel Superior - Brasil (CAPES) - Finance Code 001. This work was also supported by Conselho Nacional de Desenvolvimento Cientifico e Tecnologico - Brasil (CNPq) under Grant No. (142102/2019-9).</t>
  </si>
  <si>
    <t>10.1007/s40430-023-04364-x</t>
  </si>
  <si>
    <t>P4PL7</t>
  </si>
  <si>
    <t>WOS:001050482000008</t>
  </si>
  <si>
    <t>Stolbov, M; Parfenov, D</t>
  </si>
  <si>
    <t>Stolbov, Mikhail; Parfenov, Daniil</t>
  </si>
  <si>
    <t>Credit risk linkages in the international banking network, 2000-2019</t>
  </si>
  <si>
    <t>Credit risk; Global Financial Crisis (GFC); International banking network; Probability of default</t>
  </si>
  <si>
    <t>SYSTEMIC RISK; STABILITY; MODELS; EU</t>
  </si>
  <si>
    <t>We estimate the evolution of credit risk linkages in an international banking network of 46 advanced and emerging market economies between January 2000 and December 2019. In our study, credit risk is proxied with the aggregate probability of default (PD) in the banking sector, and cross-country linkages are described by two types of networks: one representing predictive Granger relationships between the PD measures, and the other representing contemporaneous partial correlations. During the Global Financial Crisis and its aftermath, the density of the networks appears the highest, while experiencing a substantial decline in the post-crisis period triggered by massive deleveraging and the implementation of prudential measures. Throughout the whole observation period, the causal network exhibits the small-world pattern which tends to fuel risk propagation within the network, and the increasing degree of dissortativity which exerts a countervailing effect. On the country level, we document the centrality of the major Asian economies' banking sectors and France, whereas the role of the USA, the UK and Germany appears moderate, which contrasts with the extant literature. Overall, from the policymaking perspective, our findings indicate that credit risk linkages in the international banking networks can notably differ from the relationships derived from cross-country bank claims.</t>
  </si>
  <si>
    <t>[Stolbov, Mikhail] MGIMO Univ, Moscow State Inst Int Relat, Dept Appl Econ, 76 Vernadskogo Prospect, Moscow 119454, Russia; [Parfenov, Daniil] Bocconi Univ, Milan, Italy</t>
  </si>
  <si>
    <t>MGIMO University; Bocconi University</t>
  </si>
  <si>
    <t>Stolbov, M (corresponding author), MGIMO Univ, Moscow State Inst Int Relat, Dept Appl Econ, 76 Vernadskogo Prospect, Moscow 119454, Russia.</t>
  </si>
  <si>
    <t>stolbov_mi@mail.ru</t>
  </si>
  <si>
    <t>Stolbov, Mikhail/0000-0002-2066-7633</t>
  </si>
  <si>
    <t>10.1057/s41283-023-00126-0</t>
  </si>
  <si>
    <t>N4MR4</t>
  </si>
  <si>
    <t>WOS:001036777500001</t>
  </si>
  <si>
    <t>Sun, ZJ; Li, H; Zhu, WH</t>
  </si>
  <si>
    <t>Sun, Zi-Jian; Li, Hui; Zhu, Weihua</t>
  </si>
  <si>
    <t>Reactive molecular dynamics simulations on the decomposition process of 1,3,5-trinitro-1,3,5-triazine crystal under high temperatures and pressure</t>
  </si>
  <si>
    <t>Reactive molecular dynamics; Decomposition; RDX; High temperature; Detonation pressure; Reaction kinetics</t>
  </si>
  <si>
    <t>AB-INITIO CALCULATIONS; GAS-PHASE RDX; THERMAL-DECOMPOSITION; UNIMOLECULAR DISSOCIATION; MECHANISM; PATHWAYS; BEHAVIOR; REAXFF</t>
  </si>
  <si>
    <t>Context Reactive molecular dynamics simulations were performed to study the decomposition processes of 1,3,5-trinitro-1,3,5-triazine (RDX) crystal under high temperatures (2100, 2400, 2700, and 3000 K) and detonation pressure (34.5 GPa) and 0 GPa. It is found that the initial decomposition paths of RDX under different temperatures coupled with detonation pressure are similar, which is due to the N-NO2 bond breakage to release NO2. The formation rates of N-2 and H2O are significantly affected by temperature, while those of CO2 are less influenced. The C atoms finally formed C clusters. As the temperature rises, the decomposition speeds up, indicating that the high temperature accelerates the decomposition. Applying pressure can reduce the reaction energy barrier and accelerate the decomposition.Methods The RDX model was constructed using the Materials Studio 7.0 package. All MD simulations were performed based on the ReaxFF force field in the LAMMPS software package, and the crystals were visualized using the OVITO software package. The time step was 0.1 fs, and the total MD simulation time was 200 ps. DFT calculations were carried out at the B3LYP/6-311G(d,p) level using the Gaussian 09 package.</t>
  </si>
  <si>
    <t>[Sun, Zi-Jian; Li, Hui; Zhu, Weihua] Nanjing Univ Sci &amp; Technol, Inst Computat Mol &amp; Mat Sci, Sch Chem &amp; Chem Engn, Nanjing 210094, Peoples R China</t>
  </si>
  <si>
    <t>Nanjing University of Science &amp; Technology</t>
  </si>
  <si>
    <t>Zhu, WH (corresponding author), Nanjing Univ Sci &amp; Technol, Inst Computat Mol &amp; Mat Sci, Sch Chem &amp; Chem Engn, Nanjing 210094, Peoples R China.</t>
  </si>
  <si>
    <t>zhuwh@njust.edu.cn</t>
  </si>
  <si>
    <t>10.1007/s00894-023-05656-8</t>
  </si>
  <si>
    <t>Q0JC1</t>
  </si>
  <si>
    <t>WOS:001054448700002</t>
  </si>
  <si>
    <t>Tang, WY; Yao, W; Wang, W; Lv, QM; Ding, WB</t>
  </si>
  <si>
    <t>Tang, Wanyun; Yao, Wei; Wang, Wei; Lv, Qiaomei; Ding, Wenbo</t>
  </si>
  <si>
    <t>Association between admission hyperglycemia and postoperative pneumonia in geriatric patients with hip fractures</t>
  </si>
  <si>
    <t>Hip fracture; Pneumonia; Hyperglycemia; Risk factor; Geriatric</t>
  </si>
  <si>
    <t>RISK-FACTORS; PERIOPERATIVE HYPERGLYCEMIA; MANAGEMENT; SURGERY; HEMOGLOBIN; PREDICTION; DIAGNOSIS</t>
  </si>
  <si>
    <t>BackgroundAdmission hyperglycemia is a common phenomenon in the early stages of injury. This study aimed to determine the relationship between admission hyperglycemia and postoperative pneumonia in geriatric patients with hip fractures.MethodsA total of 600 geriatric patients admitted to Dandong Central Hospital with hip fractures were included. Patients were divided into four groups based on quartiles of admission blood glucose levels: Q1- Q4. Multivariable logistic regression and propensity score-matched analyses were conducted to calculate adjusted odds ratios (ORs) and 95% confidence intervals (CIs) for postoperative pneumonia. Receiver operating characteristic (ROC) curves were used to determine the cut-off value of admission hyperglycemia for predicting postoperative pneumonia.ResultsThe incidence of postoperative pneumonia was significantly higher among hyperglycemic patients than those with normal glucose levels (OR = 2.090, 95% CI: 1.135-3.846, p = 0.016). Admission hyperglycemia showed moderate predictive power, with an area under the ROC curve of 0.803. Furthermore, propensity score-matched analyses demonstrated that patients in the Q3 (OR = 4.250, 95% CI: 1.361-13.272, p = 0.013) and Q4 (OR = 4.667, 95% CI: 1.251-17.405, p = 0.022) quartiles had a significantly higher risk of postoperative pneumonia compared to patients in the Q1 quartile.ConclusionsAdmission hyperglycemia in elderly hip fracture patients increases the risk of postoperative pneumonia. This biomarker can aid clinical assessment and perioperative management.</t>
  </si>
  <si>
    <t>[Tang, Wanyun; Yao, Wei; Wang, Wei; Ding, Wenbo] China Med Univ, Dandong Cent Hosp, Dept Orthoped, 338 Jinshan St, Dandong 118002, Liaoning, Peoples R China; [Lv, Qiaomei] China Med Univ, Dandong Cent Hosp, Dept Oncol, 338 Jinshan St, Dandong 118002, Liaoning, Peoples R China</t>
  </si>
  <si>
    <t>Ding, WB (corresponding author), China Med Univ, Dandong Cent Hosp, Dept Orthoped, 338 Jinshan St, Dandong 118002, Liaoning, Peoples R China.</t>
  </si>
  <si>
    <t>dwb98003007@163.com</t>
  </si>
  <si>
    <t>10.1186/s12891-023-06829-5</t>
  </si>
  <si>
    <t>R1KB2</t>
  </si>
  <si>
    <t>WOS:001061988700002</t>
  </si>
  <si>
    <t>Tao, SY; Tang, XW; Yu, LT; Li, LL; Zhang, GY; Zhang, LX; Huang, L; Wu, JY</t>
  </si>
  <si>
    <t>Tao, Shiyi; Tang, Xianwen; Yu, Lintong; Li, Lingling; Zhang, Gaoyu; Zhang, Lanxin; Huang, Li; Wu, Jiayun</t>
  </si>
  <si>
    <t>Prognosis of coronary heart disease after percutaneous coronary intervention: a bibliometric analysis over the period 2004-2022</t>
  </si>
  <si>
    <t>Coronary heart disease; Percutaneous coronary intervention; Bibliometrics; CiteSpace; Visualization analysis</t>
  </si>
  <si>
    <t>ACUTE MYOCARDIAL-INFARCTION; SIROLIMUS-ELUTING STENTS; REDUCE-POLYTECH-ACS; UNIVERSAL DEFINITION; TASK-FORCE; ANGIOPLASTY; CLOPIDOGREL; PREDICTORS; GUIDELINES; THROMBOSIS</t>
  </si>
  <si>
    <t>BackgroundAs the complexity and diversity of the percutaneous coronary intervention (PCI) are being explored and reported, burgeoning research has progressed in this field. However, there is no comprehensive analysis available on PCI-related studies published in the literature. This study aimed to analyze and visualize the changes of scientific output regarding prognosis of coronary heart disease (CHD) after PCI over the past 20 years and to reveal the knowledge domain and development trends in this field by using CiteSpace software.MethodsRelevant articles published over the period 2004-2022 were retrieved from the Web of Science Core Collection database. After manual selection, qualified documents were included and recorded with the information of their title, abstract, keyword, author, descriptor, citation, identifier, publishing year and publishing organization. We transferred the data to CiteSpace V5.8.R2 (Version 5.8.R2) to draw knowledge maps and to conduct co-occurrence analysis, cluster analysis, timeline analysis, burst term detection and citation analysis.ResultsA total of 14,699 literature records were found relating prognosis of CHD after PCI in the past 20 years (2004-2022), including 14,212 original articles and reviews, and they were published in 153 different journals. Publication production has increased annually and a total of 1182 authors, 796 institutes and 147 countries have contributed to these publications. Moreover, the most representative author was Gregg W Stone from the CardioVascular Research Foundation (CVRF) with 368 publications, whose team mainly focused on exploring the efficacy and safety of revascularization and the characteristics of susceptible population. The global productivity ranking was led by the USA with 3326 published papers, followed by Italy (n = 1355), Japan (n = 1080), China (n = 1075) and Germany (n = 937). And the keywords of these publications were percutaneous coronary intervention (n = 2271), outcome (n = 1756), mortality (n = 1730) and impact (n = 1334). Other commonly-used words were predictor (n = 1324), intervention (n = 1310), angioplasty (n = 1299), risk (n = 1144), acute myocardial infarction (n = 1136) and artery disease (n = 1098). Cluster analysis showed that 15 high connected clusters were generated with a modularity Q of 0.831 and a weighted mean silhouette of 0.9388 by applying the log-likelihood ratio algorithm, and the top 5 clusters were #0 optical coherence tomography, #1 dual antiplatelet therapy, #2 bleeding, #3 clopidogrel and #4 thrombus aspiration. Furthermore, the frontiers in the field of prognosis of CHD after PCI mainly involved decision making, reperfusion, angioplasty, balloon, unstable angina, dual antiplatelet therapy, cardiac surgical score, restenosis, reperfusion, thrombolytic therapy, etc.ConclusionsTo sum up, efficacy and safety of different types of stents, the risk factors of restenosis and thrombotic events after PCI, early risk assessment, and secondary prevention and complications of patients with CHD after PCI were research hotspots and frontier topics in the area by bibliometric analysis. The results could provide a comprehensive overview of the research hotspots and frontier topics relating prognosis of CHD after PCI, promoting a better understanding of the knowledge domain and development trends in this field during the past 20 years.</t>
  </si>
  <si>
    <t>[Tao, Shiyi; Yu, Lintong; Zhang, Gaoyu] Beijing Univ Chinese Med, Grad Sch, Beijing, Peoples R China; [Tang, Xianwen; Wu, Jiayun] Beijing Univ Chinese Med Longgang, Dept Cardiol, Shenzhen Hosp, Shenzhen 518116, Guangdong, Peoples R China; [Li, Lingling] Hebei Med Univ, Hosp 1, Shijiazhuang, Hebei, Peoples R China; [Zhang, Lanxin] China Acad Chinese Med Sci, Guanganmen Hosp, Dept Oncol, Beijing, Peoples R China; [Huang, Li] China Japan Friendship Hosp, Dept Integrat Cardiol, Beijing, Peoples R China</t>
  </si>
  <si>
    <t>Beijing University of Chinese Medicine; Hebei Medical University; Guang'anmen Hospital, CACMS; China Academy of Chinese Medical Sciences; China-Japan Friendship Hospital</t>
  </si>
  <si>
    <t>Wu, JY (corresponding author), Beijing Univ Chinese Med Longgang, Dept Cardiol, Shenzhen Hosp, Shenzhen 518116, Guangdong, Peoples R China.</t>
  </si>
  <si>
    <t>nggaiwen@163.com</t>
  </si>
  <si>
    <t>National Natural Science Foundation of China [81774105, 81803925]; Traditional Chinese Medicine Bureau of Guangdong Province [20232146]</t>
  </si>
  <si>
    <t>National Natural Science Foundation of China(National Natural Science Foundation of China (NSFC)); Traditional Chinese Medicine Bureau of Guangdong Province</t>
  </si>
  <si>
    <t>This study was supported by the National Natural Science Foundation of China (No. 81774105 and No. 81803925) and the research program (No. 20232146) supported by Traditional Chinese Medicine Bureau of Guangdong Province.</t>
  </si>
  <si>
    <t>10.1186/s40001-023-01220-5</t>
  </si>
  <si>
    <t>Q6QH1</t>
  </si>
  <si>
    <t>WOS:001058745300002</t>
  </si>
  <si>
    <t>Tedeschi, T; Baioletti, M; Ciangottini, D; Poggioni, V; Spiga, D; Storchi, L; Tracolli, M</t>
  </si>
  <si>
    <t>Tedeschi, Tommaso; Baioletti, Marco; Ciangottini, Diego; Poggioni, Valentina; Spiga, Daniele; Storchi, Loriano; Tracolli, Mirco</t>
  </si>
  <si>
    <t>Smart Caching in a Data Lake for High Energy Physics Analysis</t>
  </si>
  <si>
    <t>JOURNAL OF GRID COMPUTING</t>
  </si>
  <si>
    <t>Reinforcement learning; Caching strategies; High energy physics; Data lake</t>
  </si>
  <si>
    <t>The continuous growth of data production in almost all scientific areas raises new problems in data access and management, especially in a scenario where the end-users, as well as the resources that they can access, are worldwide distributed. This work is focused on the data caching management in a Data Lake infrastructure in the context of the High Energy Physics field. We are proposing an autonomous method, based on Reinforcement Learning techniques, to improve the user experience and to contain the maintenance costs of the infrastructure.</t>
  </si>
  <si>
    <t>[Tedeschi, Tommaso] Univ Perugia, Dept Phys &amp; Geol, Via A Pascoli, I-06123 Perugia, Italy; [Tedeschi, Tommaso; Ciangottini, Diego; Spiga, Daniele; Storchi, Loriano; Tracolli, Mirco] INFN, Sez Perugia, Via Pascoli, I-06123 Perugia, Italy; [Baioletti, Marco; Poggioni, Valentina] Univ Perugia, Dept Math &amp; IT, Via A Pascoli, I-06123 Perugia, Italy; [Storchi, Loriano] Univ G dAnnunzio, Dept Pharm, Via Vestini, I-60111 Chieti, Italy</t>
  </si>
  <si>
    <t>University of Perugia; Istituto Nazionale di Fisica Nucleare (INFN); University of Perugia; G d'Annunzio University of Chieti-Pescara</t>
  </si>
  <si>
    <t>Tedeschi, T (corresponding author), Univ Perugia, Dept Phys &amp; Geol, Via A Pascoli, I-06123 Perugia, Italy.</t>
  </si>
  <si>
    <t>tommaso.tedeschi@pg.infn.it; marco.baioletti@unipg.it; diego.ciangottini@pg.infn.it; valentina.poggioni@unipg.it; daniele.spiga@pg.infn.it; loriano@storchi.org; m.tracolli@gmail.com</t>
  </si>
  <si>
    <t>Storchi, Loriano/K-3557-2018</t>
  </si>
  <si>
    <t>Storchi, Loriano/0000-0001-5021-7759; Tedeschi, Tommaso/0000-0002-7125-2905</t>
  </si>
  <si>
    <t>1570-7873</t>
  </si>
  <si>
    <t>1572-9184</t>
  </si>
  <si>
    <t>J GRID COMPUT</t>
  </si>
  <si>
    <t>J. Comput.</t>
  </si>
  <si>
    <t>10.1007/s10723-023-09664-z</t>
  </si>
  <si>
    <t>Computer Science, Information Systems; Computer Science, Theory &amp; Methods</t>
  </si>
  <si>
    <t>L6LO8</t>
  </si>
  <si>
    <t>WOS:001024360300001</t>
  </si>
  <si>
    <t>Tian, Y; Milic, J; Monasor, LS; Chakraborty, R; Wang, SJ; Yuan, Y; Asare, Y; Behrends, C; Tahirovic, S; Bernhagen, J</t>
  </si>
  <si>
    <t>Tian, Yuan; Milic, Jelena; Monasor, Laura Sebastian; Chakraborty, Rahul; Wang, Sijia; Yuan, Yue; Asare, Yaw; Behrends, Christian; Tahirovic, Sabina; Bernhagen, Jurgen</t>
  </si>
  <si>
    <t>The COP9 signalosome reduces neuroinflammation and attenuates ischemic neuronal stress in organotypic brain slice culture model</t>
  </si>
  <si>
    <t>CELLULAR AND MOLECULAR LIFE SCIENCES</t>
  </si>
  <si>
    <t>Constitutive photomorphogenesis 9 signalosome (CSN); CSN5; JAB1; Microglia; Ischemic stroke; Organoid</t>
  </si>
  <si>
    <t>NF-KAPPA-B; NEDD8-ACTIVATING ENZYME-INHIBITOR; MICROGLIAL ACTIVATION; SUBUNIT CSN5; COMPLEX; PROTEIN; STROKE; PEVONEDISTAT; MECHANISMS; REGULATOR</t>
  </si>
  <si>
    <t>The constitutive photomorphogenesis 9 (COP9) signalosome (CSN) is a deNEDDylase controlling ubiquitination activity of cullin-RING-E3 ligases (CRLs) and thus the levels of key cellular proteins. While the CSN and its catalytic subunit CSN5 have been extensively studied in cancer, its role in inflammatory and neurological diseases is less understood. Following verification that CSN5 is expressed in mouse and human brain, here we studied the role of the CSN in neuroinflammation and ischemic neuronal damage employing models of relevant brain-resident cell types, an ex vivo organotypic brain slice culture model, and the CRL NEDDylation state-modifying drugs MLN4924 and CSN5i-3, which mimic and inhibit, respectively, CSN5 deNEDDylase activity. Untargeted mass spectrometry-based proteomics revealed that MLN4924 and CSN5i-3 substantially alter the microglial proteome, including inflammation-related proteins. Applying these drugs and mimicking microglial and endothelial inflammation as well as ischemic neuronal stress by TNF and oxygen-glucose-deprivation/reoxygenation (OGD/RO) treatment, respectively, we could link CSN5/CSN-mediated cullin deNEDDylation to reduction of microglial inflammation, attenuated cerebral endothelial inflammation, improved barrier integrity, as well as protection from ischemic stress-induced neuronal cell death. Specifically, MLN4924 reduced phagocytic activity, motility, and inflammatory cytokine expression of microglial cells, and this was linked to inhibition of inflammation-induced NF-&amp; kappa;B and Akt signaling. Inversely, Csn5 knockdown and CSN5i-3 increased NF-&amp; kappa;B signaling. Moreover, MLN4924 abrogated TNF-induced NF-&amp; kappa;B signaling in cerebral microvascular endothelial cells (hCMECs) and rescued hCMEC monolayers from OGD/RO-triggered barrier leakage, while CSN5i-3 exacerbated permeability. In an ex vivo organotypic brain slice model of ischemia/reperfusion stress, MLN4924 protected from neuronal death, while CSN5i-3 impaired neuronal survival. Neuronal damage was attributable to microglial activation and inflammatory cytokines, as indicated by microglial shape tracking and TNF-blocking experiments. Our results indicate a protective role of the CSN in neuroinflammation via brain-resident cell types involved in ischemic brain disease and implicate CSN activity-mimicking deNEDDylating drugs as potential therapeutics.</t>
  </si>
  <si>
    <t>[Tian, Yuan; Milic, Jelena; Wang, Sijia; Yuan, Yue; Bernhagen, Jurgen] Ludwig Maximilian Univ LMU Munich, Inst Stroke &amp; Dementia Res ISD, LMU Klinikum, Vasc Biol, Feodor Lynen Str 17, D-81377 Munich, Germany; [Monasor, Laura Sebastian; Tahirovic, Sabina] German Ctr Neurodegenerat Dis DZNE, D-81377 Munich, Germany; [Chakraborty, Rahul; Behrends, Christian; Bernhagen, Jurgen] Ludwig Maximilians Univ Munchen, Med Fac, Munich Cluster Syst Neurol SyNergy, D-81377 Munich, Germany; [Asare, Yaw] Ludwig Maximilians Univ Munchen, LMU Klinikum, Inst Stroke &amp; Dementia Res ISD, Translat Stroke Res, D-81377 Munich, Germany; [Wang, Sijia] Shenzhen Peoples Hosp, Shenzhen, Guangdong, Peoples R China; [Tian, Yuan] Univ Edinburgh, Ctr Clin Brain Sci, Edinburgh, Scotland</t>
  </si>
  <si>
    <t>University of Munich; Helmholtz Association; German Center for Neurodegenerative Diseases (DZNE); University of Munich; University of Munich; Jinan University; University of Edinburgh</t>
  </si>
  <si>
    <t>Bernhagen, J (corresponding author), Ludwig Maximilian Univ LMU Munich, Inst Stroke &amp; Dementia Res ISD, LMU Klinikum, Vasc Biol, Feodor Lynen Str 17, D-81377 Munich, Germany.;Bernhagen, J (corresponding author), Ludwig Maximilians Univ Munchen, Med Fac, Munich Cluster Syst Neurol SyNergy, D-81377 Munich, Germany.</t>
  </si>
  <si>
    <t>Juergen.Bernhagen@med.uni-muenchen.de</t>
  </si>
  <si>
    <t>Chakraborty, Rahul/0009-0008-9104-8873</t>
  </si>
  <si>
    <t>1420-682X</t>
  </si>
  <si>
    <t>1420-9071</t>
  </si>
  <si>
    <t>CELL MOL LIFE SCI</t>
  </si>
  <si>
    <t>Cell. Mol. Life Sci.</t>
  </si>
  <si>
    <t>10.1007/s00018-023-04911-8</t>
  </si>
  <si>
    <t>P4XT2</t>
  </si>
  <si>
    <t>WOS:001050715400002</t>
  </si>
  <si>
    <t>Vena, A; Bassetti, M; Mezzogori, L; Marchesi, F; Hoenigl, M; Giacobbe, DR; Corcione, S; Bartoletti, M; Stemler, J; Pagano, L; Cornely, OA; Salmanton-Garcia, J</t>
  </si>
  <si>
    <t>Vena, Antonio; Bassetti, Matteo; Mezzogori, Laura; Marchesi, Francesco; Hoenigl, Martin; Giacobbe, Daniele Roberto; Corcione, Silvia; Bartoletti, Michele; Stemler, Jannik; Pagano, Livio; Cornely, Oliver A.; Salmanton-Garcia, Jon</t>
  </si>
  <si>
    <t>Laboratory and clinical management capacity for invasive fungal infections: the Italian landscape</t>
  </si>
  <si>
    <t>INFECTION</t>
  </si>
  <si>
    <t>Italy; Mycology; Therapeutic drug monitoring; Antifungals; Diagnostic capacity, microscopy; Culture, serology; Antigen; Molecular test</t>
  </si>
  <si>
    <t>PULMONARY ASPERGILLOSIS; HIGH-RISK; EPIDEMIOLOGY; RECIPIENTS</t>
  </si>
  <si>
    <t>Background We assessed the laboratory diagnosis and treatment of invasive fungal disease (IFD) in Italy to detect limitations and potential for improvement.Methods The survey was available online at www.clinicalsurveys.net/uc/IFI management capacity/, and collected variables such as (a) institution profile, (b) perceptions of IFD in the respective institution, (c) microscopy, (d) culture and fungal identification, (e) serology, (f) antigen detection, (g) molecular tests, (h) susceptibility testing and (i) therapeutic drug monitoring (TDM).Results The laboratory capacity study received responses from 49 Italian centres, with an equitable geographical distribution of locations. The majority of respondents (n = 36, 73%) assessed the occurrence of IFD as moderate-high, with Aspergillus spp. being the pathogen of highest concern, followed by Candida spp. and Mucorales. Although 46 (94%) of the institutions had access to microscopy, less than half of them performed direct microscopy on clinical specimens always when IFD was suspected. Cultures were available in all assessed laboratories, while molecular testing and serology were available in 41 (83%), each. Antigen detection tests and antifungal drugs were also generally accessible (&gt; 90%) among the participating institutions. Nevertheless, access to TDM was limited (n = 31, 63%), with a significant association established between therapeutic drug monitoring availability and higher gross domestic product per capita.Conclusions Apart from TDM, Italy is adequately prepared for the diagnosis and treatment of IFD, with no significant disparities depending on gross domestic product. Future efforts may need to focus on enhancing the availability and application of direct microscopic methods, as well as TDM, to promote optimal treatment and better patient outcomes.</t>
  </si>
  <si>
    <t>[Vena, Antonio; Bassetti, Matteo; Mezzogori, Laura; Giacobbe, Daniele Roberto] Univ Genoa, Dept Hlth Sci DISSAL, Genoa, Italy; [Vena, Antonio; Bassetti, Matteo; Mezzogori, Laura; Giacobbe, Daniele Roberto] IRCCS Osped Policlin San Martino, Clin Malattie Infett, Genoa, Italy; [Marchesi, Francesco] IRCCS, Regina Elena Natl Canc Inst, Rome, Italy; [Hoenigl, Martin] Med Univ Graz, Excellence Ctr Med Mycol, Dept Internal Med, Div Infect Dis, Graz, Austria; [Hoenigl, Martin] Med Univ Graz, ECMM Ctr Excellence Med Mycol, Div Infect Dis, Graz, Austria; [Hoenigl, Martin] BioTechMed, Graz, Austria; [Corcione, Silvia] Univ Turin, Dept Med Sci, Infect Dis, Turin, Italy; [Corcione, Silvia] Tufts Univ, Sch Med, Boston, MA USA; [Bartoletti, Michele] Human Univ, Dept Biomed Sci, Milan, Italy; [Bartoletti, Michele] IRCCS Human Res Hosp, Infect Dis Unit, Milan, Italy; [Stemler, Jannik; Cornely, Oliver A.; Salmanton-Garcia, Jon] Univ Cologne, Univ Hosp Cologne, Inst Translat Res, Fac Med,Cologne Excellence Cluster Cellular Stres, Cologne, Germany; [Stemler, Jannik; Cornely, Oliver A.; Salmanton-Garcia, Jon] Univ Cologne, Ctr Integrated Oncol Aachen Bonn Cologne Duesseldo, Dept Internal Med 1, Herderstr 52-54, D-50931 Cologne, Germany; [Stemler, Jannik; Cornely, Oliver A.; Salmanton-Garcia, Jon] Univ Cologne, Excellence Ctr Med Mycol, Herderstr 52-54, D-50931 Cologne, Germany; [Stemler, Jannik; Cornely, Oliver A.; Salmanton-Garcia, Jon] German Ctr Infect Res DZIF, Partner Site Bonn Cologne, Cologne, Germany; [Pagano, Livio] Fdn Policlin Univ Agostino Gemelli, Hematol Unit, IRCCS, Rome, Italy; [Pagano, Livio] Univ Cattolica Sacro Cuore, Hematol Thrombosis Unit, Rome, Italy; [Cornely, Oliver A.] Univ Cologne, Univ Hosp Cologne, Fac Med, Ctr Mol Med Cologne CMMC, Cologne, Germany; [Vena, Antonio; Bassetti, Matteo; Mezzogori, Laura; Giacobbe, Daniele Roberto] San Martino Policlin Hosp, Infect Dis Unit, IRCCS Oncol &amp; Neurosci, Largo Rosanna Benzi, 10, I-16132 Genoa, Italy; [Cornely, Oliver A.] Univ Cologne, Fac Med, Univ Hosp Cologne, Clin Trials Ctr Cologne ZKS Koln, Cologne, Germany</t>
  </si>
  <si>
    <t>University of Genoa; Medical University of Graz; Medical University of Graz; University of Turin; Tufts University; University of Cologne; University of Cologne; University of Cologne; German Center for Infection Research; University of Cologne; Catholic University of the Sacred Heart; IRCCS Policlinico Gemelli; Catholic University of the Sacred Heart; IRCCS Policlinico Gemelli; University of Cologne; University of Cologne</t>
  </si>
  <si>
    <t>Vena, A (corresponding author), Univ Genoa, Dept Hlth Sci DISSAL, Genoa, Italy.;Vena, A (corresponding author), IRCCS Osped Policlin San Martino, Clin Malattie Infett, Genoa, Italy.;Salmanton-Garcia, J (corresponding author), Univ Cologne, Univ Hosp Cologne, Inst Translat Res, Fac Med,Cologne Excellence Cluster Cellular Stres, Cologne, Germany.;Salmanton-Garcia, J (corresponding author), Univ Cologne, Ctr Integrated Oncol Aachen Bonn Cologne Duesseldo, Dept Internal Med 1, Herderstr 52-54, D-50931 Cologne, Germany.;Salmanton-Garcia, J (corresponding author), Univ Cologne, Excellence Ctr Med Mycol, Herderstr 52-54, D-50931 Cologne, Germany.;Salmanton-Garcia, J (corresponding author), German Ctr Infect Res DZIF, Partner Site Bonn Cologne, Cologne, Germany.;Vena, A (corresponding author), San Martino Policlin Hosp, Infect Dis Unit, IRCCS Oncol &amp; Neurosci, Largo Rosanna Benzi, 10, I-16132 Genoa, Italy.</t>
  </si>
  <si>
    <t>anton.vena@gmail.com; jon.salmanton-garcia@uk-koeln.de</t>
  </si>
  <si>
    <t>Orazio Romeo, Alberto Enrico Maraolo, Nicholas Geremia, Maurizio Sanguinetti, Teresa Maria Fasciana, Mario Cruciani, Simone Mornese Pinna, Giuliana Lo Cascio, Goffredo Angioni, Laura Magnasco, Vivian Tullio, Francesco Barchiesi, Lucia Prezioso, Silvana San; European Confederation for Medical Mycology (ECMM)</t>
  </si>
  <si>
    <t>Open Access funding enabled and organized by Projekt DEAL. This manuscript was conducted as part of our routine work, and no external funding was obtained for the research.r Orazio Romeo, Alberto Enrico Maraolo, Nicholas Geremia, Maurizio Sanguinetti, Teresa Maria Fasciana, Mario Cruciani, Simone Mornese Pinna, Giuliana Lo Cascio, Goffredo Angioni, Laura Magnasco, Vivian Tullio, Francesco Barchiesi, Lucia Prezioso, Silvana Sanna, Andrea Cortegiani, Daniela Dalla Gasperina, Francesca Farina, Anna Grancini, Emanuele Pontali, Francesco Forfori, Marco Berruti, Caterina Buquicchio, Patrizia Danesi, Fabio Forghieri, Maddalena Giannella, Daniela Angela Zeme, Nicola Coppola, Lidia Dalfino, Gianpaolo Nadali, Claudio Farina, Teresa Santantonio, Giuliana Guadagnino, Maria Calabro, Patrizia Zappasodi, Giammarco Raponi, Assunta Sartor, Manuela Ceccarelli, Federico Itri, Olimpia Finizio, Carlo Pallotto, Luisa Verga, Maria Enza Mitra, Annarosa Cuccaro, Alessandra Mularoni, Mario Virgilio Papa, Gianluigi Lombardi, Maria Ilaria Del Principe, Michelina Dargenio, Sita Giovani (Young Investigators Group of the Societa Italiana Terapia Antinfettiva, International Society of Human and Animal Mycology (ISHAM), Epidemiological Surveillance of Infections in Haematological Diseases of Italy (SEIFEM), European Confederation for Medical Mycology (ECMM).</t>
  </si>
  <si>
    <t>0300-8126</t>
  </si>
  <si>
    <t>1439-0973</t>
  </si>
  <si>
    <t>Infection</t>
  </si>
  <si>
    <t>10.1007/s15010-023-02084</t>
  </si>
  <si>
    <t>Q8TC9</t>
  </si>
  <si>
    <t>WOS:001060180700002</t>
  </si>
  <si>
    <t>Wang, SS; Wang, JY; Zeng, X; Wang, T; Yu, ZJ; Wei, YQ; Cai, MN; Zhuoma, D; Chu, XY; Chen, YZ; Zhao, YF</t>
  </si>
  <si>
    <t>Wang, Shanshan; Wang, Junyong; Zeng, Xian; Wang, Tao; Yu, Zijie; Wei, Yiqi; Cai, Mengna; Zhuoma, Dongzhi; Chu, Xin-Yi; Chen, Yu Zong; Zhao, Yufen</t>
  </si>
  <si>
    <t>Database of space life investigations and information on spaceflight plant biology</t>
  </si>
  <si>
    <t>Spaceflight; Space life investigation; Plant; Database; Arabidopsis thaliana; Brassica rapa L; Glycyrrhiza uralensis Fisch</t>
  </si>
  <si>
    <t>GENE-EXPRESSION; BRASSICA; GROWTH; FLIGHT; ROOTS; DWARF; ARABIDOPSIS; DYNAMICS; YIELD; LEAF</t>
  </si>
  <si>
    <t>Extensive spaceflight life investigations (SLIs) have revealed observable space effects on plants, particularly their growth, nutrition yield, and secondary metabolite production. Knowledge of these effects not only facilitates space agricultural and biopharmaceutical technology development but also provides unique perspectives to ground-based investigations. SLIs are specialized experimental protocols and notable biological phenomena. These require specialized databases, leading to the development of the NASA Science Data Archive, Erasmus Experiment Archive, and NASA GeneLab. The increasing interests of SLIs across diverse fields demand resources with comprehensive content, convenient search facilities, and friendly information presentation. A new database SpaceLID (Space Life Investigation Database ) was developed with detailed menu search tools and categorized contents about the phenomena, protocols, and outcomes of 459 SLIs (including 106 plant investigations) of 92 species, where 236 SLIs and 57 plant investigations are uncovered by the existing databases. The usefulness of SpaceLID as an SLI information source is illustrated by the literature-reported analysis of metabolite, nutrition, and symbiosis variations of spaceflight plants. In conclusion, this study extensively investigated the impact of the space environment on plant biology, utilizing SpaceLID as an information source and examining various plant species, including Arabidopsis thaliana, Brassica rapa L., and Glycyrrhiza uralensis Fisch. The findings provide valuable insights into the effects of space conditions on plant physiology and metabolism.</t>
  </si>
  <si>
    <t>[Wang, Shanshan; Wang, Junyong; Wang, Tao; Yu, Zijie; Wei, Yiqi; Chu, Xin-Yi; Chen, Yu Zong; Zhao, Yufen] Ningbo Univ, Inst Drug Discovery Technol, Qian Xuesen Collaborat Res Ctr Astrochem &amp; Space L, Ningbo 315211, Peoples R China; [Zeng, Xian] Fudan Univ, Dept Biol Med, Sch Pharm, Shanghai 201203, Peoples R China; [Zeng, Xian] Fudan Univ, Shanghai Engn Res Ctr Immunotherapeut, Sch Pharm, Shanghai 201203, Peoples R China; [Cai, Mengna] Tsinghua Univ, Inst Civil Design, Beijing 102206, Peoples R China; [Zhuoma, Dongzhi] Tibet Univ, Med Coll, Lhasa 850000, Peoples R China; [Zhao, Yufen] Xiamen Univ, Coll Chem &amp; Chem Engn, Dept Chem Biol, Xiamen 361005, Peoples R China; [Zhao, Yufen] Xiamen Univ, Key Lab Chem Biol Fujian Prov, Xiamen 361005, Peoples R China; [Zhao, Yufen] Tsinghua Univ, Dept Chem, Key Lab Bioorgan Phosphorus Chem &amp; Chem Biol, Minist Educ, Beijing 102206, Peoples R China</t>
  </si>
  <si>
    <t>Ningbo University; Fudan University; Fudan University; Tsinghua University; Tibet University; Xiamen University; Xiamen University; Tsinghua University</t>
  </si>
  <si>
    <t>Chu, XY; Chen, YZ (corresponding author), Ningbo Univ, Inst Drug Discovery Technol, Qian Xuesen Collaborat Res Ctr Astrochem &amp; Space L, Ningbo 315211, Peoples R China.</t>
  </si>
  <si>
    <t>chuxy@webmail.hzau.edu.cn; chenyuzong@sz.tsinghua.edu.cn</t>
  </si>
  <si>
    <t>Chen, Yu Zong/0000-0002-5473-8022</t>
  </si>
  <si>
    <t>Space Exploration Breeding Grant of Qian Xuesen Lab [TKTSPY-2020-04-03]; National Natural Science Foundation of China [92256203]; Scientific Research Grant of Ningbo University [215-432000282]; Ningbo Top Talent Project [215-432094250]</t>
  </si>
  <si>
    <t>Space Exploration Breeding Grant of Qian Xuesen Lab; National Natural Science Foundation of China(National Natural Science Foundation of China (NSFC)); Scientific Research Grant of Ningbo University; Ningbo Top Talent Project</t>
  </si>
  <si>
    <t>This work was supported by the Space Exploration Breeding Grant of Qian Xuesen Lab (TKTSPY-2020-04-03), the National Natural Science Foundation of China (92256203), the Scientific Research Grant of Ningbo University (215-432000282), Ningbo Top Talent Project (215-432094250).</t>
  </si>
  <si>
    <t>10.1007/s00425-023-04213-0</t>
  </si>
  <si>
    <t>O1DM8</t>
  </si>
  <si>
    <t>WOS:001041294600001</t>
  </si>
  <si>
    <t>Wei, J; Wu, XT; Li, XY; Soppe, WJJ; Cao, H; Liu, YX</t>
  </si>
  <si>
    <t>Wei, Jun; Wu, Xing-ting; Li, Xiao-ying; Soppe, Wim J. J.; Cao, Hong; Liu, Yong-xiu</t>
  </si>
  <si>
    <t>Overexpression of Taetr1-1 promotes enhanced seed dormancy and ethylene insensitivity in wheat</t>
  </si>
  <si>
    <t>Ethylene receptor; Grain; Phytohormone; Pre-harvest sprouting (PHS)</t>
  </si>
  <si>
    <t>ETR1; BINDING; YIELD</t>
  </si>
  <si>
    <t>Main conclusionTaetr1-1 can promote enhanced seed dormancy and ethylene insensitivity in wheat, indicating a conserved function of ETR1 in regulating seed dormancy.Lots of wheat cultivars have weak dormant seed. Weak seed dormancy can cause pre-harvest sprouting (PHS) in grain which significantly reduces grain yield and quality. The mining of causal genes of PHS resistance will serve to enhance breeding selection and cultivar development. In a previous study in Arabidopsis, we identified reduced dormancy 3 as a loss-of-function mutant of the ethylene receptor 1 (ETR1), which can control seed dormancy through the ERF12-TPL-DOG1 pathway. However, it is unknown whether ETR1 also functions in the regulation of wheat seed dormancy. To identify the regulatory role of ETR1 in wheat, we cloned TaETR1 and overexpressed the gain-of-function mutant Taetr1-1. The result indicated that overexpression of Taetr1-1 can promote enhanced seed dormancy and ethylene insensitivity in wheat. This study contributed to our understanding of the molecular basis for the regulation of wheat PHS resistance.</t>
  </si>
  <si>
    <t>[Wei, Jun; Wu, Xing-ting; Li, Xiao-ying; Cao, Hong; Liu, Yong-xiu] Chinese Acad Sci, Inst Bot, Key Lab Plant Mol Physiol, Beijing 100093, Peoples R China; [Wei, Jun; Wu, Xing-ting; Liu, Yong-xiu] Univ Chinese Acad Sci, Beijing 100049, Peoples R China; [Soppe, Wim J. J.] Rijk Zwaan Beeding BV, De Lier, Netherlands</t>
  </si>
  <si>
    <t>Chinese Academy of Sciences; Institute of Botany, CAS; Chinese Academy of Sciences; University of Chinese Academy of Sciences, CAS</t>
  </si>
  <si>
    <t>Cao, H; Liu, YX (corresponding author), Chinese Acad Sci, Inst Bot, Key Lab Plant Mol Physiol, Beijing 100093, Peoples R China.;Liu, YX (corresponding author), Univ Chinese Acad Sci, Beijing 100049, Peoples R China.</t>
  </si>
  <si>
    <t>caohong@ibcas.ac.cn; yongxiu@ibcas.ac.cn</t>
  </si>
  <si>
    <t>wang, wenjuan/JGD-0428-2023; yuanyuan, Li/JEZ-6497-2023; Chen, Xin/JDN-2017-2023; Yang, Jie/JDM-6213-2023; Zhang, Lijun/JEZ-7925-2023</t>
  </si>
  <si>
    <t>Yang, Jie/0000-0002-3941-0053;</t>
  </si>
  <si>
    <t>Strategic Priority Research Program of the Chinese Academy of Sciences [XDA24010104, XDA08010303]; National Natural Science Foundation of China [U20A2033]</t>
  </si>
  <si>
    <t>Strategic Priority Research Program of the Chinese Academy of Sciences(Chinese Academy of Sciences); National Natural Science Foundation of China(National Natural Science Foundation of China (NSFC))</t>
  </si>
  <si>
    <t>AcknowledgementsThis work was supported by the Strategic Priority Research Program of the Chinese Academy of Sciences (Grant Nos. XDA24010104, XDA08010303) and The National Natural Science Foundation of China (Joint Fund Projects, U20A2033).</t>
  </si>
  <si>
    <t>10.1007/s00425-023-04211-2</t>
  </si>
  <si>
    <t>N6QC6</t>
  </si>
  <si>
    <t>WOS:001038224100001</t>
  </si>
  <si>
    <t>Wijaya, AL; Kajita, S; Tadokoro, Y; Uchino, M; Nakarai, K</t>
  </si>
  <si>
    <t>Wijaya, Adhitya Leonard; Kajita, Saeko; Tadokoro, Yuji; Uchino, Masayuki; Nakarai, Kenichiro</t>
  </si>
  <si>
    <t>Strength and air permeability of steam-cured expansive concrete: effects of chemical prestress, water-to-binder ratio, and curing condition</t>
  </si>
  <si>
    <t>Self-prestressing; Elevated-temperature curing; Ettringite-based expansive concrete; Restrained expansion; Concrete durability</t>
  </si>
  <si>
    <t>HIGH-PERFORMANCE CONCRETE; SHRINKAGE-REDUCING ADMIXTURES; C-S-H; EARLY-AGE; AUTOGENOUS SHRINKAGE; COMPRESSIVE STRENGTH; CEMENT PASTES; HYBRID FIBERS; SURFACE-LAYER; MICROSTRUCTURE</t>
  </si>
  <si>
    <t>In the presence of steel reinforcement, the expansion energy induced by the expansive agent is restrained, resulting in exerting prestress on the concrete called chemical prestressing; this can simultaneously compensate for shrinkage and improve the performance of the concrete. This paper presents a comprehensive study on the performance of chemically prestressed concrete (CPC) made with a type K expansive agent by exploring important parameters including chemical prestress, water-to-binder ratio, the dosage of expansive additive, and curing conditions. Cylindrical and prism specimens were cast by imitating precast concrete plants. High dosages of the expansive agent and steam-curing treatment were applied to induce higher chemical prestresses in the concrete. Compressive strength and Torrent air permeability measurements were performed to assess the mechanical and durability performances. The results indicate the effect of chemical prestresses on improving compressive strength; however, the air permeability performance generally suffers, which could be associated with microcracking. While steam-cured concrete experienced overall performance deterioration, supplying additional moisture could improve the air permeability but not the strength. Lowering the water-to-binder ratio was determined to be the most effective method for obtaining an improved performance for steam-cured CPC.</t>
  </si>
  <si>
    <t>[Wijaya, Adhitya Leonard; Nakarai, Kenichiro] Hiroshima Univ, Grad Sch Adv Sci &amp; Engn, Civil &amp; Environm Engn Program, 1-4-1 Kagamiyama, Higashihiroshima, Hiroshima 7398527, Japan; [Kajita, Saeko] PS Mitsubishi Construct Co Ltd, 1-9-1 Higashi Shimbashi, Minato, Tokyo 1057365, Japan; [Tadokoro, Yuji; Uchino, Masayuki] All Japan Box Culvert Assoc, 6 Tomiyama,Chiyoda, Tokyo 1010043, Japan; [Tadokoro, Yuji] Kokensangyo Co Ltd, 5-38-3 Minamicho, Fuchu, Tokyo 1830026, Japan; [Uchino, Masayuki] Chibayogyo Co Ltd, 3-1 Ichibacho,Chuo, Chiba 2608666, Japan</t>
  </si>
  <si>
    <t>Hiroshima University</t>
  </si>
  <si>
    <t>Nakarai, K (corresponding author), Hiroshima Univ, Grad Sch Adv Sci &amp; Engn, Civil &amp; Environm Engn Program, 1-4-1 Kagamiyama, Higashihiroshima, Hiroshima 7398527, Japan.</t>
  </si>
  <si>
    <t>adhityaleonard4@gmail.com; s-kajita@psmic.co.jp; tadokoro@kokensangyo.co.jp; uchino@chibayogyo.co.jp; nakarai@hiroshima-u.ac.jp</t>
  </si>
  <si>
    <t>Nakarai, Kenichiro/E-2318-2012</t>
  </si>
  <si>
    <t>Nakarai, Kenichiro/0000-0003-3260-5496</t>
  </si>
  <si>
    <t>10.1617/s11527-023-02223-8</t>
  </si>
  <si>
    <t>P7ZB1</t>
  </si>
  <si>
    <t>WOS:001052805900001</t>
  </si>
  <si>
    <t>Xiao, CB; Qin, M; Xia, HL; Xing, QQ; Wang, D; Qian, WW</t>
  </si>
  <si>
    <t>Xiao, Chenbing; Qin, Ming; Xia, Huiling; Xing, Qianqian; Wang, Dan; Qian, Weiwei</t>
  </si>
  <si>
    <t>Effects of PC6 acupressure on acute and delayed nausea and vomiting induced by chemotherapy in patients with malignant neoplasm: a meta-analysis</t>
  </si>
  <si>
    <t>Acupressure; Nausea; Vomiting; Meta-analysis</t>
  </si>
  <si>
    <t>CANCER-PATIENTS; MANAGEMENT; EFFICACY</t>
  </si>
  <si>
    <t>ObjectiveEvaluating the intervention effect of PC6 acupressure on chemotherapy-induced acute, delayed nausea, and vomiting in malignant tumor patients.MethodEleven databases had been retrieved from January 2010 through January 2022. The published meta-analysis literature was hand-searched, and the language was limited to English and Chinese. The protocol of this meta-analysis was registered with PROSPERO (registration number: CRD42022323693). Two reviewers independently selected relevant eligible articles, extracted data, and evaluated the risk of bias. Meta-analysis was statistically analyzed using software RevMan 5.3.ResultTen randomized controlled trials with 975 patients were included. Only two studies were assessed as high quality; eight studies were evaluated as moderate. Meta-analysis showed that compared with the control group, PC6 acupressure reduced the occurrence number of acute (SMD = -0.39,95CI (-0.73, -0.05) P = 0.02), delayed (SMD = -0.51, 95% CI (-0.96, -0.05) P = 0.03) nausea and acute (SMD = -0.42,95% CI (-0.79, -0.06) P = 0.02), delayed (SMD = -0.37, 95% CI (-0.77, 0.03) P = 0.07) vomiting; it reduced the severity of acute (SMD = -0.34, 95% CI (-0.57, -0.11) P = 0.004), delayed (SMD = -0.79, 95% CI (-1.33, -0.25) P = 0.004) nausea and acute (SMD = -0.51, 95% CI (-0.79, -0.23) P = 0.0004), delayed (SMD = -0.50, 95% CI (-0.84, -0.17) P = 0.003) vomiting, while it did not reduced the experience time on acute and delayed CINV.ConclusionThe meta-analysis shows the effectiveness of PC6 acupressure in preventing and treating nausea and vomiting. Large, high-quality, well-designed randomized controlled trials are needed in the future to determine the efficacy of PC6 acupressure on chemotherapy-induced nausea and vomiting.</t>
  </si>
  <si>
    <t>[Xiao, Chenbing; Qin, Ming; Xia, Huiling] Xuzhou Med Univ, Xuzhou, Jiangsu, Peoples R China; [Xing, Qianqian; Wang, Dan; Qian, Weiwei] Xuzhou Med Univ, Affiliated Hosp, Xuzhou, Jiangsu, Peoples R China</t>
  </si>
  <si>
    <t>Xuzhou Medical University; Xuzhou Medical University</t>
  </si>
  <si>
    <t>Qian, WW (corresponding author), Xuzhou Med Univ, Affiliated Hosp, Xuzhou, Jiangsu, Peoples R China.</t>
  </si>
  <si>
    <t>373225219@qq.com</t>
  </si>
  <si>
    <t>Philosophy and Social Science Research Project of Jiangsu Provincial Department of Education [2020SJA1073]; Science and Technology Project of Xuzhou Municipal Health Committee [XWKYHT20220148]; College-level Scientific Research Project of the Affiliated Hospital of Xuzhou Medical University [2021ZB13]; Science and Technology Development Fund of The Affiliated Hospital of Xuzhou Medical University [XYFM2021003]</t>
  </si>
  <si>
    <t>Philosophy and Social Science Research Project of Jiangsu Provincial Department of Education; Science and Technology Project of Xuzhou Municipal Health Committee; College-level Scientific Research Project of the Affiliated Hospital of Xuzhou Medical University; Science and Technology Development Fund of The Affiliated Hospital of Xuzhou Medical University</t>
  </si>
  <si>
    <t>This work was supported by the Philosophy and Social Science Research Project of Jiangsu Provincial Department of Education (2020SJA1073), the Science and Technology Project of Xuzhou Municipal Health Committee (XWKYHT20220148), the College-level Scientific Research Project of the Affiliated Hospital of Xuzhou Medical University (2021ZB13), and the Science and Technology Development Fund of The Affiliated Hospital of Xuzhou Medical University (XYFM2021003).</t>
  </si>
  <si>
    <t>10.1007/s00520-023-07976-0</t>
  </si>
  <si>
    <t>O4SP7</t>
  </si>
  <si>
    <t>WOS:001043731800002</t>
  </si>
  <si>
    <t>Xu, LT; Hu, CH; Zhang, B; Wu, F; Cai, ZY</t>
  </si>
  <si>
    <t>Xu, Lintao; Hu, Changhui; Zhang, Bo; Wu, Fei; Cai, Ziyun</t>
  </si>
  <si>
    <t>Swin transformer and ResNet based deep networks for low-light image enhancement</t>
  </si>
  <si>
    <t>Low-light image enhancement; Generative adversarial network; Swin transformer; Random paired learning</t>
  </si>
  <si>
    <t>QUALITY ASSESSMENT; RETINEX</t>
  </si>
  <si>
    <t>Low-light image enhancement is a long-term low-level vision problem, which aims to improve the visual quality of images captured in low illumination environment. Convolutional neural network (CNN) is the foundation of the majority of low-light image enhancement algorithms now. The limitations of CNN receptive field lead to the inability to establish long-range context interaction. In recent years, Transformer has received increasing attention in computer vision due to its global attention. In this paper, we design the Swin Transformer and ResNet-based Generative Adversarial Network (STRN) for low-light image enhancement by combining the advantages of ResNet and the Swin Transformer. The STRN consists of a U-shaped generator and multiscale discriminators. The generator is composed of a shallow feature extraction, a deep feature extraction, and an image reconstruction module. To calculate the global and local attention, we alternately use Swin Transformer blocks and ResNet in the deep feature processing module. The self perceptual loss and the spatial consistency loss are employed to constrain the random paired training of STRN. The experimental results on benchmark datasets and real-world low-light images demonstrate that the proposed STRN achieves state-of-the-art performance on low-light image enhancement tasks in terms of visual quality and evaluation metrics.</t>
  </si>
  <si>
    <t>[Xu, Lintao; Hu, Changhui; Zhang, Bo; Wu, Fei; Cai, Ziyun] Nanjing Univ Posts &amp; Telecommun, Coll Automat, Wenyuan Rd, Nanjing 210023, Jiangsu, Peoples R China; [Xu, Lintao; Hu, Changhui; Zhang, Bo; Wu, Fei; Cai, Ziyun] Nanjing Univ Posts &amp; Telecommun, Coll Artificial Intelligence, Wenyuan Rd, Nanjing 210023, Jiangsu, Peoples R China</t>
  </si>
  <si>
    <t>Nanjing University of Posts &amp; Telecommunications; Nanjing University of Posts &amp; Telecommunications</t>
  </si>
  <si>
    <t>Hu, CH (corresponding author), Nanjing Univ Posts &amp; Telecommun, Coll Automat, Wenyuan Rd, Nanjing 210023, Jiangsu, Peoples R China.;Hu, CH (corresponding author), Nanjing Univ Posts &amp; Telecommun, Coll Artificial Intelligence, Wenyuan Rd, Nanjing 210023, Jiangsu, Peoples R China.</t>
  </si>
  <si>
    <t>lintao_xu@163.com; hchnjupt@126.com; zhangbo_boniu@163.com; wufei_8888@126.com; caizy@njupt.edu.cn</t>
  </si>
  <si>
    <t>National Natural Science Foundation of China [SJCX23_0280]; Natural Science Foundation of Nanjing University of Posts and Telecommunications; Postgraduate Research amp;amp; Practice Innovation Program of Jiangsu Province; [62272240]</t>
  </si>
  <si>
    <t>National Natural Science Foundation of China(National Natural Science Foundation of China (NSFC)); Natural Science Foundation of Nanjing University of Posts and Telecommunications; Postgraduate Research amp;amp; Practice Innovation Program of Jiangsu Province;</t>
  </si>
  <si>
    <t>This work was supported in part by the National Natural Science Foundation of China under Grant 62272240 and Grant 61802203, in part by the Natural Science Foundation of Nanjing University of Posts and Telecommunications under Grant NY221081, and in part by Postgraduate Research &amp; amp; Practice Innovation Program of Jiangsu Province under Grant SJCX23_0280.</t>
  </si>
  <si>
    <t>10.1007/s11042-023-16650</t>
  </si>
  <si>
    <t>Q8JE2</t>
  </si>
  <si>
    <t>WOS:001059921400001</t>
  </si>
  <si>
    <t>Yang, XW; Xiao, Y; Hu, H; Qiu, ZB; Qi, YF; Wang, MM; Wu, YL; Zhong, WZ</t>
  </si>
  <si>
    <t>Yang, Xiongwen; Xiao, Yi; Hu, Hao; Qiu, Zhen-bin; Qi, Yi-fan; Wang, Meng-min; Wu, Yi-Long; Zhong, Wen-Zhao</t>
  </si>
  <si>
    <t>Expression Changes in Programmed Death Ligand 1 from Precancerous Lesions to Invasive Adenocarcinoma in Subcentimeter Pulmonary Nodules: A Large Study of 2022 Cases in China</t>
  </si>
  <si>
    <t>PD-L1; Precancerous lesions; Invasive lung adenocarcinoma; Prevalence</t>
  </si>
  <si>
    <t>CELL LUNG-CANCER; PD-L1 EXPRESSION; ASSOCIATION; DOCETAXEL; NIVOLUMAB</t>
  </si>
  <si>
    <t>Purpose. This large-scale, multicenter, retrospective observational study aimed to evaluate the clinicopathological and molecular profiles associated with programmed death-ligand 1 (PD-L1) expression in precancerous lesions and invasive adenocarcinoma in subcentimeter pulmonary nodules. Patients and Methods. Patients with histologically confirmed atypical adenomatous hyperplasia (AAH), adenocarcinoma in situ (AIS), minimally invasive adenocarcinoma (MIA), and invasive adenocarcinoma (ADC) were included. PD-L1 expression was evaluated at each center using a PD-L1 immunohistochemistry 22C3 pharmDx kit (Agilent, Santa Clara, CA, USA). The tumor proportion score (TPS) cutoff values were set at = 1% and = 50%. Results. A total of 2022 nodules from 1844 patients were analyzed. Of these, 9 (0.45%) nodules had PD-L1 TPS = 50%, 187 ( 9.25%) had PD-L1 TPS 1- 49%, and 1826 ( 90.30%) had PD-L1 TPS &lt; 1%. A total of 378 (18.69%), 1016 (50.25%), and 628 (31.06%) nodules were diagnosed as AAH/AIS, MIA, and ADC, respectively, by pathology. A total of 1377 (68.10%), 591 (25.67%), and 54 (2.67%) nodules were diagnosed as pure ground-glass opacity (GGO), mixed GGO, and solid nodules, respectively, by computed tomography. There was a significant difference between PD-L1 expression and anaplastic lymphoma kinase (ALK) mutation status (P &lt; 0.001). PD-L1 expression levels were significantly different from those determined using the International Association for the Study of Lung Cancer (IASLC) grading system (P &lt; 0.001). Conclusions. PD-L1 expression was significantly associated with radiological and pathological invasiveness and driver mutation status in subcentimeter pulmonary nodules. The significance of PD-L1 expression in the evolution of early-stage lung adenocarcinoma requires further investigation.</t>
  </si>
  <si>
    <t>[Yang, Xiongwen; Qiu, Zhen-bin; Qi, Yi-fan; Zhong, Wen-Zhao] South China Univ Technol, Sch Med, Guangzhou, Peoples R China; [Yang, Xiongwen; Qiu, Zhen-bin; Qi, Yi-fan; Wang, Meng-min; Wu, Yi-Long; Zhong, Wen-Zhao] Southern Med Univ, Guangdong Acad Med Sci, Guangdong Lung Canc Inst, Guangdong Prov Key Lab Translat Med Lung Canc,Guan, Guangzhou, Peoples R China; [Xiao, Yi] Sun Yat Sen Univ, Affiliated Hosp 3, Dept Cardiothorac Surg, Guangzhou, Guangdong, Peoples R China; [Hu, Hao] Gen Hosp Southern Theater Command, Dept Radiat Therapy, Guangzhou, Peoples R China</t>
  </si>
  <si>
    <t>South China University of Technology; Southern Medical University - China; Guangdong Academy of Medical Sciences &amp; Guangdong General Hospital; Sun Yat Sen University; Southern Theater Command General Hospital</t>
  </si>
  <si>
    <t>Zhong, WZ (corresponding author), South China Univ Technol, Sch Med, Guangzhou, Peoples R China.;Zhong, WZ (corresponding author), Southern Med Univ, Guangdong Acad Med Sci, Guangdong Lung Canc Inst, Guangdong Prov Key Lab Translat Med Lung Canc,Guan, Guangzhou, Peoples R China.</t>
  </si>
  <si>
    <t>syzhongwenzhao@scut.edu.cn</t>
  </si>
  <si>
    <t>National Natural Science Foundation of China [81872510]; Guangdong Provincial People's Hospital Young Talent Project [GDPPHYTP201902]; High-level Hospital Construction Project [DFJH201801]; GDPH Scientific Research Funds for Leading Medical Talents and Distinguished Young Scholars in Guangdong Province [KJ012019449]; Guangdong Basic and Applied Basic Research Foundation [2019B1515130002]</t>
  </si>
  <si>
    <t>National Natural Science Foundation of China(National Natural Science Foundation of China (NSFC)); Guangdong Provincial People's Hospital Young Talent Project; High-level Hospital Construction Project; GDPH Scientific Research Funds for Leading Medical Talents and Distinguished Young Scholars in Guangdong Province; Guangdong Basic and Applied Basic Research Foundation</t>
  </si>
  <si>
    <t>This work was supported by the National Natural Science Foundation of China (81872510); Guangdong Provincial People's Hospital Young Talent Project (GDPPHYTP201902); High-level Hospital Construction Project (DFJH201801); GDPH Scientific Research Funds for Leading Medical Talents and Distinguished Young Scholars in Guangdong Province (No. KJ012019449); Guangdong Basic and Applied Basic Research Foundation (No. 2019B1515130002).</t>
  </si>
  <si>
    <t>10.1245/s10434-023-14009</t>
  </si>
  <si>
    <t>Q8TY1</t>
  </si>
  <si>
    <t>WOS:001060201900005</t>
  </si>
  <si>
    <t>You, PM; Liu, SB; Li, QX; Xie, DP; Yao, LT; Guo, CG; Guo, ZF; Wang, T; Qiu, HR; Guo, YZ; Li, JY; Zhou, HY</t>
  </si>
  <si>
    <t>You, Peimeng; Liu, Shengbo; Li, Qiaxuan; Xie, Daipeng; Yao, Lintong; Guo, Chenguang; Guo, Zefeng; Wang, Ting; Qiu, Hongrui; Guo, Yangzhong; Li, Junyu; Zhou, Haiyu</t>
  </si>
  <si>
    <t>Radiation-sensitive genetic prognostic model identifies individuals at risk for radiation resistance in head and neck squamous cell carcinoma</t>
  </si>
  <si>
    <t>Head and neck squamous cell carcinoma; Radiosensitivity; Radiation resistance; Tumor immune microenvironment; Immunotherapy</t>
  </si>
  <si>
    <t>TUMOR MICROENVIRONMENT; UP-REGULATION; RADIOTHERAPY; EXPRESSION; RADIORESISTANCE; HYPOXIA; IMMUNOTHERAPY; TMB</t>
  </si>
  <si>
    <t>BackgroundThe advantages of radiotherapy for head and neck squamous cell carcinoma (HNSCC) depend on the radiation sensitivity of the patient. Here, we established and verified radiological factor-related gene signature and built a prognostic risk model to predict whether radiotherapy would be beneficial.MethodsData from The Cancer Genome Atlas, Gene Expression Omnibus, and RadAtlas databases were subjected to LASSO regression, univariate COX regression, and multivariate COX regression analyses to integrate genomic and clinical information from patients with HNSCC. HNSCC radiation-related prognostic genes were identified, and patients classified into high- and low-risk groups, based on risk scores. Variations in radiation sensitivity according to immunological microenvironment, functional pathways, and immunotherapy response were investigated. Finally, the expression of HNSCC radiation-related genes was verified by qRT-PCR.ResultsWe built a clinical risk prediction model comprising a 15-gene signature and used it to divide patients into two groups based on their susceptibility to radiation: radiation-sensitive and radiation-resistant. Overall survival was significantly greater in the radiation-sensitive than the radiation-resistant group. Further, our model was an independent predictor of radiotherapy response, outperforming other clinical parameters, and could be combined with tumor mutational burden, to identify the target population with good predictive value for prognosis at 1, 2, and 3 years. Additionally, the radiation-resistant group was more vulnerable to low levels of immune infiltration, which are significantly associated with DNA damage repair, hypoxia, and cell cycle regulation. Tumor Immune Dysfunction and Exclusion scores also suggested that the resistant group would respond less favorably to immunotherapy.ConclusionsOur prognostic model based on a radiation-related gene signature has potential for application as a tool for risk stratification of radiation therapy for patients with HNSCC, helping to identify candidates for radiation therapy and overcome radiation resistance.</t>
  </si>
  <si>
    <t>[You, Peimeng; Zhou, Haiyu] Nanchang Univ, Nanchang, Peoples R China; [Liu, Shengbo] Southern Med Univ, Clin Coll Med 2, Guangzhou, Peoples R China; [Liu, Shengbo; Li, Qiaxuan; Xie, Daipeng; Yao, Lintong; Qiu, Hongrui; Zhou, Haiyu] Southern Med Univ, Guangdong Prov Peoples Hosp, Guangdong Acad Med Sci, Dept Thorac Surg, Guangzhou, Peoples R China; [Li, Qiaxuan; Yao, Lintong; Qiu, Hongrui] Shantou Univ, Med Coll, Shantou, Peoples R China; [Xie, Daipeng] Guangdong Cardiovasc Inst, Guangzhou, Peoples R China; [Guo, Chenguang; Guo, Zefeng; Wang, Ting] Guangdong Pharmaceut Univ, Affiliated Hosp 1, Dept Radiat Oncol, Guangzhou, Peoples R China; [Zhou, Haiyu] Jiangxi Lung Canc Inst, Nanchang, Peoples R China; [You, Peimeng; Guo, Yangzhong; Li, Junyu] Jiangxi Canc Hosp, Jiangxi Key Lab Translat Canc Res, Nanchang, Peoples R China</t>
  </si>
  <si>
    <t>Nanchang University; Southern Medical University - China; Guangdong Academy of Medical Sciences &amp; Guangdong General Hospital; Southern Medical University - China; Shantou University; Guangdong Pharmaceutical University</t>
  </si>
  <si>
    <t>Zhou, HY (corresponding author), Nanchang Univ, Nanchang, Peoples R China.;Zhou, HY (corresponding author), Southern Med Univ, Guangdong Prov Peoples Hosp, Guangdong Acad Med Sci, Dept Thorac Surg, Guangzhou, Peoples R China.;Zhou, HY (corresponding author), Jiangxi Lung Canc Inst, Nanchang, Peoples R China.;Li, JY (corresponding author), Jiangxi Canc Hosp, Jiangxi Key Lab Translat Canc Res, Nanchang, Peoples R China.</t>
  </si>
  <si>
    <t>ncuypm0003@163.com; shengbo-liu@foxmail.com; liqiaxuan@163.com; daipengxie@outlook.com; 15ltyao@stu.edu.cn; morningvsun@163.com; 1214151164@qq.com; wt022x@163.com; qiuhongrui@gdph.org.cn; yangzg23@foxmail.com; ndzhlyy1062@ncu.edu.cn; zhouhaiyu@gdph.org.cn</t>
  </si>
  <si>
    <t>Liu, Shengbo/JAZ-9733-2023</t>
  </si>
  <si>
    <t>Liu, Shengbo/0000-0003-0858-4787</t>
  </si>
  <si>
    <t>We appreciate the data obtained from TCGA, GEO and RadAtlas. We sincerely thank all the people involved.</t>
  </si>
  <si>
    <t>10.1007/s00432-023-05304</t>
  </si>
  <si>
    <t>Q8TN3</t>
  </si>
  <si>
    <t>WOS:001060191100001</t>
  </si>
  <si>
    <t>Zhang, MJ; Xu, WQ; Mei, H; Song, G; Ge, NC; Tao, Y; Liu, WD; Liang, GZ</t>
  </si>
  <si>
    <t>Zhang, Meijie; Xu, Wenqi; Mei, Huan; Song, Ge; Ge, Naicen; Tao, Ye; Liu, Weida; Liang, Guanzhao</t>
  </si>
  <si>
    <t>Comparative genomics predict specific genes in potential mucorales identification</t>
  </si>
  <si>
    <t>Mucorales; Comparative genomics; Target genes; Fungal virulence</t>
  </si>
  <si>
    <t>BRONCHOALVEOLAR LAVAGE; ALPHA-GALACTOSIDASE; HYPHAL FORMATION; VIRULENCE; DIAGNOSIS; ZYGOMYCOSIS; RHIZOPUS; KINASES; ASSAYS; MODEL</t>
  </si>
  <si>
    <t>Mucoralean fungi could cause mucormycosis in humans, particularly in immunodeficient individuals and those with diabetes mellitus or trauma. With plenty of species and genera, their molecular identification and pathogenicity have a large deviation. Reported cases of mucormycosis showed frequent occurrence in Rhizopus species, Mucor species, and Lichtheimia species. We analyzed the whole genome sequences of 25 species of the top 10 Mucorales genera, along with another 22 important pathogenic non-Mucorales species, to dig the target genes for monitoring Mucorales species and identify potential genomic imprints of virulence in them. Mucorales-specific genes have been found in various orthogroups extracted by Python script, while genus-specific genes were annotated covering cellular structure, biochemistry metabolism, molecular processing, and signal transduction. Proteins related to the virulence of Mucorales species varied with distinct significance in copy numbers, in which Orthofinder was conducted. Based on our fresh retrospective analysis of mucormycosis, a comparative genomic analysis of pathogenic Mucorales was conducted in more frequent pathogens. Specific orthologs between Mucorales and non-Mucoralean pathogenic fungi were discussed in detail. Referring to the previously reported virulence proteins, we included more frequent pathogenic Mucorales and compared them in Mucorales species and non-Mucorales species. Besides, more samples are needed to further verify the potential target genes.</t>
  </si>
  <si>
    <t>[Zhang, Meijie; Xu, Wenqi; Mei, Huan; Song, Ge; Ge, Naicen; Liu, Weida; Liang, Guanzhao] Chinese Acad Med Sci &amp; Peking Union Med Coll, Inst Dermatol, Dept Med Mycol, Nanjing 210042, Peoples R China; [Zhang, Meijie] Zhejiang Univ, Affiliated Hosp 2, Dept Dermatol, Dept Oncol,Sch Med, Hangzhou 310003, Peoples R China; [Tao, Ye] Shanghai Biozeron Biotechnol Co Ltd, Shanghai 201800, Peoples R China; [Liu, Weida] Nanjing Med Univ, Ctr Global Hlth, Sch Publ Hlth, Nanjing 211166, Peoples R China; [Xu, Wenqi; Mei, Huan; Ge, Naicen; Liu, Weida; Liang, Guanzhao] Jiangsu Key Lab Mol Biol Skin Dis &amp; STIs, Nanjing 210042, Peoples R China; [Ge, Naicen; Liu, Weida; Liang, Guanzhao] CAMS Collect Ctr Pathogen Microorganisms D CAMS CC, Nanjing 210042, Peoples R China; [Song, Ge] Capital Med Univ, Beijing Shijitan Hosp, Dept Dermatol, Beijing 100038, Peoples R China</t>
  </si>
  <si>
    <t>Chinese Academy of Medical Sciences - Peking Union Medical College; Institute of Dermatology - CAMS; Peking Union Medical College; Zhejiang University; Nanjing Medical University; Capital Medical University</t>
  </si>
  <si>
    <t>Liu, WD; Liang, GZ (corresponding author), Chinese Acad Med Sci &amp; Peking Union Med Coll, Inst Dermatol, Dept Med Mycol, Nanjing 210042, Peoples R China.;Liu, WD (corresponding author), Nanjing Med Univ, Ctr Global Hlth, Sch Publ Hlth, Nanjing 211166, Peoples R China.;Liu, WD; Liang, GZ (corresponding author), Jiangsu Key Lab Mol Biol Skin Dis &amp; STIs, Nanjing 210042, Peoples R China.;Liu, WD; Liang, GZ (corresponding author), CAMS Collect Ctr Pathogen Microorganisms D CAMS CC, Nanjing 210042, Peoples R China.</t>
  </si>
  <si>
    <t>liuwd@pumcderm.cams.cn; guanzhaoguan@126.com</t>
  </si>
  <si>
    <t>National Natural Science Foundation of China [81471905, 82373495]; Nanjing Incubation Program for National Clinical Research Center [2019060001]; National Science and Technology Infrastructure of China [NPRC-32]</t>
  </si>
  <si>
    <t>National Natural Science Foundation of China(National Natural Science Foundation of China (NSFC)); Nanjing Incubation Program for National Clinical Research Center; National Science and Technology Infrastructure of China</t>
  </si>
  <si>
    <t>This work was supported by the National Natural Science Foundation of China, grant number 81471905 and 82373495; the Nanjing Incubation Program for National Clinical Research Center, grant number 2019060001; the National Science and Technology Infrastructure of China, grant number National Pathogen Resource Center-NPRC-32.</t>
  </si>
  <si>
    <t>10.1007/s00203-023-03659-w</t>
  </si>
  <si>
    <t>Q3UC0</t>
  </si>
  <si>
    <t>WOS:001056792200001</t>
  </si>
  <si>
    <t>Zhao, JP; Tan, ZS; Wang, WX; Yu, RS; Wang, JJ; Li, ZL</t>
  </si>
  <si>
    <t>Zhao, Jinpeng; Tan, Zhongsheng; Wang, Wuxian; Yu, Rongsen; Wang, Jianjiang; Li, Zonglin</t>
  </si>
  <si>
    <t>Study on the large deformation control technology of a single-hole double-track railway tunnel</t>
  </si>
  <si>
    <t>Double-track railway; Soft rock tunnel; Large deformation control; On-site monitoring</t>
  </si>
  <si>
    <t>WUSHAOLING TUNNEL; BEHAVIOR; MECHANISM; STRESS</t>
  </si>
  <si>
    <t>Due to the influence of soft rock with high geostress, large deformation is prone to occur during tunnel construction. Since it relies on the Yuntunbao Tunnel of the Chengdu - Lanzhou Railway, regarding the large deformation of soft rock, a control concept was proposed in this study through theoretical and on-site investigations and testing; the large deformation control technology involved an advanced support, which is a combination of yielding and resistance and coordinated bearing, with a corresponding support system. The applicability levels of two and three phases of a large deformation tunnel were compared and analyzed. The research results showed that with large deformation, the presupport of forepoling umbrellas could effectively control the settlement of the tunnel crown and ensure the stability of the excavation face in the soft rock tunnel. By assembling long bolts, double-layer initial supports, and grouting behind the supports, the problems of rock intruding the limit and the initial support failure of large deformation tunnels could be effectively solved. Relative to the two phases, although the construction process of the three phases was more complex, the cumulative deformation of the tunnel was only 63 - 70% of that of the two phases; this phenomenon was more conducive for controlling tunnel deformation. The stress of the steel frame at the tunnel spandrel was smaller than that of the two phases. Consequently, three phases were more suitable for constructing large deformation tunnels in soft rock strata.</t>
  </si>
  <si>
    <t>[Zhao, Jinpeng; Tan, Zhongsheng; Yu, Rongsen; Li, Zonglin] Beijing Jiaotong Univ, Key Lab Urban Underground Engn, Minist Educ, Beijing 100044, Peoples R China; [Zhao, Jinpeng; Tan, Zhongsheng; Yu, Rongsen; Li, Zonglin] Beijing Jiaotong Univ, Beijing 100044, Peoples R China; [Wang, Wuxian] China Railway 16th Bur Grp Co Ltd, Beijing 100018, Peoples R China; [Wang, Jianjiang] Second Engn Co Ltd, China Railway 16th Bur Grp, Tianjin 300162, Peoples R China</t>
  </si>
  <si>
    <t>Beijing Jiaotong University; Beijing Jiaotong University</t>
  </si>
  <si>
    <t>Yu, RS (corresponding author), Beijing Jiaotong Univ, Key Lab Urban Underground Engn, Minist Educ, Beijing 100044, Peoples R China.;Yu, RS (corresponding author), Beijing Jiaotong Univ, Beijing 100044, Peoples R China.</t>
  </si>
  <si>
    <t>rosenyut@163.com</t>
  </si>
  <si>
    <t>Zhao, Jinpeng/AAE-5170-2022</t>
  </si>
  <si>
    <t>Zhao, Jinpeng/0000-0003-4661-1758</t>
  </si>
  <si>
    <t>National Natural Science Foundation of China [51678034]</t>
  </si>
  <si>
    <t>The authors acknowledge the National Natural Science Foundation of China (Grant No. 51678034).</t>
  </si>
  <si>
    <t>10.1007/s10064-023-03375-1</t>
  </si>
  <si>
    <t>O3HR1</t>
  </si>
  <si>
    <t>WOS:001042766500003</t>
  </si>
  <si>
    <t>Zhou, GT; Wang, YL; Qi, TG; Zhou, QS; Liu, GH; Peng, ZH; Li, XB</t>
  </si>
  <si>
    <t>Zhou, Guotao; Wang, Yilin; Qi, Tiangui; Zhou, Qiusheng; Liu, Guihua; Peng, Zhihong; Li, Xiaobin</t>
  </si>
  <si>
    <t>Comparison of the effects of Ti- and Si-containing minerals on goethite transformation in the Bayer digestion of goethitic bauxite</t>
  </si>
  <si>
    <t>goethite; magnetite; kaolinite; anatase; Bayer digestion</t>
  </si>
  <si>
    <t>AL-SUBSTITUTED GOETHITE; GIBBSITIC BAUXITE; IN-SITU; RED MUD; IRON; HEMATITE; DESILICATION; CONVERSION; CHEMISTRY; RECOVERY</t>
  </si>
  <si>
    <t>Goethitic bauxite is a widely used raw material in the alumina industry. It is an essential prerequisite to clarify the effect of Ti- and Si-containing minerals on goethite transformation in the Bayer digestion process, which could efficiently utilize the Fe- and Al-containing minerals present in goethitic bauxite. In this work, the interactions between anatase or kaolinite with goethite during various Bayer digestion processes were investigated using X-ray diffraction (XRD), X-ray photoelectron spectroscopy (XPS), transmission electron microscopy (TEM), and scanning electron microscopy (SEM). The results showed that anatase and kaolinite hindered the transformation of goethite. Anatase exerted more significant effects than kaolinite due to the dense sodium titanate layer on the goethite surface after reacting with the sodium aluminate solution. Adding the reductant hydrazine hydrate could eliminate the retarding effect by inducing the transformation of goethite into magnetite. In this process, titanium was embedded into the magnetite lattice to form Ti-containing magnetite. Furthermore, the weakening of the interaction between magnetite and sodium aluminosilicate hydrate reduced the influence of kaolinite. As a validation of the above results, the reductive Bayer method resulted in the transformation of goethite into goethitic bauxite with 98.87% relative alumina digestion rate. The obtained red mud with 72.99wt% Fe2O3 could be further utilized in the steel industry. This work provides a clear understanding of the transformative effects of Ti- and Si-containing minerals on iron mineral transformation and aids the comprehensive use of iron and aluminum in goethitic bauxite subjected to the reductive Bayer method.</t>
  </si>
  <si>
    <t>[Zhou, Guotao; Wang, Yilin; Qi, Tiangui; Zhou, Qiusheng; Liu, Guihua; Peng, Zhihong; Li, Xiaobin] Cent South Univ, Sch Met &amp; Environm, Changsha 410083, Peoples R China</t>
  </si>
  <si>
    <t>Wang, YL; Li, XB (corresponding author), Cent South Univ, Sch Met &amp; Environm, Changsha 410083, Peoples R China.</t>
  </si>
  <si>
    <t>wang.yi.lin@outlook.com; x.b.li@csu.edu.cn</t>
  </si>
  <si>
    <t>The authors gratefully appreciate the financial support provided by the National Natural Science Foundation of China (No. 52104353) and the National Key Research and Development Program of China (No. 2022YFC3900900). [2022YFC3900900]; National Natural Science Foundation of China; National Key Research and Development Program of China; [52104353]</t>
  </si>
  <si>
    <t>The authors gratefully appreciate the financial support provided by the National Natural Science Foundation of China (No. 52104353) and the National Key Research and Development Program of China (No. 2022YFC3900900).; National Natural Science Foundation of China(National Natural Science Foundation of China (NSFC)); National Key Research and Development Program of China;</t>
  </si>
  <si>
    <t>The authors gratefully appreciate the financial support provided by the National Natural Science Foundation of China (No. 52104353) and the National Key Research and Development Program of China (No. 2022YFC3900900).</t>
  </si>
  <si>
    <t>10.1007/s12613-023-2628-3</t>
  </si>
  <si>
    <t>WOS:001054759000007</t>
  </si>
  <si>
    <t>Zhu, BW; Yu, YL</t>
  </si>
  <si>
    <t>Zhu, Bo-Wen; Yu, Yong-Liang</t>
  </si>
  <si>
    <t>Aerodynamic analysis of bionic cylindrical rib-supporting wings in plunging and flapping motions</t>
  </si>
  <si>
    <t>ACTA MECHANICA SINICA</t>
  </si>
  <si>
    <t>Rib-supporting wing; Flapping; Aerodynamics; Bat flight</t>
  </si>
  <si>
    <t>LEADING-EDGE; FLAT-PLATE; BAT; FLIGHT; FORCES; COMPUTATIONS; GENERATION; MECHANISMS; KINEMATICS; THICKNESS</t>
  </si>
  <si>
    <t>A simplified rectangular thin-wing model with a spanwise rib is proposed to investigate the influence of the front limb and fingers embedded in the bat membrane wing on aerodynamics. The leading edge rib-enhanced wing (LRW) and the middle rib-enhanced wing (MRW) have been studied numerically in two-dimensional plunging and three-dimensional flapping motions. It is found that the aerodynamic features of the plunging and flapping wings are similar, i.e., the spanwise cylindrical rib only affects the chordwise forces on the model wings and almost does not change the normal forces. In particular, the leading edge rib-supporting structure increases the thrust due to the large region of low pressure on the rib's head when the wing moves in moderate or large amplitudes. When the rib is placed far away from the leading edge, the influence decreases rapidly. Furthermore, the effects of spanwise rib-enhanced wing are independent of Reynolds number when it is greater than 1000. The present study can assist in the design of rib-enhanced wings for bionic flapping-wing air vehicles.</t>
  </si>
  <si>
    <t>[Zhu, Bo-Wen; Yu, Yong-Liang] Univ Chinese Acad Sci, Lab Biomech Anim Locomot, Beijing 100049, Peoples R China</t>
  </si>
  <si>
    <t>Chinese Academy of Sciences; University of Chinese Academy of Sciences, CAS</t>
  </si>
  <si>
    <t>Yu, YL (corresponding author), Univ Chinese Acad Sci, Lab Biomech Anim Locomot, Beijing 100049, Peoples R China.</t>
  </si>
  <si>
    <t>ylyu@ucas.ac.cn</t>
  </si>
  <si>
    <t>National Natural Science Foundation of China [12172355, 11672291]; Fundamental Research Funds for the Central Universities [E1E42201]</t>
  </si>
  <si>
    <t>National Natural Science Foundation of China(National Natural Science Foundation of China (NSFC)); Fundamental Research Funds for the Central Universities(Fundamental Research Funds for the Central Universities)</t>
  </si>
  <si>
    <t>AcknowledgementsThis work was supported by the National Natural Science Foundation of China (Grant Nos. 12172355 and 11672291), and the Fundamental Research Funds for the Central Universities (Grant No. E1E42201).</t>
  </si>
  <si>
    <t>0567-7718</t>
  </si>
  <si>
    <t>1614-3116</t>
  </si>
  <si>
    <t>ACTA MECH SINICA-PRC</t>
  </si>
  <si>
    <t>Acta Mech. Sin.</t>
  </si>
  <si>
    <t>10.1007/s10409-023-22495-x</t>
  </si>
  <si>
    <t>I7VC4</t>
  </si>
  <si>
    <t>WOS:001004816600004</t>
  </si>
  <si>
    <t>Zhu, DX; Xu, YY; Chu, LJ; Wu, XJ; He, B; Li, XH</t>
  </si>
  <si>
    <t>Zhu, De-Xing; Xu, Yang-Yang; Chu, Li-Jia; Wu, Xi-Jun; He, Biao; Li, Xiao-Hua</t>
  </si>
  <si>
    <t>Two-proton radioactivity from excited states of proton-rich nuclei within Coulomb and Proximity Potential Model</t>
  </si>
  <si>
    <t>NUCLEAR SCIENCE AND TECHNIQUES</t>
  </si>
  <si>
    <t>2p radioactivity; CPPM; Half-lives; Excited state</t>
  </si>
  <si>
    <t>LIGHT NUCLEI; DECAY; EMISSION; RESONANCE; ISOTOPES</t>
  </si>
  <si>
    <t>In the present work, we extend the Coulomb and Proximity Potential Model (CPPM) to study two-proton (2p) radioactivity from excited states while the proximity potential is chosen as AW95 proposed by Aage Withner in 1995. Demonstration reveals that the theoretical results acquired by CPPM exhibit a high level of consistency with prior theoretical models such as the unified fission model (UFM), generalized liquid-drop model (GLDM) and effective liquid-drop model (ELDM). Furthermore, within the CPPM, we predicted the half-lives of potential 2p radioactive nuclei for which experimental data are currently unavailable. The predicted results were then assessed, compared with UFM, ELDM and GLDM models, and examined in detail.</t>
  </si>
  <si>
    <t>[Zhu, De-Xing; Xu, Yang-Yang; Li, Xiao-Hua] Univ South China, Sch Nucl Sci &amp; Technol, Hengyang 421001, Peoples R China; [Chu, Li-Jia] Anhui Univ Sci &amp; Technol, Dept Chem Engn, Huainan 232001, Peoples R China; [Wu, Xi-Jun] Univ South China, Sch Math &amp; Phys, Hengyang 421001, Peoples R China; [He, Biao] Cent South Univ, Coll Phys &amp; Elect, Changsha 410083, Peoples R China; [Li, Xiao-Hua] Univ South China, Natl Exemplary Base Int Sci &amp; Tech, Collaborat Nucl Energy &amp; Nucl Safety, Hengyang 421001, Peoples R China; [Li, Xiao-Hua] Univ South China, Cooperat Innovat Ctr Nucl Fuel Cycle Technol &amp; Equ, Hengyang 421001, Peoples R China; [Li, Xiao-Hua] Hunan Normal Univ, Minist Educ, Key Lab Low Dimens Quantum Struct &amp; Quantum Contro, Changsha 410081, Peoples R China</t>
  </si>
  <si>
    <t>University of South China; Anhui University of Science &amp; Technology; University of South China; Central South University; University of South China; University of South China; Hunan Normal University</t>
  </si>
  <si>
    <t>Li, XH (corresponding author), Univ South China, Sch Nucl Sci &amp; Technol, Hengyang 421001, Peoples R China.;Wu, XJ (corresponding author), Univ South China, Sch Math &amp; Phys, Hengyang 421001, Peoples R China.;Li, XH (corresponding author), Univ South China, Natl Exemplary Base Int Sci &amp; Tech, Collaborat Nucl Energy &amp; Nucl Safety, Hengyang 421001, Peoples R China.;Li, XH (corresponding author), Univ South China, Cooperat Innovat Ctr Nucl Fuel Cycle Technol &amp; Equ, Hengyang 421001, Peoples R China.;Li, XH (corresponding author), Hunan Normal Univ, Minist Educ, Key Lab Low Dimens Quantum Struct &amp; Quantum Contro, Changsha 410081, Peoples R China.</t>
  </si>
  <si>
    <t>wuxijun1980@yahoo.cn; lixiaohuaphysics@126.com</t>
  </si>
  <si>
    <t>National Natural Science Foundation of China [12175100, 11975132]; Construct Program of the Key Discipline in Hunan Province; Research Foundation of Education Bureau of Hunan Province, China [18A237]; Natural Science Foundation of Hunan Province, China [2018JJ2321]; Innovation Group of Nuclear and Particle Physics in USC; Opening Project of Cooperative Innovation Center for Nuclear Fuel Cycle Technology and Equipment, University of South China [2019KFZ10]</t>
  </si>
  <si>
    <t>National Natural Science Foundation of China(National Natural Science Foundation of China (NSFC)); Construct Program of the Key Discipline in Hunan Province; Research Foundation of Education Bureau of Hunan Province, China; Natural Science Foundation of Hunan Province, China(Natural Science Foundation of Hunan Province); Innovation Group of Nuclear and Particle Physics in USC; Opening Project of Cooperative Innovation Center for Nuclear Fuel Cycle Technology and Equipment, University of South China</t>
  </si>
  <si>
    <t>This work was supported by the National Natural Science Foundation of China (Nos. 12175100 and 11975132), the Construct Program of the Key Discipline in Hunan Province, the Research Foundation of Education Bureau of Hunan Province, China (No. 18A237), the Natural Science Foundation of Hunan Province, China (No. 2018JJ2321), the Innovation Group of Nuclear and Particle Physics in USC, the Opening Project of Cooperative Innovation Center for Nuclear Fuel Cycle Technology and Equipment, University of South China (No. 2019KFZ10).</t>
  </si>
  <si>
    <t>1001-8042</t>
  </si>
  <si>
    <t>2210-3147</t>
  </si>
  <si>
    <t>NUCL SCI TECH</t>
  </si>
  <si>
    <t>Nucl. Sci. Tech.</t>
  </si>
  <si>
    <t>10.1007/s41365-023-01268-2</t>
  </si>
  <si>
    <t>Nuclear Science &amp; Technology; Physics, Nuclear</t>
  </si>
  <si>
    <t>Nuclear Science &amp; Technology; Physics</t>
  </si>
  <si>
    <t>R0UY9</t>
  </si>
  <si>
    <t>WOS:001061592500001</t>
  </si>
  <si>
    <t>Akhtar, MJ; Khan, SA</t>
  </si>
  <si>
    <t>Akhtar, Md Jawaid; Khan, Shah Alam</t>
  </si>
  <si>
    <t>Chemistry and Biological Activity of Mustard Oil: Therapeutic Benefits and Risk to Healthcare</t>
  </si>
  <si>
    <t>REVISTA BRASILEIRA DE FARMACOGNOSIA-BRAZILIAN JOURNAL OF PHARMACOGNOSY</t>
  </si>
  <si>
    <t>Erucic acid; Anti-inflammatory; Antimicrobial; Cytotoxic; Antidiabetic; Antioxidant</t>
  </si>
  <si>
    <t>CHAIN FATTY-ACID; NF-KAPPA-B; ALLYL-ISOTHIOCYANATE; BRASSICA-JUNCEA; ERUCIC-ACID; ANTIOXIDANT ACTIVITY; ANTIMICROBIAL ACTIVITY; ARGEMONE OIL; NITRIC-OXIDE; SEED OIL</t>
  </si>
  <si>
    <t>Over the years, extensive research on mustard oil has revealed the presence of isothiocyanates as pungent toxic compounds and erucic acids as possible health risks. Hence, strategies are needed to remove or reduce the isocyanates and erucic contents while processing the mustard oil. Conversely, due to the presence of monounsaturated fatty acids and omega-3 fatty acids, e.g., erucic acid and &amp; alpha;-linolenic acid, mustard oil possesses hypolipidemic effect. The oil rich in erucic acid has demonstrated anti-inflammatory and antioxidant effect that may help in the prevention of obesity-induced metabolic disorders, melanoma, and the Parkinson's disease. The hypolipidemic effects further potentiate the antidiabetic effect. The presence of allyl isothiocyanate has promising anticancer evidenced by the cell cycle arrest at the G2/M phase. Mustard oil chemical compounds showed antimicrobial action against several pathogenic microorganisms and proved to be useful for active antimicrobial packaging. A few of the studies also reported its antioxidant and antiviral activities. Studies confirmed that allyl isothiocyanate from mustard oil has anti-inflammatory potential when applied topically. The economically motivated adulteration of mustard oil with argemone needs further analytical investigation. Further consideration of the mustard oil benefits-risk ratio and mustard oil optimization are required to improve its health-boosting properties.</t>
  </si>
  <si>
    <t>[Akhtar, Md Jawaid; Khan, Shah Alam] Natl Univ Sci &amp; Technol, Coll Pharm, Dept Pharmaceut Chem, PB 620,PC 130, Bousher, Muscat, Oman</t>
  </si>
  <si>
    <t>National University of Science &amp; Technology, Oman</t>
  </si>
  <si>
    <t>Akhtar, MJ (corresponding author), Natl Univ Sci &amp; Technol, Coll Pharm, Dept Pharmaceut Chem, PB 620,PC 130, Bousher, Muscat, Oman.</t>
  </si>
  <si>
    <t>mjawaid@nu.edu.om</t>
  </si>
  <si>
    <t>The authors thank the College of Pharmacy, National University of Science and Technology, Bowsher campus, Muscat, for their continuous support.; College of Pharmacy, National University of Science and Technology</t>
  </si>
  <si>
    <t>The authors thank the College of Pharmacy, National University of Science and Technology, Bowsher campus, Muscat, for their continuous support.</t>
  </si>
  <si>
    <t>0102-695X</t>
  </si>
  <si>
    <t>1981-528X</t>
  </si>
  <si>
    <t>REV BRAS FARMACOGN</t>
  </si>
  <si>
    <t>Rev. Bras. Farmacogn.-Braz. J. Pharmacogn.</t>
  </si>
  <si>
    <t>2023 AUG 31</t>
  </si>
  <si>
    <t>10.1007/s43450-023-00450-2</t>
  </si>
  <si>
    <t>AUG 2023</t>
  </si>
  <si>
    <t>Chemistry, Medicinal; Pharmacology &amp; Pharmacy</t>
  </si>
  <si>
    <t>R1GL7</t>
  </si>
  <si>
    <t>WOS:001061894600001</t>
  </si>
  <si>
    <t>Amiri, S; Rajabi, A; Shabanlou, S; Yosefvand, F; Izadbakhsh, MA</t>
  </si>
  <si>
    <t>Amiri, Siamak; Rajabi, Ahmad; Shabanlou, Saeid; Yosefvand, Fariborz; Izadbakhsh, Mohammad Ali</t>
  </si>
  <si>
    <t>Prediction of groundwater level variations using deep learning methods and GMS numerical model</t>
  </si>
  <si>
    <t>GWL prediction; GMS; Hybrid Models; LSTM; LS-SVM; ORELM</t>
  </si>
  <si>
    <t>CLIMATE-CHANGE; SURFACE-WATER; MACHINE; RESOURCES; IMPACT</t>
  </si>
  <si>
    <t>One of the key elements of the hydrogeological cycle and a variable used by many water resource operating models is the variation in groundwater level (GWL). One of the biggest obstacles to the drawdown analysis and GWL forecasts is the absence of accurate and complete data. The application of diverse numerical models has been regarded as a reliable approach in recent years. Such models are able to determine the GWL for any given region by utilising a wide variety of statistics, data, and field measurements such as pumping experiments, geophysics, soil and land use maps, topography and slope data, a plethora of boundary conditions, and the application of complex equations. Artificial intelligence-based models need significantly less information. The purpose of this research is to predict the changes of GWL of Shazand plain by using the PSO-ANN, ACA-ANN hybrid methods and deep learning methods LSTM, LS-SVM, and ORELM and comparing with GMS numerical model. The model's accuracy is evaluated using a two-stage validation and verification process. Then Taylor's diagram was used to select the best model. Results show that ORELM with R, Nash, RMSE and NRMSE values equal to 0.977, 0.955, 0.512 and 0.058 respectively was the best performance in the test stage. After that is the PSO-ANN model. Using the Taylor diagram is another certain way to guarantee that you've picked the best possible model. The research results show that there is a link between the ORELM and the place that is most central to the reference point. Since the GMS model is complex and requires a large amount of data and a time-consuming calibration and validation process, the ORELM model can be utilised with certainty to predict the GWL across the entire plain. This research suggests that instead of using numerical models with a complex and time-consuming structure, deep learning methods with the least required data and with high accuracy should be used to forecast the groundwater level.</t>
  </si>
  <si>
    <t>[Amiri, Siamak; Rajabi, Ahmad; Shabanlou, Saeid; Yosefvand, Fariborz; Izadbakhsh, Mohammad Ali] Islamic Azad Univ, Dept Water Engn, Kermanshah Branch, Kermanshah, Iran</t>
  </si>
  <si>
    <t>Rajabi, A (corresponding author), Islamic Azad Univ, Dept Water Engn, Kermanshah Branch, Kermanshah, Iran.</t>
  </si>
  <si>
    <t>siamak_amiri2001@yahoo.com; ahmad.rajabi1974@gmail.com; saeid.shabanlou@gmail.com; fariborzyosefvand@gmail.com; izadbakhsh.mohammad.ali@gmail.com</t>
  </si>
  <si>
    <t>s12145-023-01052-1</t>
  </si>
  <si>
    <t>10.1007/s12145-023-01052-1</t>
  </si>
  <si>
    <t>R2FO7</t>
  </si>
  <si>
    <t>WOS:001062555000001</t>
  </si>
  <si>
    <t>Antoniou, T; McCormack, D; Fell, DB; Kwong, JC; Gomes, T</t>
  </si>
  <si>
    <t>Antoniou, Tony; McCormack, Daniel; Fell, Deshayne B.; Kwong, Jeffrey C.; Gomes, Tara</t>
  </si>
  <si>
    <t>Impact of national recommendations for routine pertussis vaccination during pregnancy on infant pertussis in Ontario, Canada: a population-based time-series study</t>
  </si>
  <si>
    <t>BMC PREGNANCY AND CHILDBIRTH</t>
  </si>
  <si>
    <t>Pertussis; Infant; Vaccine; Tdap; Time series analysis</t>
  </si>
  <si>
    <t>ORDINARY LEAST-SQUARES; ACELLULAR PERTUSSIS; DIPHTHERIA; TETANUS; INFLUENZA</t>
  </si>
  <si>
    <t>Background In February 2018, Canada's National Advisory Committee on Immunization (NACI) recommended antenatal tetanus-diphtheria-acellular pertussis (Tdap) immunization in every pregnancy regardless of previous Tdap immunization history. We examined the impact of the NACI recommendation on rates of infant pertussis in Ontario, Canada.Methods We conducted a population-based time-series study of all live births in Ontario between August 1, 2011 and February 28, 2020. We used interventional autoregressive integrated moving average models to examine the impact of the NACI recommendation on monthly rates of pertussis among infants &amp; LE; 3 months of age.Results We observed 675 incident cases of pertussis among 1,368,024 infants 3 months of age or less between August 2011 and February 2020. The average monthly percent change in infant pertussis during the period up to and including publication of the NACI guidance and the period following publication were 0.0% (95% CI: -0.4-0.3%) and - 0.8% (95% CI -2.3% to -0.1%), respectively. Following interventional ARIMA modelling, publication of the NACI guidance was not associated with a statistically significant decrease in the monthly pertussis incidence trend (-0.67 cases per 100,000 infants; p = 0.73).Conclusion Publication of national recommendations for antenatal Tdap immunization in every pregnancy did not significantly reduce infant pertussis rates. This may reflect the persistently low rate of antenatal vaccination following publication of the recommendations. Expanding the scope of practice of allied health care providers to include antenatal Tdap immunization and patient education regarding antenatal pertussis immunization should be considered to further optimize uptake of vaccination.</t>
  </si>
  <si>
    <t>[Antoniou, Tony; Gomes, Tara] St Michaels Hosp, Li Ka Shing Knowledge Inst, Toronto, ON, Canada; [Antoniou, Tony; McCormack, Daniel; Fell, Deshayne B.; Kwong, Jeffrey C.; Gomes, Tara] ICES, Toronto, ON, Canada; [Antoniou, Tony; Kwong, Jeffrey C.; Gomes, Tara] Univ Toronto, Toronto, ON, Canada; [Antoniou, Tony] St Michaels Hosp, Dept Family &amp; Community Med, Toronto, ON, Canada; [Fell, Deshayne B.] Childrens Hosp Eastern Ontario Res Inst, Ottawa, ON, Canada; [Fell, Deshayne B.] Univ Ottawa, Sch Epidemiol &amp; Publ Hlth, Ottawa, ON, Canada; [Kwong, Jeffrey C.] Publ Hlth Ontario, Toronto, ON, Canada</t>
  </si>
  <si>
    <t>University of Toronto; Saint Michaels Hospital Toronto; Li Ka Shing Knowledge Institute; University of Toronto; University of Toronto; University of Toronto; Saint Michaels Hospital Toronto; University of Ottawa; Children's Hospital of Eastern Ontario; University of Ottawa</t>
  </si>
  <si>
    <t>Antoniou, T (corresponding author), St Michaels Hosp, Li Ka Shing Knowledge Inst, Toronto, ON, Canada.;Antoniou, T (corresponding author), ICES, Toronto, ON, Canada.;Antoniou, T (corresponding author), Univ Toronto, Toronto, ON, Canada.;Antoniou, T (corresponding author), St Michaels Hosp, Dept Family &amp; Community Med, Toronto, ON, Canada.</t>
  </si>
  <si>
    <t>tony.antoniou@unityhealth.to</t>
  </si>
  <si>
    <t>1471-2393</t>
  </si>
  <si>
    <t>BMC PREGNANCY CHILDB</t>
  </si>
  <si>
    <t>BMC Pregnancy Childbirth</t>
  </si>
  <si>
    <t>AUG 31</t>
  </si>
  <si>
    <t>10.1186/s12884-023-05938-2</t>
  </si>
  <si>
    <t>Q7VG8</t>
  </si>
  <si>
    <t>WOS:001059559100001</t>
  </si>
  <si>
    <t>Bahr, TM; Christensen, TR; Cheatham, LS; Page, JM; Christensen, RD</t>
  </si>
  <si>
    <t>Bahr, Timothy M.; Christensen, Thomas R.; Cheatham, Lillian S.; Page, Jessica M.; Christensen, Robert D.</t>
  </si>
  <si>
    <t>Feasibility of a non-invasive method to assess fetal hemolysis in utero during the third trimester</t>
  </si>
  <si>
    <t>TIDAL CARBON-MONOXIDE</t>
  </si>
  <si>
    <t>[Bahr, Timothy M.; Christensen, Robert D.] Intermt Hlth, Obstet &amp; Neonatal Operat, Murray, UT 84107 USA; [Bahr, Timothy M.; Christensen, Robert D.] Univ Utah, Dept Pediat, Div Neonatol, Salt Lake City, UT 84112 USA; [Christensen, Thomas R.] Univ Utah, Salt Lake City, UT USA; [Cheatham, Lillian S.] Univ Georgia, Athens, GA USA; [Page, Jessica M.] Intermt Hlth, Div Maternal Fetal Med, Murray, UT USA; [Page, Jessica M.] Univ Utah, Dept Obstet &amp; Gynecol, Div Maternal Fetal Med, Salt Lake City, UT USA</t>
  </si>
  <si>
    <t>Intermountain Healthcare; Intermountain Medical Center; Utah System of Higher Education; University of Utah; Utah System of Higher Education; University of Utah; University System of Georgia; University of Georgia; Intermountain Healthcare; Intermountain Medical Center; Utah System of Higher Education; University of Utah</t>
  </si>
  <si>
    <t>Bahr, TM (corresponding author), Intermt Hlth, Obstet &amp; Neonatal Operat, Murray, UT 84107 USA.;Bahr, TM (corresponding author), Univ Utah, Dept Pediat, Div Neonatol, Salt Lake City, UT 84112 USA.</t>
  </si>
  <si>
    <t>tim.bahr@imail.org</t>
  </si>
  <si>
    <t>Bahr, Timothy/0000-0002-7946-0290; Christensen, Robert/0000-0001-5872-582X</t>
  </si>
  <si>
    <t>We thank Sasikarn Pakdeeto MD, Neonatology, Mahidol University, Bangkok, Thailand for the original illustration and for reviewing the manuscript. We also thank Molly Adams, Intermountain Health Research, for assistance with the IRB review. We also thank Pa; Terry Rees MT</t>
  </si>
  <si>
    <t>We thank Sasikarn Pakdeeto MD, Neonatology, Mahidol University, Bangkok, Thailand for the original illustration and for reviewing the manuscript. We also thank Molly Adams, Intermountain Health Research, for assistance with the IRB review. We also thank Paul Vanasco MT(ASCP) and Terry Rees MT(ASCP)(SBB) of the Intermountain Health Transfusion Service for expert technical assistance. We also thank Robert L. Andres MD, Paul W. Whitecar MD, Douglas S. Richards MD, and Ibrahim A. Hammad, MD for referring patients for study.</t>
  </si>
  <si>
    <t>10.1038/s41372-023-01764-8</t>
  </si>
  <si>
    <t>R6AY7</t>
  </si>
  <si>
    <t>WOS:001065172000001</t>
  </si>
  <si>
    <t>Bandini, S; Briola, D; Dennunzio, A; Gasparini, F; Giltri, M; Vizzari, G</t>
  </si>
  <si>
    <t>Bandini, Stefania; Briola, Daniela; Dennunzio, Alberto; Gasparini, Francesca; Giltri, Marta; Vizzari, Giuseppe</t>
  </si>
  <si>
    <t>Distance-based affective states in cellular automata pedestrian simulation</t>
  </si>
  <si>
    <t>NATURAL COMPUTING</t>
  </si>
  <si>
    <t>Cellular automata; Pedestrian simulation; Experimental data; Affective state modeling</t>
  </si>
  <si>
    <t>PERSONAL-SPACE; CROWD; MOVEMENT; DYNAMICS; BEHAVIOR; MODEL</t>
  </si>
  <si>
    <t>Cellular Automata have successfully been successfully applied to the modeling and simulation of pedestrian and crowd dynamics. In particular, the investigated scenarios have often been focused on the evaluation of medium-high population density situations, in which the motivation of pedestrians to reach a certain location overcomes their tendency to naturally respect proxemic distances. The global COVID-19 outbreak, though, has shown that sometimes it is crucial to contemplate how proxemic tendencies are emphasized and amplified by the affective state of the individuals involved in the scenario, representing an important factor to take into consideration when investigating the behaviour of a crowd. In this paper we present a research effort aimed at integrating results of quantitative analyses regarding the effects of affective states on the perception of distances maintained by different types of pedestrians with the modeling of pedestrian movement choices in a cellular automata framework.</t>
  </si>
  <si>
    <t>[Bandini, Stefania; Briola, Daniela; Dennunzio, Alberto; Gasparini, Francesca; Giltri, Marta; Vizzari, Giuseppe] Univ Milano Bicocca, Dept Informat Syst &amp; Commun, Viale Sarca 336, I-20126 Milan, Italy; [Bandini, Stefania] Univ Tokyo, RCAST Res Ctr Adv Sci &amp; Technol, Komaba Campus 4-6-1,Meguro ku, Tokyo 1538904, Japan</t>
  </si>
  <si>
    <t>University of Milano-Bicocca; University of Tokyo</t>
  </si>
  <si>
    <t>Bandini, S (corresponding author), Univ Milano Bicocca, Dept Informat Syst &amp; Commun, Viale Sarca 336, I-20126 Milan, Italy.;Bandini, S (corresponding author), Univ Tokyo, RCAST Res Ctr Adv Sci &amp; Technol, Komaba Campus 4-6-1,Meguro ku, Tokyo 1538904, Japan.</t>
  </si>
  <si>
    <t>stefania.bandini@unimib.it; daniela.briola@unimib.it; alberto.dennunzio@unimib.it; francesca.gasparini@unimib.it; marta.giltri@unimib.it; giuseppe.vizzari@unimib.it</t>
  </si>
  <si>
    <t>Universitadegli Studi di Milano-Bicocca within the CRUI-CARE Agreement; Fondazione Cariplo; European Union Next-Generation EU [1.4 -D.D. 1033 17/06/2022, CN00000023]</t>
  </si>
  <si>
    <t>Universitadegli Studi di Milano-Bicocca within the CRUI-CARE Agreement; Fondazione Cariplo(Fondazione Cariplo); European Union Next-Generation EU</t>
  </si>
  <si>
    <t>Open access funding provided by Universitadegli Studi di Milano-Bicocca within the CRUI-CARE Agreement. This research is partially supported by Fondazione Cariplo, for the project LONGEVICITY-Social Inclusion for the Elderly through Walkability (Ref. 2017-0938). Daniela Briola and Giuseppe Vizzari carried out this work within the context of MOST-Sustainable Mobility National Research Center and received funding from the European Union Next-Generation EU (Piano Nazionale di Ripresa e Resilienza (PNRR) -Missione 4 Componente 2, Investimento 1.4 -D.D. 1033 17/06/2022, CN00000023). Stefania Bandini and Francesca Gasparini carried out this work with the co-funding of the European Union-Next Generation EU, in the context of The National Recovery and Resi-lience Plan (PNRR), Investment Partenariato Esteso PE8 Con-seguenze e sfide dell'invecchiamento, Project Age-It (Ageing Well in an Ageing Society). This manuscript reflects only the authors' views and opinions, the funding agencies cannot be considered responsible for them.</t>
  </si>
  <si>
    <t>1567-7818</t>
  </si>
  <si>
    <t>1572-9796</t>
  </si>
  <si>
    <t>NAT COMPUT</t>
  </si>
  <si>
    <t>Nat. Comput.</t>
  </si>
  <si>
    <t>10.1007/s11047-023-09957</t>
  </si>
  <si>
    <t>Computer Science, Artificial Intelligence; Computer Science, Interdisciplinary Applications; Computer Science, Theory &amp; Methods</t>
  </si>
  <si>
    <t>R2FV9</t>
  </si>
  <si>
    <t>WOS:001062562600001</t>
  </si>
  <si>
    <t>Bhat, P; Patil, N</t>
  </si>
  <si>
    <t>Bhat, Prajna; Patil, Nagamma</t>
  </si>
  <si>
    <t>An exhaustive review of computational prediction techniques for PPI sites, protein locations, and protein functions</t>
  </si>
  <si>
    <t>NETWORK MODELING AND ANALYSIS IN HEALTH INFORMATICS AND BIOINFORMATICS</t>
  </si>
  <si>
    <t>Protein-protein interaction site; Protein localization; Protein function; F-score; Precision; Recall; Accuracy; Matthews correlation coefficient</t>
  </si>
  <si>
    <t>SEQUENCE-BASED PREDICTION; BINDING-PROTEINS; LOCALIZATION; TRANSLOCATION; FINGERPRINTS; RESIDUES; NETWORK</t>
  </si>
  <si>
    <t>The field of proteomics encompasses a comprehensive examination of proteins, encompassing their structural properties, interactions with other biomolecules, subcellular localization, functional roles, interaction sites, regions of disorder, and exploring novel protein designs. Each of these domains interlinks, contributing valuable information to the study of each other part. Extensive research in most of these areas has given rise to many more challenges that require further exploration. This review mainly concentrates on prediction approaches for protein-protein interaction sites, protein subcellular locations, and protein functions. We provide an exhaustive collection of several latest works in the above three domains, along with a digest of their descriptions in the most recent times. We conclude the review by highlighting the existing challenges and emphasizing the need for a deeper exploration of the research gaps in these studies.</t>
  </si>
  <si>
    <t>[Bhat, Prajna; Patil, Nagamma] Natl Inst Technol Karnataka, Dept Informat Technol, Mangalore 575025, Karnataka, India</t>
  </si>
  <si>
    <t>National Institute of Technology (NIT System); National Institute of Technology Karnataka</t>
  </si>
  <si>
    <t>Bhat, P (corresponding author), Natl Inst Technol Karnataka, Dept Informat Technol, Mangalore 575025, Karnataka, India.</t>
  </si>
  <si>
    <t>prajnaudupa.217it002@nitk.edu.in; nagammapatil@nitk.edu.in</t>
  </si>
  <si>
    <t>2192-6662</t>
  </si>
  <si>
    <t>2192-6670</t>
  </si>
  <si>
    <t>NETW MODEL ANAL HLTH</t>
  </si>
  <si>
    <t>Netw. Model. Anal. Health</t>
  </si>
  <si>
    <t>10.1007/s13721-023-00427-0</t>
  </si>
  <si>
    <t>Mathematical &amp; Computational Biology</t>
  </si>
  <si>
    <t>Q6FH4</t>
  </si>
  <si>
    <t>WOS:001058455400001</t>
  </si>
  <si>
    <t>Ed-Dahmouny, A; Arraoui, R; Jaouane, M; Fakkahi, A; Sali, A; Es-Sbai, N; El-Bakkari, K; Zeiri, N; Duque, CA</t>
  </si>
  <si>
    <t>Ed-Dahmouny, A.; Arraoui, R.; Jaouane, M.; Fakkahi, A.; Sali, A.; Es-Sbai, N.; El-Bakkari, K.; Zeiri, N.; Duque, C. A.</t>
  </si>
  <si>
    <t>The influence of the electric and magnetic fields on donor impurity electronic states and optical absorption coefficients in a core/shell GaAs/Al0.33Ga0.67As ellipsoidal quantum dot</t>
  </si>
  <si>
    <t>PHOTOIONIZATION CROSS-SECTION; CONDUCTION-BAND NONPARABOLICITY; BINDING-ENERGY; CORE-SHELL; INTENSE LASER; NANOSTRUCTURES; TEMPERATURE; PRESSURE; WELL; FEM</t>
  </si>
  <si>
    <t>The lowest five energies levels (ELs) and optical absorption coefficient (OAC) of confined donor in a core/shell ellipsoidal quantum dot were theoretically investigated under the impacts of applied electric and magnetic fields. The energy spectrum and wave functions are generated by solving the Schrodinger equation with the finite element method. External magnetic or electric fields and their directions have a considerable effect on the energy levels and dipole matrix element. The computations revealed that changing the directions of the external fields causes a change in the energy levels, implying that OAC fluctuations of these transitions are closely tied to magnetic and electric field angles. We also, demonstrated that changes in light polarization cause blue- or red-shifts in the intersubband OAC spectra, depending on the orientations of the two external fields and the existence or absence of an impurity (k = 0, 1). Furthermore, in all cases, the insertion of a on-center impurity somewhat enhances the OAC peaks and shifts the resonant peaks.</t>
  </si>
  <si>
    <t>[Ed-Dahmouny, A.; Es-Sbai, N.] Sidi Mohamed Ben Abdellah Univ, Fac Sci &amp; Technol, Lab Intelligent Syst Georesources &amp; Renewable Ener, Fes 2202, Morocco; [Arraoui, R.; Jaouane, M.; Fakkahi, A.; Sali, A.; El-Bakkari, K.] Sidi Mohamed Ben Abdellah Univ, Fac Sci Dhar Mahraz, Dept Phys, Lab Solid State Phys, Fes 1796, Morocco; [Zeiri, N.] Fac Sci Monastir, Dept Phys, Lab Matiere Condensee &amp; Nanosci LMCN, Monastir 5019, Tunisia; [Duque, C. A.] Univ Antioquia UdeA, Fac Ciencias Exactas &amp; Nat, Grp Mat Condensada UdeA, Inst Fis, Calle 70 52-21, Medellin, Colombia</t>
  </si>
  <si>
    <t>Sidi Mohamed Ben Abdellah University of Fez; Sidi Mohamed Ben Abdellah University of Fez; Universite de Monastir; Universidad de Antioquia</t>
  </si>
  <si>
    <t>Duque, CA (corresponding author), Univ Antioquia UdeA, Fac Ciencias Exactas &amp; Nat, Grp Mat Condensada UdeA, Inst Fis, Calle 70 52-21, Medellin, Colombia.</t>
  </si>
  <si>
    <t>ayoub.eddahmouny@usmba.ac.ma; reda.arraoui@usmba.ac.ma; mohammed.jaouane@gmail.com; abdofakkahi@gmail.com; ahmed.sali@usmba.ac.ma; najia.essbai@usmba.ac.ma; elbakkari.kamal@gmail.com; zeirinabil@gmail.com; carlos.duque1@udea.edu.co</t>
  </si>
  <si>
    <t>Ed-Dahmouny, Ayoub/GNM-8199-2022</t>
  </si>
  <si>
    <t>Ed-Dahmouny, Ayoub/0000-0003-4390-853X</t>
  </si>
  <si>
    <t>10.1140/epjp/s13360-023-04281-x</t>
  </si>
  <si>
    <t>Q7WC3</t>
  </si>
  <si>
    <t>WOS:001059580900003</t>
  </si>
  <si>
    <t>Girotra, M; Chiang, YH; Charmoy, M; Ginefra, P; Hope, HC; Bataclan, C; Yu, YR; Schyrr, F; Franco, F; Geiger, H; Cherix, S; Ho, PC; Naveiras, O; Auwerx, J; Held, W; Vannini, N</t>
  </si>
  <si>
    <t>Girotra, Mukul; Chiang, Yi-Hsuan; Charmoy, Melanie; Ginefra, Pierpaolo; Hope, Helen Carrasco; Bataclan, Charles; Yu, Yi-Ru; Schyrr, Frederica; Franco, Fabien; Geiger, Hartmut; Cherix, Stephane; Ho, Ping-Chih; Naveiras, Olaia; Auwerx, Johan; Held, Werner; Vannini, Nicola</t>
  </si>
  <si>
    <t>Induction of mitochondrial recycling reverts age-associated decline of the hematopoietic and immune systems</t>
  </si>
  <si>
    <t>NATURE AGING</t>
  </si>
  <si>
    <t>STEM-CELLS; METABOLIC-REGULATION; FUNCTIONAL DECLINE; ENERGY-METABOLISM; MITOPHAGY; UROLITHIN; HEALTH; HOMEOSTASIS; MAINTAINS; SIGNATURE</t>
  </si>
  <si>
    <t>Aging compromises hematopoietic and immune system functions, making older adults especially susceptible to hematopoietic failure, infections and tumor development, and thus representing an important medical target for a broad range of diseases. During aging, hematopoietic stem cells (HSCs) lose their blood reconstitution capability and commit preferentially toward the myeloid lineage (myeloid bias)1,2. These processes are accompanied by an aberrant accumulation of mitochondria in HSCs3. The administration of the mitochondrial modulator urolithin A corrects mitochondrial function in HSCs and completely restores the blood reconstitution capability of 'old' HSCs. Moreover, urolithin A-supplemented food restores lymphoid compartments, boosts HSC function and improves the immune response against viral infection in old mice. Altogether our results demonstrate that boosting mitochondrial recycling reverts the aging phenotype in the hematopoietic and immune systems.</t>
  </si>
  <si>
    <t>[Girotra, Mukul; Chiang, Yi-Hsuan; Ginefra, Pierpaolo; Hope, Helen Carrasco; Yu, Yi-Ru; Franco, Fabien; Ho, Ping-Chih; Vannini, Nicola] Univ Lausanne, Ludwig Inst Canc Res, Dept Oncol, Epalinges, Switzerland; [Charmoy, Melanie; Held, Werner] Univ Lausanne, Dept Oncol, Epalinges, Switzerland; [Bataclan, Charles; Schyrr, Frederica; Naveiras, Olaia] Univ Lausanne, Dept Biomed Sci, Lab Regenerat Hematopoiesis, Lausanne, Switzerland; [Bataclan, Charles; Schyrr, Frederica; Naveiras, Olaia] Ecole Polytech Fed Lausanne, Sch Life Sci, ISREC, Lausanne, Switzerland; [Geiger, Hartmut] Ulm Univ, Inst Mol Med, Ulm, Germany; [Cherix, Stephane] Lausanne Univ Hosp, Orthoped &amp; Traumatol Serv, Lausanne, Switzerland; [Naveiras, Olaia] Lausanne Univ Hosp, Dept Oncol, Hematol Serv, Lausanne, Switzerland; [Auwerx, Johan] Ecole Polytech Fed Lausanne, Inst Bioengn, Lab Integrat &amp; Syst Physiol, Lausanne, Switzerland</t>
  </si>
  <si>
    <t>Ludwig Institute for Cancer Research; University of Lausanne; University of Lausanne; University of Lausanne; Swiss Institute Experimental Cancer Research; Swiss Federal Institutes of Technology Domain; Ecole Polytechnique Federale de Lausanne; Ulm University; University of Lausanne; Centre Hospitalier Universitaire Vaudois (CHUV); University of Lausanne; Centre Hospitalier Universitaire Vaudois (CHUV); Swiss Federal Institutes of Technology Domain; Ecole Polytechnique Federale de Lausanne</t>
  </si>
  <si>
    <t>Vannini, N (corresponding author), Univ Lausanne, Ludwig Inst Canc Res, Dept Oncol, Epalinges, Switzerland.</t>
  </si>
  <si>
    <t>nicola.vannini@unil.ch</t>
  </si>
  <si>
    <t>Vannini, Nicola/0000-0002-6351-7512; Naveiras, Olaia/0000-0003-3434-0022; Carrasco Hope, Helen/0000-0001-5583-4510</t>
  </si>
  <si>
    <t>Jebsen Foundation; Swiss Cancer Research Foundation; San Salvatore Foundation; EPFL; European Research Council [EPFL/UNIL]; Swiss National Science Foundation (SNSF) [KFS-4993-02-2020-R]; National Research Foundation of Korea; SNSF; Cancer Research Institute [ERC-AdG-787702, CRSII5-186271]; [802773-MitoGuide]; [31003A_179435]; [2017K1A1A2013124]; [323530_183986]; [PP00P3_183725]; [31003A_182470]; [310030_200898]</t>
  </si>
  <si>
    <t>Jebsen Foundation; Swiss Cancer Research Foundation; San Salvatore Foundation; EPFL; European Research Council(European Research Council (ERC)); Swiss National Science Foundation (SNSF)(Swiss National Science Foundation (SNSF)); National Research Foundation of Korea(National Research Foundation of Korea); SNSF(Swiss National Science Foundation (SNSF)); Cancer Research Institute; ; ; ; ; ; ;</t>
  </si>
  <si>
    <t>We thank G. Coukos (LICR, University of Lausanne (UNIL), Centre Hospitalier Universitaire Vaudois) for critical feedback and F. Derouet (UNIL) for animal care. Flow cytometry analysis and sorting was performed at the Flow Cytometry Facility at UNIL with the help of R. Bedel, F. Sala de Oyanguren, K. Blackney and A. Wilson. We thank Nestle Health Science for their suggestions about the study. M.G. was partially funded by a collaborative Jebsen Foundation grant (EPFL/UNIL) to N.V. and O.N. The N.V. laboratory is supported by the Swiss Cancer Research Foundation (KFS-4993-02-2020-R) and San Salvatore Foundation. The J.A. laboratory is supported by grants from EPFL, the European Research Council (ERC-AdG-787702), the Swiss National Science Foundation (SNSF) (31003A_179435) and a Global Research Laboratory grant of the National Research Foundation of Korea (2017K1A1A2013124). F.S. is supported by the SNSF (323530_183986). The O.N. laboratory was supported by SNSF grant nos. PP00P3_183725 and CRSII5-186271. P.-C.H. is funded in part by the European Research Council Staring Grant (802773-MitoGuide), an SNSF project grant (no. 31003A_182470), the Cancer Research Institute (Lloyd J. Old STAR Award) and LICR. W.H. is funded in part by a grant from the SNSF (no. 310030_200898). All the funders had no role in study design, data collection and analysis, decision to publish or preparation of the manuscript.</t>
  </si>
  <si>
    <t>2662-8465</t>
  </si>
  <si>
    <t>Nature Aging</t>
  </si>
  <si>
    <t>10.1038/s43587-023-00473-3</t>
  </si>
  <si>
    <t>Cell Biology; Geriatrics &amp; Gerontology; Neurosciences</t>
  </si>
  <si>
    <t>Cell Biology; Geriatrics &amp; Gerontology; Neurosciences &amp; Neurology</t>
  </si>
  <si>
    <t>R2HK6</t>
  </si>
  <si>
    <t>WOS:001062604600001</t>
  </si>
  <si>
    <t>Haghish, EF; Czajkowski, N</t>
  </si>
  <si>
    <t>Haghish, E. F.; Czajkowski, Nikolai</t>
  </si>
  <si>
    <t>Reconsidering False Positives in Machine Learning Binary Classification Models of Suicidal Behavior</t>
  </si>
  <si>
    <t>Suicide risk assessment; Adolescence suicide prevention; Supervised machine learning; False positive; Classification error; Psychometrics</t>
  </si>
  <si>
    <t>SELF-HARM; RISK; POPULATION; FEATURES</t>
  </si>
  <si>
    <t>We posit the hypothesis that False Positive cases (FP) in machine learning classification models of suicidal behavior are at risk of suicidal behavior and should not be seen as sheer classification error. We trained an XGBoost classification model using survey data from 173,663 Norwegian adolescents and compared the classification groups for several suicide-related mental health indicators, such as depression, anxiety, psychological distress, and non-suicidal self-harm. The results showed that as the classification is made at higher risk thresholds - corresponding to higher specificity levels - the severity of anxiety and depression symptoms of the FP and True Positive cases (TP) become significantly more similar. In addition, psychological distress and non-suicidal self-harm were found to be highly prevalent among the FP group, indicating that they are indeed at risk. These findings demonstrate that FP are a relevant risk group for potential suicide prevention programs and should not be dismissed. Although our findings support the hypothesis, we account for limitations that should be examined in future longitudinal studies. Furthermore, we elaborate on the rationale of the hypothesis, potential implications, and its applicability to other mental health outcomes.</t>
  </si>
  <si>
    <t>[Haghish, E. F.; Czajkowski, Nikolai] Univ Oslo, Dept Psychol, POB 1094,Blindern, N-0317 Oslo, Norway; [Czajkowski, Nikolai] Norwegian Inst Publ Hlth, Dept Mental Disorders, Oslo, Norway</t>
  </si>
  <si>
    <t>Haghish, EF (corresponding author), Univ Oslo, Dept Psychol, POB 1094,Blindern, N-0317 Oslo, Norway.</t>
  </si>
  <si>
    <t>haghish@uio.no</t>
  </si>
  <si>
    <t>10.1007/s12144-023-05174</t>
  </si>
  <si>
    <t>R2FG1</t>
  </si>
  <si>
    <t>WOS:001062546200001</t>
  </si>
  <si>
    <t>Ho, ISS; Mcgill, K; Malden, S; Wilson, C; Pearce, C; Kaner, E; Vines, J; Aujla, N; Lewis, S; Restocchi, V; Marshall, A; Guthrie, B</t>
  </si>
  <si>
    <t>Ho, Iris Szu-Szu; Mcgill, Kris; Malden, Stephen; Wilson, Cara; Pearce, Caroline; Kaner, Eileen; Vines, John; Aujla, Navneet; Lewis, Sue; Restocchi, Valerio; Marshall, Alan; Guthrie, Bruce</t>
  </si>
  <si>
    <t>Examining the social networks of older adults receiving informal or formal care: a systematic review</t>
  </si>
  <si>
    <t>Older adults; Social networks; Informal care; Formal care; Healthy aging</t>
  </si>
  <si>
    <t>SUPPORT NETWORKS; CAREGIVING NETWORKS; HELPING NETWORKS; INNER-CITY; PEOPLE; HEALTH; HOME; COMMUNITY; DEMENTIA; SERVICES</t>
  </si>
  <si>
    <t>PurposeTo address the care needs of older adults, it is important to identify and understand the forms of care support older adults received. This systematic review aims to examine the social networks of older adults receiving informal or formal care and the factors that influenced their networks.MethodsA systematic review was conducted by searching six databases from inception to January 31, 2023. The review included primary studies focusing on older adults receiving long-term care, encompassing both informal and formal care. To assess the risk of bias in the included studies, validated appraisal tools specifically designed for different study types were utilized. Network analysis was employed to identify the grouping of study concepts, which subsequently formed the foundation for describing themes through narrative synthesis.ResultsWe identified 121 studies relating to the formal and informal care of older adults' networks. A variety of social ties were examined by included studies. The most commonly examined sources of care support were family members (such as children and spouses) and friends. Several factors were consistently reported to influence the provision of informal care, including the intensity of networks, reciprocity, and geographical proximity. In terms of formal care utilization, older age and poor health status were found to be associated with increased use of healthcare services. Additionally, physical limitations and cognitive impairment were identified as factors contributing to decreased social engagement.ConclusionThis review found that older people were embedded within a diverse network. The findings of this review emphasize the importance of recognizing and incorporating the diversity of social networks in care plans and policies to enhance the effectiveness of interventions and improve the overall well-being of older adults.</t>
  </si>
  <si>
    <t>[Ho, Iris Szu-Szu; Mcgill, Kris; Malden, Stephen; Wilson, Cara; Pearce, Caroline; Kaner, Eileen; Aujla, Navneet; Lewis, Sue; Guthrie, Bruce] Univ Edinburgh, Usher Inst, Adv Care Res Ctr, Bio Cube 1,Edinburgh BioQuarter,13 Little France R, Edinburgh EH16 4UX, Scotland; [Malden, Stephen; Lewis, Sue] Univ Edinburgh, Sch Med, Sch Hlth Social Sci, Doorway 6,Teviot Pl, Edinburgh EH8 9AG, Scotland; [Wilson, Cara] Univ Edinburgh, Inst Educ Community &amp; Soc, Old Moray House,Holyrood Rd, Edinburgh EH8 8AQ, Scotland; [Pearce, Caroline] Univ Edinburgh, Edinburgh Coll Art, 74 Lauriston Pl, Edinburgh EH3 9DF, Scotland; [Kaner, Eileen; Aujla, Navneet] Newcastle Univ, Populat Hlth Sci Inst, Baddiley Clark Bldg, Newcastle Upon Tyne NE2 4AX, England; [Ho, Iris Szu-Szu; Vines, John; Restocchi, Valerio] Univ Edinburgh, Informat Forum, Sch Informat, 10 Crichton St, Edinburgh EH8 9AB, Scotland; [Marshall, Alan] Univ Edinburgh, Sch Social &amp; Polit Sci, 15a George Sq, Edinburgh EH8 9LD, Scotland; [Ho, Iris Szu-Szu] Bayes Ctr, 47 Potterow, Edinburgh EH8 9BT, Scotland</t>
  </si>
  <si>
    <t>University of Edinburgh; University of Edinburgh; University of Edinburgh; University of Edinburgh; Newcastle University - UK; University of Edinburgh; University of Edinburgh</t>
  </si>
  <si>
    <t>Ho, ISS (corresponding author), Univ Edinburgh, Usher Inst, Adv Care Res Ctr, Bio Cube 1,Edinburgh BioQuarter,13 Little France R, Edinburgh EH16 4UX, Scotland.;Ho, ISS (corresponding author), Univ Edinburgh, Informat Forum, Sch Informat, 10 Crichton St, Edinburgh EH8 9AB, Scotland.;Ho, ISS (corresponding author), Bayes Ctr, 47 Potterow, Edinburgh EH8 9BT, Scotland.</t>
  </si>
  <si>
    <t>iris.s.s.ho@ed.ac.uk</t>
  </si>
  <si>
    <t>We would like to thank Dr Guillermo Romero Moreno for his advice on network analysis for this review. We also would like to thank the Legal and General Group for their support of this research. The funder had no role in conduct of the study, interpretation; NIHR Senior Investigator Award; National Institute of Health and Care Research (NIHR) Applied Research Collaboration (ARC) North-East and North Cumbria; Centre for Doctoral Training in Biomedical AI - UK Research and Innovation; [NIHR200173]</t>
  </si>
  <si>
    <t>We would like to thank Dr Guillermo Romero Moreno for his advice on network analysis for this review. We also would like to thank the Legal and General Group for their support of this research. The funder had no role in conduct of the study, interpretation; NIHR Senior Investigator Award; National Institute of Health and Care Research (NIHR) Applied Research Collaboration (ARC) North-East and North Cumbria; Centre for Doctoral Training in Biomedical AI - UK Research and Innovation;</t>
  </si>
  <si>
    <t>We would like to thank Dr Guillermo Romero Moreno for his advice on network analysis for this review. We also would like to thank the Legal and General Group for their support of this research. The funder had no role in conduct of the study, interpretation or the decision to submit for publication. The views expressed are those of the authors and not necessarily those of Legal and General. EK is supported by an NIHR Senior Investigator Award and is Director of the National Institute of Health and Care Research (NIHR) Applied Research Collaboration (ARC) North-East and North Cumbria (NENC) (NIHR200173). NA is also partly funded by the National Institute of Health and Care Research (NIHR) Applied Research Collaboration (ARC) North-East and North Cumbria (NENC) (NIHR200173). The NIHR have not had any role in the design, implementation, analysis, write-up and/or dissemination of this research. The views expressed are those of the authors and not necessarily those of NIHR. Iris Szu-Szu Ho has also been receiving support from the Centre for Doctoral Training in Biomedical AI, generously funded by the UK Research and Innovation. This support is crucial in advancing the progress of the ongoing review.</t>
  </si>
  <si>
    <t>10.1186/s12877-023-04190-9</t>
  </si>
  <si>
    <t>Q2AK4</t>
  </si>
  <si>
    <t>WOS:001055593900001</t>
  </si>
  <si>
    <t>Li, JN; Yang, JQ; Shi, SL; Li, YH; Han, L; Liang, SS</t>
  </si>
  <si>
    <t>Li, Jinna; Yang, Jianqiang; Shi, Sulan; Li, Yanhong; Han, Lei; Liang, Shasha</t>
  </si>
  <si>
    <t>Initial Geostress in Underground Cavities Obtained by In Situ Measurements and BP-ANN Inversion</t>
  </si>
  <si>
    <t>Underground cavities; Geostress; In situ measurements; BP-ANN; Inversion analysis</t>
  </si>
  <si>
    <t>STRESS; DEPTH</t>
  </si>
  <si>
    <t>The law of change and distribution characteristics of initial geostress field (IGF) for rock mass under complex tectonic geological environment were investigated for the purpose of guiding design and support construction. This research employed hydrofracturing technique and a stress relief method to test the IGF in underground cavities. By integrating strong nonlinear mapping function of back-propagation artificial neural network (BP-ANN), BP-ANN was used to determine the nonlinear mapping relationships between the boundary displacement, mechanical parameters (elastic modulus, Poisson's ratio) and geostress of rock mass in underground cavities. A comparative analysis of the cycle involving in situ measurement of geostress &amp; RARR; BP-ANN &amp; RARR; inversion of geostress values, the IGF and geostress field characteristics of underground cavities could be obtained. This method provides guidance and reference for research into the IGF of rock masses under complex geological conditions.</t>
  </si>
  <si>
    <t>[Li, Jinna; Han, Lei; Liang, Shasha] Zhangjiakou Vocat &amp; Tech Coll, Zhangjiakou 075000, Hebei, Peoples R China; [Yang, Jianqiang] China South North Water Transfer Grp Middle Route, Beijing 100036, Peoples R China; [Shi, Sulan] Zhangjiakou Yanghe River Affairs Ctr, Zhangjiakou 075431, Hebei, Peoples R China; [Li, Yanhong] Hebei Univ Architecture, Zhangjiakou 075000, Hebei, Peoples R China</t>
  </si>
  <si>
    <t>Hebei University of Architecture</t>
  </si>
  <si>
    <t>Li, JN (corresponding author), Zhangjiakou Vocat &amp; Tech Coll, Zhangjiakou 075000, Hebei, Peoples R China.</t>
  </si>
  <si>
    <t>ljn326@126.com</t>
  </si>
  <si>
    <t>10.1007/s10706-023-02604-4</t>
  </si>
  <si>
    <t>R2FH9</t>
  </si>
  <si>
    <t>WOS:001062548100002</t>
  </si>
  <si>
    <t>Long, Q; Wen, Y; Li, J</t>
  </si>
  <si>
    <t>Long, Qing; Wen, Yong; Li, Jun</t>
  </si>
  <si>
    <t>Milligan-Morgan hemorrhoidectomy combined with non-doppler hemorrhoidal artery ligation for the treatment of grade III/IV hemorrhoids: a single centre retrospective study</t>
  </si>
  <si>
    <t>BMC GASTROENTEROLOGY</t>
  </si>
  <si>
    <t>Milligan-Morgan hemorrhoidectomy (MMH); Non-Doppler hemorrhoidal artery ligation (ND-HAL); Hemorrhoids; Complication</t>
  </si>
  <si>
    <t>PRACTICE GUIDELINES; MANAGEMENT; DISEASE; PAIN; DEARTERIALIZATION; MUCOPEXY; EFFICACY; SOCIETY</t>
  </si>
  <si>
    <t>Background Milligan-Morgan hemorrhoidectomy (MMH) is the most widely used surgical procedure because of its precise curative effect, but it has the disadvantages such as obvious postoperative pain and bleeding. To retrospectively evaluate the efficacy and safety of MMH combined with non-Doppler hemorrhoidal artery ligation (MMH + NDHAL) for the treatment of grade III/IV hemorrhoids.Methods We conducted a retrospective analysis of 115 patients with grade III/IV hemorrhoids, 53 patients had received MMH + ND-HAL, and the remaining 62 patients received MMH. We collected and compared demographic and clinical characteristics of both groups, including intraoperative blood loss, postoperative visual analog scale (VAS) for pain, analgesic consumption, postoperative bleeding, perianal incision edema, urinary retention, anal stenosis, anal incontinence incidence, recurrence rate (prolapse or bleeding), and patient satisfaction.Results The VAS pain score of the first postoperative defecation and at the postoperative 12 h, 1 day, 2 days, 3 days, and 7 days, as well as the total analgesic consumption within 7 days, for the MMH + ND-HAL group were lower than those for the MMH group (P &lt; 0.05). The intraoperative blood loss, the incidence of postoperative bleeding, perianal incision edema, and urinary retention in the MMH + ND-HAL group was lower than that in the MMH group (P &lt; 0.05). No anal stenosis or anal incontinence occurred in either group. At follow-up by telephone or outpatient 12 months after surgery, the recurrence rate (prolapse or bleeding) was lower in the MMH + ND-HAL group than in the MMH group (P &lt; 0.05), and satisfaction was higher in the MMH + ND-HAL group than in the MMH group (P &lt; 0.05).Conclusions MMH + ND-HAL was a satisfactory surgical modality for treating III/IV hemorrhoids.</t>
  </si>
  <si>
    <t>[Long, Qing; Wen, Yong; Li, Jun] Southwest Med Univ, Dept Tradit Chinese Med, Affiliated Hosp, Luzhou 646000, Sichuan, Peoples R China</t>
  </si>
  <si>
    <t>Southwest Medical University</t>
  </si>
  <si>
    <t>Li, J (corresponding author), Southwest Med Univ, Dept Tradit Chinese Med, Affiliated Hosp, Luzhou 646000, Sichuan, Peoples R China.</t>
  </si>
  <si>
    <t>ljadoctor@swmu.edu.cn</t>
  </si>
  <si>
    <t>We thank all authors for their contributions to the article.</t>
  </si>
  <si>
    <t>1471-230X</t>
  </si>
  <si>
    <t>BMC GASTROENTEROL</t>
  </si>
  <si>
    <t>BMC Gastroenterol.</t>
  </si>
  <si>
    <t>10.1186/s12876-023-02933-x</t>
  </si>
  <si>
    <t>Gastroenterology &amp; Hepatology</t>
  </si>
  <si>
    <t>R0SZ8</t>
  </si>
  <si>
    <t>WOS:001061540700002</t>
  </si>
  <si>
    <t>Martyniuk, P; Wang, P; Rogalski, A; Gu, Y; Jiang, RQ; Wang, F; Hu, WD</t>
  </si>
  <si>
    <t>Martyniuk, Piotr; Wang, Peng; Rogalski, Antoni; Gu, Yue; Jiang, Ruiqi; Wang, Fang; Hu, Weida</t>
  </si>
  <si>
    <t>Infrared avalanche photodiodes from bulk to 2D materials</t>
  </si>
  <si>
    <t>IMPACT-IONIZATION; LOW-NOISE; PHOTO-DIODES; BROAD-BAND; MU-M; PHOTODETECTORS; GAIN; TEMPERATURE; WAVELENGTH; PHOTORESPONSE</t>
  </si>
  <si>
    <t>Avalanche photodiodes (APDs) have drawn huge interest in recent years and have been extensively used in a range of fields including the most important one-optical communication systems due to their time responses and high sensitivities. This article shows the evolution and the recent development of A(III)B(V), A(III)B(VI), and potential alternatives to formerly mentioned-third wave superlattices (SL) and two-dimensional (2D) materials infrared (IR) APDs. In the beginning, the APDs fundamental operating principle is demonstrated together with progress in architecture. It is shown that the APDs evolution has moved the device's performance towards higher bandwidths, lower noise, and higher gain-bandwidth products. The material properties to reach both high gain and low excess noise for devices operating in different wavelength ranges were also considered showing the future progress and the research direction. More attention was paid to advances in A(III)B(V) APDs, such as AlInAsSb, which may be used in future optical communications, type-II superlattice (T2SLs, Ga-based and Ga-free), and 2D materials-based IR APDs. The latter-atomically thin 2D materials exhibit huge potential in APDs and could be considered as an alternative material to the well-known, sophisticated, and developed A(III)B(V) APD technologies to include single-photon detection mode. That is related to the fact that conventional bulk materials APDs' performance is restricted by reasonably high dark currents. One approach to resolve that problem seems to be implementing low-dimensional materials and structures as the APDs' active regions. The Schottky barrier and atomic level thicknesses lead to the 2D APD dark current significant suppression. What is more, APDs can operate within visible (VIS), near-infrared (NIR)/mid-wavelength infrared range (MWIR), with a responsivity similar to 80 A/W, external quantum efficiency similar to 24.8%, gain similar to 10(5) for MWIR [wavelength, lambda = 4 mu m, temperature, T = 10-180 K, Black Phosphorous (BP)/InSe APD]. It is believed that the 2D APD could prove themselves to be an alternative providing a viable method for device fabrication with simultaneous high-performance-sensitivity and low excess noise.</t>
  </si>
  <si>
    <t>[Martyniuk, Piotr; Rogalski, Antoni] Mil Univ Technol, Inst Appl Phys, 2 Kaliskiego St, PL-00908 Warsaw, Poland; [Martyniuk, Piotr; Wang, Peng; Gu, Yue; Jiang, Ruiqi; Wang, Fang; Hu, Weida] Chinese Acad Sci, Shanghai Inst Tech Phys, State Key Lab Infrared Phys, 500 Yu Tian Rd, Shanghai, Peoples R China</t>
  </si>
  <si>
    <t>Military University of Technology in Warsaw; Chinese Academy of Sciences; Shanghai Institute of Technical Physics, CAS</t>
  </si>
  <si>
    <t>Martyniuk, P (corresponding author), Mil Univ Technol, Inst Appl Phys, 2 Kaliskiego St, PL-00908 Warsaw, Poland.;Martyniuk, P (corresponding author), Chinese Acad Sci, Shanghai Inst Tech Phys, State Key Lab Infrared Phys, 500 Yu Tian Rd, Shanghai, Peoples R China.</t>
  </si>
  <si>
    <t>piotr.martyniuk@wat.edu.pl</t>
  </si>
  <si>
    <t>Hu, Weida/D-7449-2012</t>
  </si>
  <si>
    <t>Hu, Weida/0000-0001-5278-8969; Martyniuk, Piotr/0000-0003-1963-3521</t>
  </si>
  <si>
    <t>National Science Centre, Poland-grant [UMO-2019/33/B/ST7/00614, UMO-2021/41/B/ST7/01532]; Science and Technology Commission of Shanghai Municipality [23WZ2500400]</t>
  </si>
  <si>
    <t>National Science Centre, Poland-grant(National Science Centre, Poland); Science and Technology Commission of Shanghai Municipality(Science &amp; Technology Commission of Shanghai Municipality (STCSM))</t>
  </si>
  <si>
    <t>This research was funded by The National Science Centre, Poland-grant nos. UMO-2019/33/B/ST7/00614, UMO-2021/41/B/ST7/01532, and Science and Technology Commission of Shanghai Municipality-grant no. 23WZ2500400.</t>
  </si>
  <si>
    <t>10.1038/s41377-023-01259-3</t>
  </si>
  <si>
    <t>Q7WX9</t>
  </si>
  <si>
    <t>WOS:001059602500003</t>
  </si>
  <si>
    <t>Moussa, C; Patel, YJ; Dunjko, V; Baeck, T; van Rijn, JN</t>
  </si>
  <si>
    <t>Moussa, Charles; Patel, Yash J.; Dunjko, Vedran; Baeck, Thomas; van Rijn, Jan N.</t>
  </si>
  <si>
    <t>Hyperparameter importance and optimization of quantum neural networks across small datasets</t>
  </si>
  <si>
    <t>MACHINE LEARNING</t>
  </si>
  <si>
    <t>Hyperparameter importance; Quantum neural networks; Quantum machine learning; Hyperparameter optimization</t>
  </si>
  <si>
    <t>As restricted quantum computers become available, research focuses on finding meaningful applications. For example, in quantum machine learning, a special type of quantum circuit called a quantum neural network is one of the most investigated approaches. However, we know little about suitable circuit architectures or important model hyperparameters for a given task. In this work, we apply the functional ANOVA framework to the quantum neural network architectures to analyze which of the quantum machine learning hyperparameters are most influential for their predictive performance. We restrict our study to 7 open-source datasets from the OpenML-CC18 classification benchmark, which are small enough for simulations on quantum hardware with fewer than 20 qubits. Using this framework, three main levels of importance were identified, confirming expected patterns and revealing new insights. For instance, the learning rate is identified as the most important hyperparameter on all datasets, whereas the particular choice of entangling gates used is found to be the least important on all except for one dataset. In addition to identifying the relevant hyperparameters, for each of them, we also learned data-driven priors based on values that perform well on previously seen datasets, which can then be used to steer hyperparameter optimization processes. We utilize these priors in the hyperparameter optimization method hyperband and show that these improve performance against uniform sampling across all datasets by, on average, 0.53%, up to 6.11%, in cross-validation accuracy. We also demonstrate that such improvements hold on average regardless of the configuration hyperband is run with. Our work introduces new methodologies for studying quantum machine learning models toward quantum model selection in practice. All research code is made publicly available.</t>
  </si>
  <si>
    <t>[Moussa, Charles; Patel, Yash J.; Dunjko, Vedran; Baeck, Thomas; van Rijn, Jan N.] Leiden Univ, LIACS, Niels Bohrweg 1, NL-2333 CA Leiden, Netherlands</t>
  </si>
  <si>
    <t>Leiden University - Excl LUMC; Leiden University</t>
  </si>
  <si>
    <t>Moussa, C (corresponding author), Leiden Univ, LIACS, Niels Bohrweg 1, NL-2333 CA Leiden, Netherlands.</t>
  </si>
  <si>
    <t>c.moussa@liacs.leidenuniv.nl</t>
  </si>
  <si>
    <t>Patel, Yash J./0009-0007-3060-6950</t>
  </si>
  <si>
    <t>Dutch Research Council (NWO/OCW) as part of the Quantum Software Consortium programme [024.003.037]; European Union [951821]</t>
  </si>
  <si>
    <t>Dutch Research Council (NWO/OCW) as part of the Quantum Software Consortium programme; European Union(European Union (EU))</t>
  </si>
  <si>
    <t>This work was supported by the Dutch Research Council (NWO/OCW) as part of the Quantum Software Consortium programme (project number 024.003.037). This research is also supported by the project NEASQC, funded by the European Union's Horizon 2020 research and innovation programme (grant agreement No 951821).</t>
  </si>
  <si>
    <t>0885-6125</t>
  </si>
  <si>
    <t>1573-0565</t>
  </si>
  <si>
    <t>MACH LEARN</t>
  </si>
  <si>
    <t>Mach. Learn.</t>
  </si>
  <si>
    <t>s10994-023-06389-8</t>
  </si>
  <si>
    <t>10.1007/s10994-023-06389-8</t>
  </si>
  <si>
    <t>R1JG9</t>
  </si>
  <si>
    <t>WOS:001061968400001</t>
  </si>
  <si>
    <t>Nagel, C; Droll, J; Kroemer, K; Pander, J; Geist, J</t>
  </si>
  <si>
    <t>Nagel, Christoffer; Droll, Jan; Kroemer, Katharina; Pander, Joachim; Geist, Juergen</t>
  </si>
  <si>
    <t>Testing the effects of passive integrated transponder (PIT) tags on survival, growth, and tag retention of common nase (Chondrostoma nasus L.) and European barbel (Barbus barbus L.)</t>
  </si>
  <si>
    <t>ANIMAL BIOTELEMETRY</t>
  </si>
  <si>
    <t>Fish tagging; Fish monitoring; Freshwater fish conservation; Fish biology; Cypriniformes</t>
  </si>
  <si>
    <t>TAGGING METHODS; FISH; EFFICIENCY; INJECTION; MORTALITY; TROUT; RIVER</t>
  </si>
  <si>
    <t>Freshwater fish populations are in steep decline, prompting conservation measures and a need for their evaluation. Fish are increasingly monitored with passive integrated transponders (PIT), although the suitability of this tagging technique has not yet been validated for most European target species of conservation. Consequently, this study tested the effect of commonly used 12 mm full-duplex (FDX) PIT tags implanted into the abdominal cavity of common nase (Chondrostoma nasus L.) and European barbel (Barbus barbus L.). A controlled laboratory setup was used to compare survival, growth (both length and weight) and tag retention for two different size classes of sub-adults over 61 days. Survival in the treatment groups was high (96.7-100%) and not statistically different from the control groups (97.5-100%). Highest mortality occurred in small tagged barbel (n = 4; 96.7% survival), while no mortality occurred in large tagged nase. Mean growth rates for tagged fish (2.28 mm, 3.26 g) were similar to those of control fish (2.77 mm, 3.59 g). Overall tag retention rate was 99.0% and tag loss only occurred in nase. The results of this study demonstrate the suitability of PIT injection in the body cavity of nase and barbel &gt; 100 mm TL, which is of high methodological importance given the increasing role these species play in PIT tag-based assessments of freshwater fish conservation in European rivers.</t>
  </si>
  <si>
    <t>[Nagel, Christoffer; Droll, Jan; Kroemer, Katharina; Pander, Joachim; Geist, Juergen] Tech Univ Munich, TUM Sch Life Sci, Aquat Syst Biol Unit, Muhlenweg 22, D-85350 Freising Weihenstephan, Germany</t>
  </si>
  <si>
    <t>Geist, J (corresponding author), Tech Univ Munich, TUM Sch Life Sci, Aquat Syst Biol Unit, Muhlenweg 22, D-85350 Freising Weihenstephan, Germany.</t>
  </si>
  <si>
    <t>geist@tum.de</t>
  </si>
  <si>
    <t>Projekt DEAL; Verbund Innkraftwerke GmbH</t>
  </si>
  <si>
    <t>Open Access funding enabled and organized by Projekt DEAL. This study received funding from Verbund Innkraftwerke GmbH.</t>
  </si>
  <si>
    <t>2050-3385</t>
  </si>
  <si>
    <t>ANIM BIOTELEM</t>
  </si>
  <si>
    <t>Anim. Biotelem.</t>
  </si>
  <si>
    <t>10.1186/s40317-023-00344-z</t>
  </si>
  <si>
    <t>Biodiversity Conservation; Ecology; Marine &amp; Freshwater Biology</t>
  </si>
  <si>
    <t>Biodiversity &amp; Conservation; Environmental Sciences &amp; Ecology; Marine &amp; Freshwater Biology</t>
  </si>
  <si>
    <t>R0XD1</t>
  </si>
  <si>
    <t>WOS:001061649100002</t>
  </si>
  <si>
    <t>Peng, FF; Zheng, H</t>
  </si>
  <si>
    <t>Peng, Feifei; Zheng, Hang</t>
  </si>
  <si>
    <t>Analysis on the Marketing Trend and Approval Lag of Imported Orphan Drugs from 2010 to 2021 in China</t>
  </si>
  <si>
    <t>Orphan drugs; Approval lag; China; Marketing trend; Rare disease</t>
  </si>
  <si>
    <t>BackgroundIn order to meet the unmet needs of rare disease patients in China, importing orphan drugs is an important way. The objectives of this study were to investigate the marketing trend of orphan drugs approved by the US Food and Drug Administration (FDA) and imported by China, to examine the orphan drug lag between China and the United States.MethodsThis study analyzes the orphan drugs approved by FDA and imported by China from January 2010 to December 2021. The approval lag for orphan drugs between China and the US was calculated and analyzed by approval time. Factors potentially affecting the approval lag, such as target disease, ATC classification, formulation, corporation name, drug type, and whether the indications belong to the first batch of rare diseases catalogue were investigated.ResultsThe number of FDA-approved orphan drugs imported by China is increasing year by year, and the approval lag of these drugs is gradually decreasing, especially in the classification of Non-L, Injections, Non-United States, and biological product. Compared with 2010-2015, the approval lag of total drugs in the study was significantly improved in 2016-2021 (1977 days) compared with 2010-2015 (3928 days).ConclusionChina's groundbreaking regulatory reforms of drugs since 2015 had made significant progress in reducing orphan drug lags, but there is still considerable room for progress. We should more actively promote the approval of rare disease drugs in China, establish a better approval mechanism, and enable Chinese patients with rare diseases to receive drug treatment in a timely manner.</t>
  </si>
  <si>
    <t>[Peng, Feifei; Zheng, Hang] Chongqing Med Univ, Sch Pharmaceut Sci, 1 Yixueyuan Rd, Chongqing 400016, Peoples R China</t>
  </si>
  <si>
    <t>Chongqing Medical University</t>
  </si>
  <si>
    <t>Zheng, H (corresponding author), Chongqing Med Univ, Sch Pharmaceut Sci, 1 Yixueyuan Rd, Chongqing 400016, Peoples R China.</t>
  </si>
  <si>
    <t>scnczh1979@sina.com</t>
  </si>
  <si>
    <t>10.1007/s43441-023-00572-8</t>
  </si>
  <si>
    <t>R2EI4</t>
  </si>
  <si>
    <t>WOS:001062521700001</t>
  </si>
  <si>
    <t>Qin, SQ; Yang, C; An, P</t>
  </si>
  <si>
    <t>Qin, Siqain; Yang, Chao; An, Ping</t>
  </si>
  <si>
    <t>Content adaptive downsampling for low bitrate video coding</t>
  </si>
  <si>
    <t>Video coding optimization; Rate distortion optimization; Downsample coding; Encoding preprocessing</t>
  </si>
  <si>
    <t>Video compression plays an essential role in many multimedia applications, and compression efficiency is highly related to video content. In this paper, based on video content characteristics, we propose a content adaptive downsampling scheme to improve video coding efficiency at a low bitrate. Specifically, we extract content-aware spatial-temporal features including normalized Spatial Information (SI), normalized Temporal Information (TI), and spatial masking as the perceptual features. Then, Support Vector Machine (SVM) is adopted to predict the optimal coding configuration for the video, i.e., direct encoding or downsample encoding. Experimental results show that the proposed method achieves considerable bitrate savings for video sequences at different resolutions with low computational complexity.</t>
  </si>
  <si>
    <t>[Qin, Siqain; Yang, Chao; An, Ping] Shanghai Univ, Sch Commun &amp; Informat Engn, Shanghai 200444, Peoples R China</t>
  </si>
  <si>
    <t>Shanghai University</t>
  </si>
  <si>
    <t>Yang, C (corresponding author), Shanghai Univ, Sch Commun &amp; Informat Engn, Shanghai 200444, Peoples R China.</t>
  </si>
  <si>
    <t>freesia@shu.edu.cn; yangchaoie@shu.edu.cn; anping@shu.edu.cn</t>
  </si>
  <si>
    <t>NSFC [61901252, 62171002, 62071287, 62020106011]; Science and Technology Commission of Shanghai Municipality [22ZR1424300, 20DZ2290100]</t>
  </si>
  <si>
    <t>NSFC(National Natural Science Foundation of China (NSFC)); Science and Technology Commission of Shanghai Municipality(Science &amp; Technology Commission of Shanghai Municipality (STCSM))</t>
  </si>
  <si>
    <t>This work was supported in part by the NSFC under Grant 61901252, 62171002, 62071287, 62020106011, and Science and Technology Commission of Shanghai Municipality under Grant 22ZR1424300, 20DZ2290100.</t>
  </si>
  <si>
    <t>10.1007/s11042-023-16532-1</t>
  </si>
  <si>
    <t>R2FQ0</t>
  </si>
  <si>
    <t>WOS:001062556300010</t>
  </si>
  <si>
    <t>Ram, BR; Malik, V; Naik, BK; Patel, KS; Singh, VK</t>
  </si>
  <si>
    <t>Ram, B. Raghu; Malik, Vinit; Naik, B. Kiran; Patel, Kishore Singh; Singh, Vivek Kumar</t>
  </si>
  <si>
    <t>Development of empirical correlations for assessing the CuAlMn based shape memory alloy thermal switch phase transition temperatures</t>
  </si>
  <si>
    <t>Heat switch; shape memory alloy; low temperature; empirical correlation</t>
  </si>
  <si>
    <t>TRANSFORMATION; SUPERELASTICITY; STABILITY; BEHAVIOR</t>
  </si>
  <si>
    <t>This paper presents the empirical correlations to predict the phase transition temperatures of CuAlMn based shape memory alloy thermal/heat switches. The correlations can precisely predict the start and finish phase transition temperatures of austenite and martensite lattice structures within the error range of +/- 18% at different Cu/Al and Cu/Mn compositions in CuAlMn shape memory alloy. Moreover, for the first time, contours on the effect of Cu/Al ratio on phase transition temperatures are analyzed in detail. It has been found that 'Mn' compassions in CuAlMn alloy play a critical role, and should be at the higher end of composition to achieve low-temperature actuation (&lt;123 K), enhanced switching ratio, and overall performance improvement in shape memory alloy-based heat switches. The precise performance prediction of CuAlMn based shape memory alloy will be helpful in the design of effective mechanical heat switches for low-temperature space applications.</t>
  </si>
  <si>
    <t>[Ram, B. Raghu; Malik, Vinit; Naik, B. Kiran; Patel, Kishore Singh] Natl Inst Technol Rourkela, Dept Mech Engn, Rourkela 769008, Odisha, India; [Malik, Vinit; Naik, B. Kiran] Natl Inst Technol Rourkela, Dept Mech Engn, Sustainable Thermal Energy Syst Lab STESL, Rourkela 769008, Odisha, India; [Singh, Vivek Kumar] ISRO, Space Applicat Ctr, Thermal Engn Div, Ahmedabd 380015, India</t>
  </si>
  <si>
    <t>National Institute of Technology (NIT System); National Institute of Technology Rourkela; National Institute of Technology (NIT System); National Institute of Technology Rourkela; Department of Space (DoS), Government of India; Indian Space Research Organisation (ISRO); Space Applications Centre (SAC)</t>
  </si>
  <si>
    <t>Patel, KS (corresponding author), Natl Inst Technol Rourkela, Dept Mech Engn, Rourkela 769008, Odisha, India.</t>
  </si>
  <si>
    <t>patelks@nitrkl.ac.in</t>
  </si>
  <si>
    <t>SAC, Ahmedabad, ISRO [YS/PD-IP/2021/364]</t>
  </si>
  <si>
    <t>SAC, Ahmedabad, ISRO</t>
  </si>
  <si>
    <t>This work is carried out as a part of a technology development project awarded by the SAC, Ahmedabad, ISRO, and titled Design and Development of Magneto Resistive Heat Switch. The project code of this work is YS/PD-IP/2021/364.</t>
  </si>
  <si>
    <t>10.1007/s12046-023-02248-3</t>
  </si>
  <si>
    <t>R0TB0</t>
  </si>
  <si>
    <t>WOS:001061541900001</t>
  </si>
  <si>
    <t>Ren, JQ; Chen, A; Wang, J; Chang, C; Wang, J; Sun, LN; Sun, YC</t>
  </si>
  <si>
    <t>Ren, Jiaqi; Chen, Ai; Wang, Jun; Chang, Chun; Wang, Juan; Sun, Lina; Sun, Yongchang</t>
  </si>
  <si>
    <t>Association of blood total immunoglobulin E and eosinophils with radiological features of bronchiectasis</t>
  </si>
  <si>
    <t>BMC PULMONARY MEDICINE</t>
  </si>
  <si>
    <t>Bronchiectasis; Total IgE; Eosinophil; Radiological</t>
  </si>
  <si>
    <t>CYSTIC-FIBROSIS; SPUTUM; SEVERITY</t>
  </si>
  <si>
    <t>BackgroundOur study aimed to investigate whether serum total IgE and blood eosinophils were associated with radiological features of bronchiectasis in a Chinese cohort.MethodsWe retrospectively enrolled bronchiectasis patients who visited Peking University Third Hospital from Jan 1st, 2012 to Oct 7th, 2021. The clinical, laboratory and chest CT characteristics were analyzed in association with serum total IgE level and blood eosinophil count.ResultsA total of 125 bronchiectasis patients were enrolled, with 50.4% (63/125) female, and a mean age of 62.4 &amp; PLUSMN; 14.1 years. The median serum total IgE level and blood eosinophil count were 47.7 (19.8, 123.0) KU/L and 140 (90, 230) cells/&amp; mu;l, respectively. In patients with a higher than normal (normal range, 0-60 KU/L) total IgE (43.2%, n = 54), more lobes were involved [4 (3, 5) vs. 3 (2, 4), p = 0.008], and mucus plugs were more common (25.9% vs. 9.9%, p =0.017) on HRCT, as compared to those with a normal level of total IgE. The higher IgE group was more likely to have bilateral involvement (p = 0.059), and had numerically higher Smith and Bhalla scores, but the differences were not statistically significant. In patients with an eosinophil count &amp; GE; 150 cells/&amp; mu;l (49.6%, n = 62), the number of lobes involved was greater [4 (3, 5) vs. 3 (2, 4), p = 0.015], and the Smith and Bhalla scores were higher [9 (5, 12) vs. 6 (3, 9), p = 0.009, 7 (5, 11) vs. 5 (3, 9), p = 0.036]. The Smith score was correlated positively with the eosinophil count (r = 0.207, p = 0.020). Fractional exhaled nitric oxide (FeNO) was correlated with total IgE (r = 0.404, p = 0.001) and eosinophil count (r = 0.310, p = 0.014).ConclusionsOur study demonstrated that serum total IgE and the blood eosinophil count were associated with the radiological extent and severity of bronchiectasis, necessitating further investigation on the role of T2 inflammation in structural abnormalities of this heterogeneous disease.</t>
  </si>
  <si>
    <t>[Ren, Jiaqi; Chen, Ai; Wang, Jun; Chang, Chun; Wang, Juan; Sun, Lina; Sun, Yongchang] Peking Univ Third Hosp, Peking Univ Hlth Sci Ctr, Res Ctr Chron Airway Dis, Dept Resp &amp; Crit Care Med, Beijing, Peoples R China</t>
  </si>
  <si>
    <t>Sun, LN; Sun, YC (corresponding author), Peking Univ Third Hosp, Peking Univ Hlth Sci Ctr, Res Ctr Chron Airway Dis, Dept Resp &amp; Crit Care Med, Beijing, Peoples R China.</t>
  </si>
  <si>
    <t>smileshi1982@163.com; suny@bjmu.edu.cn</t>
  </si>
  <si>
    <t>1471-2466</t>
  </si>
  <si>
    <t>BMC PULM MED</t>
  </si>
  <si>
    <t>BMC Pulm. Med.</t>
  </si>
  <si>
    <t>10.1186/s12890-023-02607-0</t>
  </si>
  <si>
    <t>Q7WD3</t>
  </si>
  <si>
    <t>WOS:001059581900002</t>
  </si>
  <si>
    <t>Saenz, CAC; Becker, K</t>
  </si>
  <si>
    <t>Saenz, Carlos Abel Cordova; Becker, Karin</t>
  </si>
  <si>
    <t>Understanding stance classification of BERT models: an attention-based framework</t>
  </si>
  <si>
    <t>BERT; Interpretability; Attention; Stance classification</t>
  </si>
  <si>
    <t>BERT produces state-of-the-art solutions for many natural language processing tasks at the cost of interpretability. As works discuss the value of BERT's attention weights to this purpose, we contribute to the field by examining this issue in the context of stance classification. We propose an interpretability framework to identify the most influential words for correctly predicting stances using BERT models. Unlike related work, we develop a broader level of interpretability focused on the overall model behaviour, aggregating tokens' attentions into words' attention weights that can be semantically related to the domain and proposing metrics to measure words relevance in correct predictions. We developed a broad experimental setting to analyse the premises underlying our framework regarding word attention scores and the capability concerning interpretability, adopting three case studies of stances expressed on Twitter on issues about the pandemic, and four pre-trained BERT models. We concluded that our method is not affected by the characteristics of BERT-models vocabularies, that words with high absolute attention have a higher probability of positive influence on correct classification, and that the influential words represent the domains. We observed many common words compared to a baseline method, but the words yielded by our method were considered more relevant according to a qualitative assessment.</t>
  </si>
  <si>
    <t>[Saenz, Carlos Abel Cordova; Becker, Karin] Fed Univ Rio Grande do Sul UFRGS, Inst Informat, Porto Alegre, Brazil</t>
  </si>
  <si>
    <t>Universidade Federal do Rio Grande do Sul</t>
  </si>
  <si>
    <t>Becker, K (corresponding author), Fed Univ Rio Grande do Sul UFRGS, Inst Informat, Porto Alegre, Brazil.</t>
  </si>
  <si>
    <t>cacsaenz@inf.ufrgs.br; karin.becker@inf.ufrgs.br</t>
  </si>
  <si>
    <t>Coordenacao de Aperfeicoamento de Pessoal de Nivel Superior - Brasil (CAPES) [001]; CNPq [131178/2020-2]; FAPERGS [19/2551-0001862-2]</t>
  </si>
  <si>
    <t>Coordenacao de Aperfeicoamento de Pessoal de Nivel Superior - Brasil (CAPES)(Coordenacao de Aperfeicoamento de Pessoal de Nivel Superior (CAPES)); CNPq(Conselho Nacional de Desenvolvimento Cientifico e Tecnologico (CNPQ)); FAPERGS(Fundacao de Amparo a Ciencia e Tecnologia do Estado do Rio Grande do Sul (FAPERGS))</t>
  </si>
  <si>
    <t>This study was partially financed by the Coordenacao de Aperfeicoamento de Pessoal de Nivel Superior - Brasil (CAPES) - Finance Code 001, CNPq (131178/2020-2) and FAPERGS (19/2551-0001862-2)</t>
  </si>
  <si>
    <t>10.1007/s10115-023-01962</t>
  </si>
  <si>
    <t>R2FH0</t>
  </si>
  <si>
    <t>WOS:001062547200002</t>
  </si>
  <si>
    <t>Trape, DV; Lopez, OV; Villar, MA</t>
  </si>
  <si>
    <t>Trape, Daiana V.; Lopez, Olivia V.; Villar, Marcelo A.</t>
  </si>
  <si>
    <t>Exploitation of Biomass to the Integrated Production of Bioethanol and Poly(hydroxyalkanoate)s</t>
  </si>
  <si>
    <t>BIOENERGY RESEARCH</t>
  </si>
  <si>
    <t>Biofuels; Biopolymers; Biorefinery; By-products; Sustainable production</t>
  </si>
  <si>
    <t>POLYHYDROXYALKANOATES PHAS; POLYHYDROXYBUTYRATE PHB; BIOMEDICAL APPLICATIONS; HALOFERAX-MEDITERRANEI; CUPRIAVIDUS-NECATOR; CARBON SOURCE; CHEESE WHEY; WASTE-WATER; BIOSYNTHESIS; PRETREATMENT</t>
  </si>
  <si>
    <t>Fossil fuels are a major source of energy worldwide and serve as raw materials for the production of plastics. However, they have disadvantages such as uneven distribution, price instability, limited availability, and environmental impact. Consequently, there is a need to find alternatives to fossil fuels for both energy and polymer production in the short term. This review focuses on the synthesis of poly(hydroxyalkanoate)s (PHAs), a type of biopolymer, using different bioethanol stream wastes. PHAs exhibit properties comparable to petroleum-based plastics, making them promising replacements. There has been a significant increase in research studies exploring alternatives to fossil fuels and synthetic polymers, as evidenced by the growing number of publications. While biopolymers currently account for only 1% of global polymer production derived from petroleum, the PHA industry is experiencing rapid growth. The market value of PHAs was estimated at $ 168.9 million in 2020, and it is projected to reach $ 440 million by 2031, indicating a compound annual growth rate of 9.2%. The production of this biopolymer is already contributing to an expanding industrial value chain, which is expected to further growth with increased availability of commercial PHAs.</t>
  </si>
  <si>
    <t>[Trape, Daiana V.; Lopez, Olivia V.; Villar, Marcelo A.] UNS, Planta Piloto Ingn Quim, PLAPIQUI, CONICET, Camino La Carrindanga Km 7, RA-8000 Bahia Blanca, Argentina; [Trape, Daiana V.; Villar, Marcelo A.] Univ Nacl Sur UNS, Dept Ingn Quim, Av Alem 1253, RA-8000 Bahia Blanca, Argentina; [Lopez, Olivia V.] Univ Nacl Sur UNS, Dept Quim, Av Alem 1253, RA-8000 Bahia Blanca, Argentina</t>
  </si>
  <si>
    <t>Consejo Nacional de Investigaciones Cientificas y Tecnicas (CONICET); National University of the South; National University of the South; National University of the South</t>
  </si>
  <si>
    <t>Lopez, OV (corresponding author), UNS, Planta Piloto Ingn Quim, PLAPIQUI, CONICET, Camino La Carrindanga Km 7, RA-8000 Bahia Blanca, Argentina.</t>
  </si>
  <si>
    <t>olivialopez@plapiqui.edu.ar</t>
  </si>
  <si>
    <t>Consejo Nacional de Investigaciones Cientificas y Tecnicas [PIP 112-201501-00127]; Agencia Nacional de Promocion Cientifica y Tecnologica [PICT-2014-2410]; Universidad Nacional del Sur [24 M/154]</t>
  </si>
  <si>
    <t>Consejo Nacional de Investigaciones Cientificas y Tecnicas(Consejo Nacional de Investigaciones Cientificas y Tecnicas (CONICET)); Agencia Nacional de Promocion Cientifica y Tecnologica(ANPCyTSpanish Government); Universidad Nacional del Sur</t>
  </si>
  <si>
    <t>This work was financed by Consejo Nacional de Investigaciones Cientificas y Tecnicas (Grant Number: PIP 112-201501-00127), Agencia Nacional de Promocion Cientifica y Tecnologica (Grant Number: PICT-2014-2410), and Universidad Nacional del Sur (Grant Number: 24 M/154).</t>
  </si>
  <si>
    <t>1939-1234</t>
  </si>
  <si>
    <t>1939-1242</t>
  </si>
  <si>
    <t>BIOENERG RES</t>
  </si>
  <si>
    <t>BioEnergy Res.</t>
  </si>
  <si>
    <t>10.1007/s12155-023-10661</t>
  </si>
  <si>
    <t>Energy &amp; Fuels; Environmental Sciences</t>
  </si>
  <si>
    <t>Energy &amp; Fuels; Environmental Sciences &amp; Ecology</t>
  </si>
  <si>
    <t>R2EK4</t>
  </si>
  <si>
    <t>WOS:001062523800001</t>
  </si>
  <si>
    <t>Wang, CY; Li, J; Zhou, XX; Cheng, ZJ; Qiao, LJ; Xue, XH; Zhang, MJ</t>
  </si>
  <si>
    <t>Wang, Chenyi; Li, Jian; Zhou, Xinxin; Cheng, Zijia; Qiao, Lijun; Xue, Xiaohui; Zhang, Mingjiang</t>
  </si>
  <si>
    <t>Chaos Raman distributed optical fiber sensing</t>
  </si>
  <si>
    <t>TEMPERATURE SENSOR; SPATIAL-RESOLUTION</t>
  </si>
  <si>
    <t>The physics principle of pulse flight positioning is the main theoretical bottleneck that restricts the spatial resolution of the existing Raman distributed optical fiber sensing scheme. Owing to the pulse width of tens of nanoseconds, the spatial resolution of the existing Raman distributed optical fiber sensing scheme with kilometer-level sensing distance is limited to the meter level, which seriously restricts the development of the optical time-domain reflection system. In this paper, a chaos laser is proposed in the context of the physical principle of the Raman scattering effect, and a novel theory of chaos Raman distributed optical fiber sensing scheme is presented. The scheme reveals the characteristics of chaos Raman scattering light excited by a chaotic signal on the sensing fiber. Further, the chaos time-domain compression demodulation mechanism between the temperature variation information and chaos correlation peak is demonstrated. Then, the position of the temperature variation signal is precisely located using the delay time of the chaos correlation peak combined with the chaos pulse flight time. Based on this novel optical sensing mechanism, an experiment with 10 cm spatial resolution and 1.4 km sensing distance was conducted, and the spatial resolution was found to be independent of the sensing distance. Within the limit of the existing spatial resolution theory, the spatial resolution of the proposed scheme is 50 times higher than that of the traditional scheme. The scheme also provides a new research direction for optical chaos and optical fiber sensing. The first combination of chaos laser and Raman distributed optical fiber sensing breaks the physical bottleneck of spatial resolution, the optimal spatial resolution of the current kilometer-level sensing distance is achieved.</t>
  </si>
  <si>
    <t>[Wang, Chenyi; Zhang, Mingjiang] Taiyuan Univ Technol, Coll Phys, Taiyuan 030024, Shanxi, Peoples R China; [Wang, Chenyi; Li, Jian; Zhou, Xinxin; Cheng, Zijia; Qiao, Lijun; Xue, Xiaohui; Zhang, Mingjiang] Taiyuan Univ Technol, Key Lab Adv Transducers &amp; Intelligent Control Syst, Minist Educ, Taiyuan 030024, Shanxi, Peoples R China; [Li, Jian] Taiyuan Univ Technol, Coll Elect Informat &amp; Opt Engn, Taiyuan 030024, Shanxi, Peoples R China; [Zhang, Mingjiang] Shanxi Zheda Inst Adv Mat &amp; Chem Engn, Taiyuan 030032, Shanxi, Peoples R China</t>
  </si>
  <si>
    <t>Taiyuan University of Technology; Taiyuan University of Technology; Taiyuan University of Technology</t>
  </si>
  <si>
    <t>Zhang, MJ (corresponding author), Taiyuan Univ Technol, Coll Phys, Taiyuan 030024, Shanxi, Peoples R China.;Li, J; Zhang, MJ (corresponding author), Taiyuan Univ Technol, Key Lab Adv Transducers &amp; Intelligent Control Syst, Minist Educ, Taiyuan 030024, Shanxi, Peoples R China.;Li, J (corresponding author), Taiyuan Univ Technol, Coll Elect Informat &amp; Opt Engn, Taiyuan 030024, Shanxi, Peoples R China.;Zhang, MJ (corresponding author), Shanxi Zheda Inst Adv Mat &amp; Chem Engn, Taiyuan 030032, Shanxi, Peoples R China.</t>
  </si>
  <si>
    <t>lijian02@tyut.edu.cn; zhangmingjiang@tyut.edu.cn</t>
  </si>
  <si>
    <t>National Natural Science Foundation of China (NSFC) [202103021223042]; National Key Research and Development Program of China; Fundamental Research Program of Shanxi Province; Scientific and Technological Innovation Programs of Higher Education Institutions in Shanxi; Shanxi-Zheda Institute of Advanced Materials and Chemical Engineering; [62075151]</t>
  </si>
  <si>
    <t>National Natural Science Foundation of China (NSFC)(National Natural Science Foundation of China (NSFC)); National Key Research and Development Program of China; Fundamental Research Program of Shanxi Province; Scientific and Technological Innovation Programs of Higher Education Institutions in Shanxi; Shanxi-Zheda Institute of Advanced Materials and Chemical Engineering;</t>
  </si>
  <si>
    <t>Supported by National Natural Science Foundation of China (NSFC) under Grants (62075151, 62205234, 62105234); National Key Research and Development Program of China (2022YFA1404201). Supported by Fundamental Research Program of Shanxi Province (202103021223042); Supported by Scientific and Technological Innovation Programs of Higher Education Institutions in Shanxi. Supported by Shanxi-Zheda Institute of Advanced Materials and Chemical Engineering.</t>
  </si>
  <si>
    <t>10.1038/s41377-023-01267-3</t>
  </si>
  <si>
    <t>WOS:001059602500001</t>
  </si>
  <si>
    <t>Yang, LH; Qi, XF; Hou, JC</t>
  </si>
  <si>
    <t>Yang, Lihua; Qi, Xiaofei; Hou, Jinchuan</t>
  </si>
  <si>
    <t>Generalized n-locality correlations in tree tensor network configuration</t>
  </si>
  <si>
    <t>Quantum correlations in various quantum networks are fundamental for quantum communications, among which Bell nonlocality in networks have already been intensively studied. In this paper, Bell nonlocality for the tree tensor network are discussed by considering two general cases: One case is that each party of the network performs arbitrary number of binary measurements, while the other case is that four extreme parties perform arbitrary m (m = 2) binary measurements and all intermediate parties perform 2(m-1) binary measurements. For both cases, different n-locality inequalities are established and the corresponding quantum violations are also examined.</t>
  </si>
  <si>
    <t>[Yang, Lihua; Qi, Xiaofei] Shanxi Univ, Sch Math Sci, Taiyuan 030006, Peoples R China; [Yang, Lihua] Yuncheng Univ, Sch Math &amp; Informat Technol, Yuncheng 044000, Peoples R China; [Qi, Xiaofei] Shanxi Univ, Key Lab Complex Syst &amp; Data Sci, Minist Educ, Taiyuan 030006, Peoples R China; [Hou, Jinchuan] Taiyuan Univ Technol, Coll Math, Taiyuan 030024, Peoples R China</t>
  </si>
  <si>
    <t>Shanxi University; Yuncheng University; Shanxi University; Taiyuan University of Technology</t>
  </si>
  <si>
    <t>Qi, XF (corresponding author), Shanxi Univ, Sch Math Sci, Taiyuan 030006, Peoples R China.;Qi, XF (corresponding author), Shanxi Univ, Key Lab Complex Syst &amp; Data Sci, Minist Educ, Taiyuan 030006, Peoples R China.</t>
  </si>
  <si>
    <t>xiaofeiqisxu@aliyun.com</t>
  </si>
  <si>
    <t>National Natural Science Foundation of China [12171290, 12071336]; Scientific and Technological Innovation Programs of Higher Education Institutions in Shanxi Province [2022L485]</t>
  </si>
  <si>
    <t>National Natural Science Foundation of China(National Natural Science Foundation of China (NSFC)); Scientific and Technological Innovation Programs of Higher Education Institutions in Shanxi Province</t>
  </si>
  <si>
    <t>The authors wish to give their thanks to the referee(s) for their helpful comments to improve the paper. This work is partially supported by National Natural Science Foundation of China (12171290, 12071336), and Scientific and Technological Innovation Programs of Higher Education Institutions in Shanxi Province (2022L485).</t>
  </si>
  <si>
    <t>10.1140/epjp/s13360-023-04356-9</t>
  </si>
  <si>
    <t>WOS:001059580900004</t>
  </si>
  <si>
    <t>Zhang, YP; Jiang, ST; He, FH; Tian, YY; Hu, HY; Gao, L; Zhang, L; Chen, AL; Hu, YX; Fan, LY; Yang, C; Zhou, B; Liu, D; Zhou, ZH; Su, YX; Qin, L; Wang, Y; He, HL; Lu, J; Xiao, PF; Hu, SY; Wang, QF</t>
  </si>
  <si>
    <t>Zhang, Yongping; Jiang, Shuting; He, Fuhong; Tian, Yuanyuan; Hu, Haiyang; Gao, Li; Zhang, Lin; Chen, Aili; Hu, Yixin; Fan, Liyan; Yang, Chun; Zhou, Bi; Liu, Dan; Zhou, Zihan; Su, Yanxun; Qin, Lei; Wang, Yi; He, Hailong; Lu, Jun; Xiao, Peifang; Hu, Shaoyan; Wang, Qian-Fei</t>
  </si>
  <si>
    <t>Single-cell transcriptomics reveals multiple chemoresistant properties in leukemic stem and progenitor cells in pediatric AML</t>
  </si>
  <si>
    <t>GENOME BIOLOGY</t>
  </si>
  <si>
    <t>Residual tumor cell; Single-cell RNA sequencing; AML; Chemotherapy resistance; Leukemia stem cell; Oxidative phosphorylation; HSC-like; CD69</t>
  </si>
  <si>
    <t>ACUTE MYELOID-LEUKEMIA; OXIDATIVE-PHOSPHORYLATION; MOBILIZATION; PROGRAMS; IMMUNOPHENOTYPE; MECHANISMS; FREQUENCY; CHILDREN; CD69; S1P</t>
  </si>
  <si>
    <t>Background: Cancer patients can achieve dramatic responses to chemotherapy yet retain resistant tumor cells, which ultimately results in relapse. Although xenograft model studies have identified several cellular and molecular features that are associated with chemoresistance in acute myeloid leukemia (AML), to what extent AML patients exhibit these properties remains largely unknown.Results: We apply single-cell RNA sequencing to paired pre-and post-chemotherapy whole bone marrow samples obtained from 13 pediatric AML patients who had achieved disease remission, and distinguish AML clusters from normal cells based on their unique transcriptomic profiles. Approximately 50% of leukemic stem and progenitor populations actively express leukemia stem cell (LSC) and oxidative phosphor ylation (OXPHOS) signatures, respectively. These clusters have a higher chance of tolerating therapy and exhibit an enhanced metabolic program in response to treatment. Interestingly, the transmembrane receptor CD69 is highly expressed in chemoresistant hematopoietic stem cell (HSC)-like populations (named the CD69(+) HSC-like sub population). Furthermore, overexpression of CD69 results in suppression of the mTOR signaling pathway and promotion of cell quiescence and adhesion in vitro. Finally, the presence of CD69(+) HSC-like cells is associated with unfavorable genetic mutations, the persistence of residual tumor cells in chemotherapy, and poor outcomes in independent pediatric and adult public AML cohorts.Conclusions: Our analysis reveals leukemia stem cell and OXPHOS as two major chemoresistant features in human AML patients. CD69 may serve as a potential biomarker in defining a subpopulation of chemoresistant leukemia stem cells. These findings have important implications for targeting residual chemo-surviving AML cells.</t>
  </si>
  <si>
    <t>[Zhang, Yongping; Tian, Yuanyuan; Gao, Li; Hu, Yixin; Fan, Liyan; Wang, Yi; He, Hailong; Lu, Jun; Xiao, Peifang; Hu, Shaoyan] Soochow Univ, Childrens Hosp, Dept Hematol &amp; Oncol, Suzhou 215025, Peoples R China; [Jiang, Shuting; He, Fuhong; Hu, Haiyang; Zhang, Lin; Chen, Aili; Liu, Dan; Zhou, Zihan; Su, Yanxun; Qin, Lei; Wang, Qian-Fei] Chinese Acad Sci, Beijing Inst Genom, CAS Key Lab Genom &amp; Precis Med, Beijing 100101, Peoples R China; [Jiang, Shuting; He, Fuhong; Hu, Haiyang; Zhang, Lin; Chen, Aili; Liu, Dan; Zhou, Zihan; Su, Yanxun; Qin, Lei; Wang, Qian-Fei] China Natl Ctr Bioinformat, Beijing 100101, Peoples R China; [Jiang, Shuting; He, Fuhong; Hu, Haiyang; Zhang, Lin; Chen, Aili; Zhou, Zihan; Su, Yanxun; Qin, Lei; Wang, Qian-Fei] Univ Chinese Acad Sci, Beijing 100049, Peoples R China; [Yang, Chun] Soochow Univ, Inst Pediat Res, Childrens Hosp, Suzhou 215025, Peoples R China; [Zhou, Bi] Anhui Med Univ, Suzhou Hosp, Suzhou 234000, Peoples R China</t>
  </si>
  <si>
    <t>Soochow University - China; Chinese Academy of Sciences; Beijing Institute of Genomics, CAS; Chinese Academy of Sciences; University of Chinese Academy of Sciences, CAS; Soochow University - China; Anhui Medical University</t>
  </si>
  <si>
    <t>Hu, SY (corresponding author), Soochow Univ, Childrens Hosp, Dept Hematol &amp; Oncol, Suzhou 215025, Peoples R China.;Wang, QF (corresponding author), Chinese Acad Sci, Beijing Inst Genom, CAS Key Lab Genom &amp; Precis Med, Beijing 100101, Peoples R China.;Wang, QF (corresponding author), China Natl Ctr Bioinformat, Beijing 100101, Peoples R China.;Wang, QF (corresponding author), Univ Chinese Acad Sci, Beijing 100049, Peoples R China.</t>
  </si>
  <si>
    <t>hsy139@126.com; wangqf@big.ac.cn</t>
  </si>
  <si>
    <t>National Key Ramp;D Program of China [2021YFC2500300]; National Natural Science Foundation of China [81890992, 81970163, 81970175, 81970174]; Jiangsu Province Special Funds for Key Program (Social Development) [BE2021654]; Scientific Instrument Developing Project of the Chinese Academy of Sciences [YJKYYQ20200046, ZDKYYQ20210004]; Key Research Program of the Chinese Academy of Sciences [KFZD-SW-220]; Strategic Priority Research Program of Chinese Academy of Sciences [XDB38030200]; Youth Innovation Promotion Association of Chinese Academy of Sciences [2019103]</t>
  </si>
  <si>
    <t>National Key Ramp;D Program of China; National Natural Science Foundation of China(National Natural Science Foundation of China (NSFC)); Jiangsu Province Special Funds for Key Program (Social Development); Scientific Instrument Developing Project of the Chinese Academy of Sciences; Key Research Program of the Chinese Academy of Sciences(Chinese Academy of Sciences); Strategic Priority Research Program of Chinese Academy of Sciences(Chinese Academy of Sciences); Youth Innovation Promotion Association of Chinese Academy of Sciences</t>
  </si>
  <si>
    <t>This work was supported by grants from the National Key R &amp; amp;D Program of China (2021YFC2500300), the National Natural Science Foundation of China (81890992 to Q.-F.W., 81970163 to S.H., 81970175 to F.H., 81970174 to A.C.), Jiangsu Province Special Funds for Key Program (Social Development) (BE2021654 to S.H.), the Scientific Instrument Developing Project of the Chinese Academy of Sciences (YJKYYQ20200046 to Q.-F.W., ZDKYYQ20210004), the Key Research Program of the Chinese Academy of Sciences (KFZD-SW-220 to Q.-F.W.), the Strategic Priority Research Program of Chinese Academy of Sciences (XDB38030200), and the Youth Innovation Promotion Association of Chinese Academy of Sciences (2019103 to A.C.).</t>
  </si>
  <si>
    <t>1474-760X</t>
  </si>
  <si>
    <t>GENOME BIOL</t>
  </si>
  <si>
    <t>Genome Biol.</t>
  </si>
  <si>
    <t>10.1186/s13059-023-03031-7</t>
  </si>
  <si>
    <t>Q7WQ6</t>
  </si>
  <si>
    <t>WOS:001059595200001</t>
  </si>
  <si>
    <t>Bai, JG; Yang, H; Wu, CD</t>
  </si>
  <si>
    <t>Bai, Jianguo; Yang, Hai; Wu, Changde</t>
  </si>
  <si>
    <t>MLACNN: an attention mechanism-based CNN architecture for predicting genome-wide DNA methylation</t>
  </si>
  <si>
    <t>THEORY IN BIOSCIENCES</t>
  </si>
  <si>
    <t>Genome wide methylation detection; Attention CNN; Hybrid neural network</t>
  </si>
  <si>
    <t>WEB SERVER; SITES; N6-METHYLADENOSINE; IDENTIFICATION; NETWORK; TOOL</t>
  </si>
  <si>
    <t>Methylation is an important epigenetic regulation of methylation genes that plays a crucial role in regulating biological processes. While traditional methods for detecting methylation in biological experiments are constantly improving, the development of artificial intelligence has led to the emergence of deep learning and machine learning methods as a new trend. However, traditional machine learning-based methods rely heavily on manual feature extraction, and most deep learning methods for studying methylation extract fewer features due to their simple network structures. To address this, we propose a bottomneck network based on an attention mechanism and use new methods to ensure that the deep network can learn more effective features while minimizing overfitting. This approach enables the model to learn more features from nucleotide sequences and make better predictions of methylation. The model uses three coding methods to encode the original DNA sequence and then applies feature fusion based on attention mechanisms to obtain the best fusion method. Our results demonstrate that MLACNN outperforms previous methods and achieves more satisfactory performance.</t>
  </si>
  <si>
    <t>[Bai, Jianguo; Yang, Hai; Wu, Changde] Shandong Jiaotong Univ, Jinan City, Shandong Provin, Peoples R China</t>
  </si>
  <si>
    <t>Shandong Jiaotong University</t>
  </si>
  <si>
    <t>Yang, H (corresponding author), Shandong Jiaotong Univ, Jinan City, Shandong Provin, Peoples R China.</t>
  </si>
  <si>
    <t>591790664@qq.com; yh_sdjtu@163.com</t>
  </si>
  <si>
    <t>1431-7613</t>
  </si>
  <si>
    <t>1611-7530</t>
  </si>
  <si>
    <t>THEOR BIOSCI</t>
  </si>
  <si>
    <t>Theory Biosci.</t>
  </si>
  <si>
    <t>2023 AUG 30</t>
  </si>
  <si>
    <t>10.1007/s12064-023-00402-3</t>
  </si>
  <si>
    <t>Biology; Mathematical &amp; Computational Biology</t>
  </si>
  <si>
    <t>Life Sciences &amp; Biomedicine - Other Topics; Mathematical &amp; Computational Biology</t>
  </si>
  <si>
    <t>R1MU9</t>
  </si>
  <si>
    <t>WOS:001062061100001</t>
  </si>
  <si>
    <t>Claes, P; Bidakhvidi, NA; Giesen, A; Joniau, S; Van Laere, K; Koole, M; Jentjens, S; Deroose, CM; Goffin, K</t>
  </si>
  <si>
    <t>Claes, Pieter; Bidakhvidi, Niloefar Ahmadi; Giesen, Alexander; Joniau, Steven; Van Laere, Koen; Koole, Michel; Jentjens, Sander; Deroose, Christophe M.; Goffin, Karolien</t>
  </si>
  <si>
    <t>PSMA PET/CT and PET/MRI in primary staging of prostate cancer and its effect on patient management</t>
  </si>
  <si>
    <t>CLINICAL AND TRANSLATIONAL IMAGING</t>
  </si>
  <si>
    <t>Primary staging; Prostate cancer; PSMA PET/CT; PSMA PET/MRI; Patient management</t>
  </si>
  <si>
    <t>LYMPH-NODE DISSECTION; BONE-SCINTIGRAPHY; EXTERNAL VALIDATION; NOMOGRAM; MRI; METASTASES; ACCURACY; SPECT; CT</t>
  </si>
  <si>
    <t>PurposeIn the last decade, prostate specific membrane antigen (PSMA) positron emission tomography (PET) has gained its role as a novel tool in the primary staging of prostate cancer (PCa). This review focuses on the current knowledge on PSMA PET in primary PCa staging, which includes the Tumor-, Node-, Metastasis- (T-, N-, M-) staging, and the impact of PSMA PET on patient management.MethodsA literature search was performed in all databases of Web of Science for peer-reviewed, original studies published in English until June 2022. The results were screened by abstract in the setting of primary staging of PCa, using PSMA PET tracers for imaging modalities PET/computed tomography (CT) and PET/magnetic resonance imaging (MRI).ResultsThe available literature shows that PSMA PET is an accurate test in the primary staging of PCa. For T-staging, the combination of PSMA PET with the current gold standard multi-parametric MRI (mpMRI) may have a synergistic impact for assessment of tumor volume. For N- and M-staging, multiple studies show that PSMA PET clearly outperforms current conventional imaging modalities, which is also confirmed in the proPSMA randomized controlled trial that revealed a 27% higher accuracy of PSMA PET compared to conventional imaging. Several studies show that PSMA PET, due to its high accuracy, can lead to treatment adaption.ConclusionsDespite the clear superiority of PSMA PET over conventional imaging for primary staging of intermediate- and high-risk PCa, PSMA PET is currently not yet identified as the gold standard imaging modality in this setting in the European Association of Urology (EAU) guidelines, given that no prospective studies demonstrating a clear benefit of treatment adaptation are available at this moment. The results of prospective trials exploring the benefit of PSMA PET-based treatment algorithms are, therefore, strongly awaited.</t>
  </si>
  <si>
    <t>[Claes, Pieter; Bidakhvidi, Niloefar Ahmadi; Van Laere, Koen; Koole, Michel; Jentjens, Sander; Deroose, Christophe M.; Goffin, Karolien] Univ Hosp Leuven, Dept Nucl Med, Herestr 49, B-3000 Leuven, Belgium; [Bidakhvidi, Niloefar Ahmadi; Van Laere, Koen; Koole, Michel; Deroose, Christophe M.; Goffin, Karolien] Katholieke Univ Leuven, Dept Imaging &amp; Pathol, Nucl Med &amp; Mol Imaging, B-3000 Leuven, Belgium; [Giesen, Alexander; Joniau, Steven] Univ Hosp Leuven, Dept Urol, B-3000 Leuven, Belgium; [Giesen, Alexander; Joniau, Steven] Katholieke Univ Leuven, Dept Dev &amp; Regenerat, Urogenital Abdominal &amp; Plast Surg, B-3000 Leuven, Belgium</t>
  </si>
  <si>
    <t>KU Leuven; University Hospital Leuven; KU Leuven; KU Leuven; University Hospital Leuven; KU Leuven</t>
  </si>
  <si>
    <t>Goffin, K (corresponding author), Univ Hosp Leuven, Dept Nucl Med, Herestr 49, B-3000 Leuven, Belgium.;Goffin, K (corresponding author), Katholieke Univ Leuven, Dept Imaging &amp; Pathol, Nucl Med &amp; Mol Imaging, B-3000 Leuven, Belgium.</t>
  </si>
  <si>
    <t>karolien.goffin@uzleuven.be</t>
  </si>
  <si>
    <t>Jentjens, Sander/AFA-1410-2022</t>
  </si>
  <si>
    <t>Jentjens, Sander/0000-0003-3602-9078</t>
  </si>
  <si>
    <t>Research Foundation-Flanders (FWO) [1SB8923N]</t>
  </si>
  <si>
    <t>Research Foundation-Flanders (FWO)(FWO)</t>
  </si>
  <si>
    <t>NAB is a PhD fellow at the Research Foundation-Flanders (FWO), project number 1SB8923N. CMD is a senior clinical investigator at the Research Foundation-Flanders (FWO).</t>
  </si>
  <si>
    <t>2281-5872</t>
  </si>
  <si>
    <t>2281-7565</t>
  </si>
  <si>
    <t>CLIN TRANSL IMAGING</t>
  </si>
  <si>
    <t>Clin. Transl. Imaging</t>
  </si>
  <si>
    <t>10.1007/s40336-023-00582-4</t>
  </si>
  <si>
    <t>R0QQ6</t>
  </si>
  <si>
    <t>WOS:001061478900001</t>
  </si>
  <si>
    <t>da Silva, AL; Pacagnella Jr, AC; Ignacio, PSD; da Silva, AL</t>
  </si>
  <si>
    <t>da Silva, Adauto Lucas; Pacagnella Junior, Antonio Carlos; Ignacio, Paulo Sergio de Arruda; da Silva, Alessandro Lucas</t>
  </si>
  <si>
    <t>An adaptive and integrated reference model for supplier selection: application to product development and serialized component supply</t>
  </si>
  <si>
    <t>PRODUCTION ENGINEERING-RESEARCH AND DEVELOPMENT</t>
  </si>
  <si>
    <t>Supplier selection; Supplier evaluation; Supplier development; Supplier integration; Supplier segmentation</t>
  </si>
  <si>
    <t>ORDER ALLOCATION; RELATIONAL EMBEDDEDNESS; CUSTOMER INVOLVEMENT; DEVELOPMENT-PROJECTS; CHAIN MANAGEMENT; FUZZY INFERENCE; CO-DEVELOPMENT; INNOVATION; PERFORMANCE; KNOWLEDGE</t>
  </si>
  <si>
    <t>To present an adaptive and integrated reference model for the Supplier Selection Process (SSP) to integrate it into the Product Development Process (PDP) or the serialized component supply. The research methodology adopted a broad literature review on indexed databases and a logical deductive analysis of the identified constructs and factors. Compilation and categorization (moderating factors, connecting factors) of critical SSP success factors; proposal of a reference model so that the SSP can serve the PDP and the serialized component supply. (a) This reference model covers all the critical SSP success factors; (b) it makes a clear distinction between moderating and connecting factors (c) while addressing both the PDP and the serialized component supply. The considerable number of factors identified in this research suggests that the vast majority of models proposed in the literature are based on an incomplete set of variables, restricting the conceptual view of the SSP. The results contribute to reducing the risk of the SSP not adding value to the Original Equipment Manufacturers' (OEMs) strategic purpose or causing losses. Additionally, the proposed model can be adapted according to the company's business strategy.</t>
  </si>
  <si>
    <t>[da Silva, Adauto Lucas; Pacagnella Junior, Antonio Carlos; Ignacio, Paulo Sergio de Arruda; da Silva, Alessandro Lucas] Univ Estadual Campinas, Unicamp, R Pedro Zaccaria 1300, BR-13484350 Limeira, SP, Brazil</t>
  </si>
  <si>
    <t>Universidade Estadual de Campinas</t>
  </si>
  <si>
    <t>da Silva, AL (corresponding author), Univ Estadual Campinas, Unicamp, R Pedro Zaccaria 1300, BR-13484350 Limeira, SP, Brazil.</t>
  </si>
  <si>
    <t>adautols@unicamp.br; antonio.junior@fca.unicamp.br; paulo.ignacio@fca.unicamp.br; alessandro.silva@fca.unicamp.br</t>
  </si>
  <si>
    <t>de Arruda Ignacio, Paulo Sergio/AAP-3744-2021; Lucas da Silva, Adauto/IUP-9105-2023; Pacagnella Junior, Antonio Carlos/E-3415-2015</t>
  </si>
  <si>
    <t>de Arruda Ignacio, Paulo Sergio/0000-0003-4688-8693; Lucas da Silva, Adauto/0000-0001-5675-6999; Pacagnella Junior, Antonio Carlos/0000-0003-4485-2777</t>
  </si>
  <si>
    <t>0944-6524</t>
  </si>
  <si>
    <t>1863-7353</t>
  </si>
  <si>
    <t>PROD ENG-RES DEV</t>
  </si>
  <si>
    <t>Prod. Eng.-Res. Dev.</t>
  </si>
  <si>
    <t>10.1007/s11740-023-01221-7</t>
  </si>
  <si>
    <t>R1MM9</t>
  </si>
  <si>
    <t>WOS:001062053100001</t>
  </si>
  <si>
    <t>Ding, X; Zhu, XL; Xu, DH; Li, S; Yang, Q; Feng, X; Wei, YG; Li, H; Yang, L; Zhang, YJ; Deng, XL; Liu, KC; Shi, SL</t>
  </si>
  <si>
    <t>Ding, Xue; Zhu, Xin-Le; Xu, Dong-Hui; Li, Shuang; Yang, Qiong; Feng, Xian; Wei, Yong-Gui; Li, Huan; Yang, Ling; Zhang, Yu-Jun; Deng, Xiao-Ling; Liu, Kuan-Can; Shi, Song-Lin</t>
  </si>
  <si>
    <t>NPM promotes hepatotoxin-induced fibrosis by inhibiting ROS-induced apoptosis of hepatic stellate cells and upregulating lncMIAT-induced TGF-beta 2</t>
  </si>
  <si>
    <t>CELL DEATH &amp; DISEASE</t>
  </si>
  <si>
    <t>GROWTH-FACTOR-BETA; OXIDATIVE STRESS; LIVER FIBROSIS; NUCLEOPHOSMIN/B23; EXPRESSION; INFLAMMATION; INTERACTS; CIRRHOSIS; PROTEIN; BINDS</t>
  </si>
  <si>
    <t>Liver fibrosis is caused by a variety of chronic liver injuries and has caused significant morbidity and mortality in the world with increasing tendency. Elucidation of the molecular mechanism of liver fibrosis is the basis for intervention of this pathological process and drug development. Nucleophosmin (NPM) is a widely expressed nucleolar phosphorylated protein, which is particularly important for cell proliferation, differentiation and survival. The biological role of NPM in liver fibrosis remains unknown. Here we show that NPM promotes liver fibrosis through multiple pathways. Our study found that NPM was up-regulated in cirrhosis tissues and activated in hepatic stellate cells (HSCs). NPM inhibition reduced liver fibrosis markers expression in HSCs and inhibited the HSCs proliferation and migration. In mice model, NPM knockdown in HSCs or application of specific NPM inhibitor can remarkably attenuate hepatic fibrosis. Mechanistic analysis showed that NPM promotes hepatic fibrosis by inhibiting HSCs apoptosis through Akt/ROS pathway and by upregulating TGF-beta 2 through Akt-induced lncMIAT. LncMIAT up-regulated TGF-beta 2 mRNA by competitively sponging miR-16-5p. In response to liver injury, hepatocytes, Kupffer cells and HSCs up-regulated NPM to increase TGF-beta secretion to activate HSCs in a paracrine or autocrine manner, leading to increased liver fibrosis. Our study demonstrated that NPM regulated hepatotoxin-induced fibrosis through Akt/ROS-induced apoptosis of HSCs and via the Akt/lncMIAT-up-regulated TGF-beta 2. Inhibition of NPM or application of NPM inhibitor CIGB300 remarkably attenuated liver fibrosis. NPM serves a potential new drug target for liver fibrosis.</t>
  </si>
  <si>
    <t>[Ding, Xue; Zhu, Xin-Le; Xu, Dong-Hui; Li, Shuang; Yang, Qiong; Feng, Xian; Wei, Yong-Gui; Li, Huan; Yang, Ling; Deng, Xiao-Ling; Shi, Song-Lin] Xiamen Univ, Canc Res Ctr, Sch Med, Xiamen, Peoples R China; [Ding, Xue; Zhu, Xin-Le; Zhang, Yu-Jun; Shi, Song-Lin] Xiamen Univ, Sch Med, Dept Basic Med Sci, Xiamen, Peoples R China; [Xu, Dong-Hui] Xiamen Univ, Affiliated Hosp 1, Sch Med, Dept Hepat Biliary Pancreat Vasc Surg, Xiamen, Peoples R China; [Liu, Kuan-Can] Xiamen Univ, Xiangan Hosp, Sch Med, Xiamen 361100, Peoples R China</t>
  </si>
  <si>
    <t>Xiamen University; Xiamen University; Xiamen University; Xiamen University</t>
  </si>
  <si>
    <t>Shi, SL (corresponding author), Xiamen Univ, Canc Res Ctr, Sch Med, Xiamen, Peoples R China.;Shi, SL (corresponding author), Xiamen Univ, Sch Med, Dept Basic Med Sci, Xiamen, Peoples R China.;Liu, KC (corresponding author), Xiamen Univ, Xiangan Hosp, Sch Med, Xiamen 361100, Peoples R China.</t>
  </si>
  <si>
    <t>liukuancan@xmu.edu.cn; shisonglin@xmu.edu.cn</t>
  </si>
  <si>
    <t>National Natural Science Foundation of China [81670542, 82273044]; Fujian Provincial Social Development Guiding (key) Project [2021Y0001]; Fujian Provincial Natural Science Foundation Project [2021J011351]</t>
  </si>
  <si>
    <t>National Natural Science Foundation of China(National Natural Science Foundation of China (NSFC)); Fujian Provincial Social Development Guiding (key) Project; Fujian Provincial Natural Science Foundation Project</t>
  </si>
  <si>
    <t>This work was supported by grants from the National Natural Science Foundation of China (81670542, 82273044), Fujian Provincial Social Development Guiding (key) Project (2021Y0001) and Fujian Provincial Natural Science Foundation Project (2021J011351).</t>
  </si>
  <si>
    <t>2041-4889</t>
  </si>
  <si>
    <t>CELL DEATH DIS</t>
  </si>
  <si>
    <t>Cell Death Dis.</t>
  </si>
  <si>
    <t>AUG 30</t>
  </si>
  <si>
    <t>10.1038/s41419-023-06043-0</t>
  </si>
  <si>
    <t>Q6OW5</t>
  </si>
  <si>
    <t>WOS:001058708200003</t>
  </si>
  <si>
    <t>Galal, AGM; Dawood, RM; El Awady, MK; El-Dessouky, YMM; Mahmoud, MMAH; Alla, MDAA</t>
  </si>
  <si>
    <t>Galal, Al-Shazly Gaber Mohamed; Dawood, Reham M.; El Awady, Mostafa K.; El-Dessouky, Yasser Mohamed Mohamed; Mahmoud, Mohamed Mahmoud Abdel-Halim; Alla, Mohamed Darwish Ahmed Abd</t>
  </si>
  <si>
    <t>Recognition of 7 genes signature (Cirrhosis Risk Score) in the diagnosed non-responders to DAAs therapy by intra-PBMCs nested HCV RNA PCR</t>
  </si>
  <si>
    <t>JOURNAL OF GENETIC ENGINEERING AND BIOTECHNOLOGY</t>
  </si>
  <si>
    <t>CRS; DAAs; PBMCs PCR; HCV Relapse; Liver fibro-cirrhosis</t>
  </si>
  <si>
    <t>CHRONIC HEPATITIS-C; LIVER FIBROSIS PROGRESSION; NATURAL-HISTORY; DISEASE PROGRESSION; VIRUS-INFECTION; CELLS; POLYMORPHISMS</t>
  </si>
  <si>
    <t>Background and aims Predictors of chronic HCV response to oral antiviral therapy (OAT) are related to host genetic variations. Single nucleotide polymorphisms (SNP) and alleles variations of host genes in association with hepatic fibro-cirrhotic changes have a distinct role in OAT outcomes. The current research evaluated the association of Cirrhosis-Risk-Scores (CRS) values, based on the correlation of seven genes signature-SNPs, with sonographic liver parenchymal changes in determining OAT outcomes.Methods All study subjects (n = 54) were recruited three months after completing OAT and classified into three groups. Group I (n = 21) had negative HCV PCR, group II (n = 17) showed positive solitary intra-PBMCs HCV infection, and group III(n = 16) was serum HCV RNA PCR-positive. All study-population were subjected to examination by hepatic-ultrasound (US), FIB-4-scoring, and screening for 7 gene-signature that addressed CRS values as low, intermediate, and high depending on gene SNPs identification.Results Group I showed a significant association with low CRS values compared to other groups (P &lt; 0.001). Solitary intra- PBMCs HCV infection in group II was significantly combined with intermediate CRS values in comparison to groups I and III (P &lt; 0.001). The high CRS values were significantly found in group III when compared to groups I and II (P &lt; 0.01). On US imaging, low CRS values were common in normally appeared hepatic parenchyma (P &lt; 0.001) and high CRS values were frequent in coarse-liver (P &lt; 0.001), while bright-liver-tissues appearance was mainly detected in the intermediate CRS category (P = 0.09). On FIB-4 scoring, high CRS value were associated with hepatic fibro-cirrhosis compared to intermediate (P &lt; 0.001) and low (P = 0.08) CRS-categories.Conclusion The current study concluded the association of (a) high CRS values with coarse liver in viral-RNA serologic relapse, (b) low CRS values with normal liver tissues in sustained virologic response (SVR), (c) intermediate CRS values with bright liver in solitary PBMCs relapse.</t>
  </si>
  <si>
    <t>[Galal, Al-Shazly Gaber Mohamed] Gen Author Hlth Care, Horus Specialized Hosp, Waburat Armant, Egypt; [Dawood, Reham M.; El Awady, Mostafa K.] Natl Res Ctr, Dept Microbial Biotechnol, Cairo, Egypt; [El-Dessouky, Yasser Mohamed Mohamed; Mahmoud, Mohamed Mahmoud Abdel-Halim; Alla, Mohamed Darwish Ahmed Abd] Al Azhar Univ, Fac Med, Dept Hepatol Gastroenterol &amp; Infect Dis, Cairo, Egypt</t>
  </si>
  <si>
    <t>Egyptian Knowledge Bank (EKB); National Research Centre (NRC); Egyptian Knowledge Bank (EKB); Al Azhar University</t>
  </si>
  <si>
    <t>Alla, MDAA (corresponding author), Al Azhar Univ, Fac Med, Dept Hepatol Gastroenterol &amp; Infect Dis, Cairo, Egypt.</t>
  </si>
  <si>
    <t>darwish0716@azhar.edu.eg</t>
  </si>
  <si>
    <t>Department of Hepatology, Gastroenterology, and Infectious Diseases; Faculty of Medicine et al.-Azhar University; Cairo, Egypt</t>
  </si>
  <si>
    <t>Department of Hepatology, Gastroenterology, and Infectious Diseases; Faculty of Medicine et al.-Azhar University; Cairo, Egypt. The institutes have no conflict of interest</t>
  </si>
  <si>
    <t>2090-5920</t>
  </si>
  <si>
    <t>J GENET ENG BIOTECHN</t>
  </si>
  <si>
    <t>J Genet. Eng. Biotechnol.</t>
  </si>
  <si>
    <t>10.1186/s43141-023-00544-3</t>
  </si>
  <si>
    <t>Biotechnology &amp; Applied Microbiology; Environmental Sciences; Toxicology</t>
  </si>
  <si>
    <t>Biotechnology &amp; Applied Microbiology; Environmental Sciences &amp; Ecology; Toxicology</t>
  </si>
  <si>
    <t>Q6JA4</t>
  </si>
  <si>
    <t>WOS:001058553800001</t>
  </si>
  <si>
    <t>Hannes, S; Kochergin, M; Al-Haidary, J; Gotze, T; Habbe, N</t>
  </si>
  <si>
    <t>Hannes, Sabine; Kochergin, Maxim; Al-Haidary, Jasmin; Goetze, Thorsten; Habbe, Nils</t>
  </si>
  <si>
    <t>OTSC Proctology clip as appropriate treatment for complicated anorectal fistula</t>
  </si>
  <si>
    <t>INTERNATIONAL JOURNAL OF COLORECTAL DISEASE</t>
  </si>
  <si>
    <t>OTSC Proctology clip; Anorectal fistula; Sphincter-preserving technique; Salvage treatment; Single-center study</t>
  </si>
  <si>
    <t>ANAL FISTULA; IN-ANO; CLOSURE; DEVICE; SYSTEM</t>
  </si>
  <si>
    <t>Purpose Evaluation of the effectiveness and tolerability of the application of an OTSC (Ovesco Endoscopy AG Tuebingen, Germany) Proctology clip as an innovative strategy of anorectal fistulae closure when established treatment strategies had already failed or were not feasible.Methods Retrospective single-center study including consecutive patients treated between March 2014 and March 2016 with the OTSC Proctology system for anorectal fistula closure, including one rectovaginal and one rectourethral fistula. The primary outcome was the healing rate with a minimum follow up of 6 months. Healing was defined as closure of the internal fistula ostium and absence of secretion or local inflammation during follow up.Results A total of 66 fistula closures by the OTSC Proctology clip were investigated, including cryptoglandular fistulas (45/66 patients, 68%), fistulas associated with CED (19/66 patients, 29%), and other non-cryptoglandular fistulas (2/66 patients, 4%). 47% (31/66 patients) had a failed previous therapy. In that selected collective, a successful fistula closure was achieved in 29/66 cases (44%) after a median follow up time of 40 months (6-61 months). Suprasphincteric and high transsphincteric fistulas showed healing in 63% and 42% in CD associated fistulas.Conclusion Fistula closure by the OTSC Proctology clip is an innovative, sphincter protecting treatment strategy in anorectal fistulas that can achieve long-term cure in complex anorecta</t>
  </si>
  <si>
    <t>[Hannes, Sabine; Kochergin, Maxim; Al-Haidary, Jasmin; Habbe, Nils] DKD Helios Klin Wiesbaden, Dept Surg &amp; Coloproctol, Aukammallee 33, D-65191 Wiesbaden, Germany; [Goetze, Thorsten] North West Hosp, Inst Clin Oncol Res, Frankfurt, Germany</t>
  </si>
  <si>
    <t>Helios Kliniken; Krankenhaus Nordwest</t>
  </si>
  <si>
    <t>Habbe, N (corresponding author), DKD Helios Klin Wiesbaden, Dept Surg &amp; Coloproctol, Aukammallee 33, D-65191 Wiesbaden, Germany.</t>
  </si>
  <si>
    <t>nils.habbe@helios-gesundheit.de</t>
  </si>
  <si>
    <t>0179-1958</t>
  </si>
  <si>
    <t>1432-1262</t>
  </si>
  <si>
    <t>INT J COLORECTAL DIS</t>
  </si>
  <si>
    <t>Int. J. Colorectal Dis.</t>
  </si>
  <si>
    <t>10.1007/s00384-023-04516-4</t>
  </si>
  <si>
    <t>Gastroenterology &amp; Hepatology; Surgery</t>
  </si>
  <si>
    <t>Q6IU3</t>
  </si>
  <si>
    <t>WOS:001058547600001</t>
  </si>
  <si>
    <t>Harrer, M; Cuijpers, P; Schuurmans, LKJ; Kaiser, T; Buntrock, C; van Straten, A; Ebert, D</t>
  </si>
  <si>
    <t>Harrer, Mathias; Cuijpers, Pim; Schuurmans, Lea K. J.; Kaiser, Tim; Buntrock, Claudia; van Straten, Annemieke; Ebert, David</t>
  </si>
  <si>
    <t>Evaluation of randomized controlled trials: a primer and tutorial for mental health researchers</t>
  </si>
  <si>
    <t>Mental health; Randomized controlled trial; Data analysis; Tutorial</t>
  </si>
  <si>
    <t>PSYCHOTHERAPY OUTCOME RESEARCH; MULTIPLE-IMPUTATION; CLINICAL-TRIALS; BASE-LINE; SUBTHRESHOLD DEPRESSION; CAUSAL INFERENCE; PLACEBO; REGISTRATION; INTERVENTION; METAANALYSIS</t>
  </si>
  <si>
    <t>Background Considered one of the highest levels of evidence, results of randomized controlled trials (RCTs) remain an essential building block in mental health research. They are frequently used to confirm that an intervention works and to guide treatment decisions. Given their importance in the field, it is concerning that the quality of many RCT evaluations in mental health research remains poor. Common errors range from inadequate missing data handling and inappropriate analyses (e.g., baseline randomization tests or analyses of within-group changes) to unduly interpretations of trial results and insufficient reporting. These deficiencies pose a threat to the robustness of mental health research and its impact on patient care. Many of these issues may be avoided in the future if mental health researchers are provided with a better understanding of what constitutes a high-quality RCT evaluation.Methods In this primer article, we give an introduction to core concepts and caveats of clinical trial evaluations in mental health research. We also show how to implement current best practices using open-source statistical software.Results Drawing on Rubin's potential outcome framework, we describe that RCTs put us in a privileged position to study causality by ensuring that the potential outcomes of the randomized groups become exchangeable. We discuss how missing data can threaten the validity of our results if dropouts systematically differ from non-dropouts, introduce trial estimands as a way to co-align analyses with the goals of the evaluation, and explain how to set up an appropriate analysis model to test the treatment effect at one or several assessment points. A novice-friendly tutorial is provided alongside this primer. It lays out concepts in greater detail and showcases how to implement techniques using the statistical software R, based on a real-world RCT dataset.Discussion Many problems of RCTs already arise at the design stage, and we examine some avoidable and unavoidable weak spots of this design in mental health research. For instance, we discuss how lack of prospective registration can give way to issues like outcome switching and selective reporting, how allegiance biases can inflate effect estimates, review recommendations and challenges in blinding patients in mental health RCTs, and describe problems arising from underpowered trials. Lastly, we discuss why not all randomized trials necessarily have a limited external validity and examine how RCTs relate to ongoing efforts to personalize mental health care.</t>
  </si>
  <si>
    <t>[Harrer, Mathias; Schuurmans, Lea K. J.; Ebert, David] Tech Univ Munich, Psychol &amp; Digital Mental Hlth Care, Georg Brauchle Ring 60-62, D-80992 Munich, Germany; [Harrer, Mathias] Friedrich Alexander Univ Erlangen Nuremberg, Inst Psychol, Clin Psychol &amp; Psychotherapy, Erlangen, Germany; [Cuijpers, Pim; van Straten, Annemieke] Vrije Univ Amsterdam, Amsterdam Publ Hlth Res Inst, Dept Clin Neuro &amp; Dev Psychol, Amsterdam, Netherlands; [Cuijpers, Pim] Vrije Univ Amsterdam, WHO Collaborating Ctr Res &amp; Disseminat Psychol Int, Amsterdam, Netherlands; [Kaiser, Tim] Free Univ Berlin, Methods &amp; Evaluat Qual Assurance, Berlin, Germany; [Buntrock, Claudia] Otto von Guericke Univ, Inst Social Med &amp; Hlth Syst Res ISMHSR, Med Fac, Magdeburg, Germany</t>
  </si>
  <si>
    <t>Technical University of Munich; University of Erlangen Nuremberg; Vrije Universiteit Amsterdam; Vrije Universiteit Amsterdam; Free University of Berlin; Otto von Guericke University</t>
  </si>
  <si>
    <t>Harrer, M (corresponding author), Tech Univ Munich, Psychol &amp; Digital Mental Hlth Care, Georg Brauchle Ring 60-62, D-80992 Munich, Germany.;Harrer, M (corresponding author), Friedrich Alexander Univ Erlangen Nuremberg, Inst Psychol, Clin Psychol &amp; Psychotherapy, Erlangen, Germany.</t>
  </si>
  <si>
    <t>mathias.harrer@tum.de</t>
  </si>
  <si>
    <t>Harrer, Mathias/0000-0001-7016-2687; van Straten, Annemieke/0000-0001-6875-2215</t>
  </si>
  <si>
    <t>We would like to thank Stella Wernicke for her helpful feedback on this article.</t>
  </si>
  <si>
    <t>10.1186/s13063-023-07596-3</t>
  </si>
  <si>
    <t>Q6JP1</t>
  </si>
  <si>
    <t>WOS:001058568900001</t>
  </si>
  <si>
    <t>Jain, M; Ponugoti, G; Bhansal, S; Goswami, N; Shah, M</t>
  </si>
  <si>
    <t>Jain, Meet; Ponugoti, Godhasiri; Bhansal, Sheenam; Goswami, Nitingiri; Shah, Maulin</t>
  </si>
  <si>
    <t>Management of Post-osteomyelitic Large Ulna Defect in a Pediatric Patient</t>
  </si>
  <si>
    <t>Big ulna defect; Reconstruction; Osteomyelitis</t>
  </si>
  <si>
    <t>BONE</t>
  </si>
  <si>
    <t>Osteomyelitic sequelae in forearm pose challenges in management. Bone resorption leading to gap nonunions is further difficult to manage. We present a case of post-osteomyelitic ulna defect of 16 cm in a 6-year-old boy managed by non-vascularized fibular grafting with simultaneous correction of radius deformity and its functional outcome after 1 year.</t>
  </si>
  <si>
    <t>[Jain, Meet; Ponugoti, Godhasiri; Bhansal, Sheenam; Goswami, Nitingiri; Shah, Maulin] Orthokids Clin, 7th Floor,132 Feet Ring Rd, Ahmadabad 380015, Gujarat, India</t>
  </si>
  <si>
    <t>Shah, M (corresponding author), Orthokids Clin, 7th Floor,132 Feet Ring Rd, Ahmadabad 380015, Gujarat, India.</t>
  </si>
  <si>
    <t>maulinmshah@gmail.com</t>
  </si>
  <si>
    <t>Shah, Maulin/0000-0001-7646-6403</t>
  </si>
  <si>
    <t>10.1007/s43465-023-00985-5</t>
  </si>
  <si>
    <t>Q9IY8</t>
  </si>
  <si>
    <t>WOS:001060593600001</t>
  </si>
  <si>
    <t>Kim, TH; Choi, JH; Jeon, SM; Choi, YW; Kwon, M; Lee, HW; Kang, SY; Ahn, MS; Son, SY; Hur, H; Han, SU; Sheen, SS</t>
  </si>
  <si>
    <t>Kim, Tae-Hwan; Choi, Jin-Hyuk; Jeon, Sang Min; Choi, Yong Won; Kwon, Minsuk; Lee, Hyun Woo; Kang, Seok Yun; Ahn, Mi Sun; Son, Sang-Yong; Hur, Hoon; Han, Sang-Uk; Sheen, Seung-Soo</t>
  </si>
  <si>
    <t>Thromboembolic events in patients who received adjuvant chemotherapy for gastric cancer: a single-center retrospective study</t>
  </si>
  <si>
    <t>GASTRIC CANCER</t>
  </si>
  <si>
    <t>Adjuvant; Chemotherapy; Gastric cancer; Thromboembolic events</t>
  </si>
  <si>
    <t>CAPECITABINE PLUS OXALIPLATIN; VENOUS THROMBOEMBOLISM; RISK-FACTORS; OPEN-LABEL; STAGE-II; S-1; GASTRECTOMY; THROMBOPROPHYLAXIS; THROMBOSIS; EFFICACY</t>
  </si>
  <si>
    <t>Background Thromboembolic events (TEEs) are significant adverse events that can cause serious morbidities and mortality in cancer patients receiving chemotherapy. Patients with gastric cancer (GC) treated with palliative chemotherapy have been reported to experience a TEE incidence of 5-27%. However, very few reports have addressed TEEs in adjuvant chemotherapy (AC) for GC.Methods This study retrospectively analyzed 611 GC patients (stage II: 309, III: 302) who started AC with capecitabine/oxaliplatin (167 patients) or S-1 (444 patients) after undergoing curative resection between January 2013 and June 2020 at a single center. The incidence of TEEs during AC or within 1 year after AC completion was investigated, while analyzing the factors that influenced the TEEs' occurrence.Results TEEs were confirmed in 20 patients (3.3%), and TEEs occurred in almost all patients in the S-1 group (19 patients). The most common TEE types were cerebral infarction and pulmonary thromboembolism (five patients each). Although old age (= 70 years, p &lt; 0.0001), S-1 treatment (p = 0.021), and hypertension (p = 0.017) were identified as significant risk factors for TEEs in univariate analysis, only old age showed a statistically significant correlation with TEEs' occurrence in multivariate analysis (odds ratio: 3.07; 95% confidence interval 1.11-8.48; p = 0.031).Conclusions TEEs occurred in fewer patients with GC who had been treated with AC than patients who had received palliative chemotherapy in previous reports. However, elderly GC patients who are undergoing AC require more careful surveillance for possible TEEs, considering relatively higher incidence of them.</t>
  </si>
  <si>
    <t>[Kim, Tae-Hwan; Choi, Jin-Hyuk; Jeon, Sang Min; Choi, Yong Won; Kwon, Minsuk; Lee, Hyun Woo; Kang, Seok Yun; Ahn, Mi Sun] Ajou Univ, Sch Med, Dept Hematol Oncol, 164 World Cup Ro, Suwon 16499, Gyeonggi Do, South Korea; [Son, Sang-Yong; Hur, Hoon; Han, Sang-Uk] Ajou Univ, Sch Med, Dept Surg, Suwon, South Korea; [Sheen, Seung-Soo] Ajou Univ, Sch Med, Dept Pulmonol &amp; Crit Care Med, Suwon 441749, South Korea</t>
  </si>
  <si>
    <t>Ajou University; Ajou University; Ajou University</t>
  </si>
  <si>
    <t>Ahn, MS (corresponding author), Ajou Univ, Sch Med, Dept Hematol Oncol, 164 World Cup Ro, Suwon 16499, Gyeonggi Do, South Korea.</t>
  </si>
  <si>
    <t>maruhiran@hanmail.net</t>
  </si>
  <si>
    <t>The authors are grateful to Geum Sook Jeong for administrative assistance in preparing and submitting the manuscript.</t>
  </si>
  <si>
    <t>1436-3291</t>
  </si>
  <si>
    <t>1436-3305</t>
  </si>
  <si>
    <t>Gastric Cancer</t>
  </si>
  <si>
    <t>10.1007/s10120-023-01415-z</t>
  </si>
  <si>
    <t>Oncology; Gastroenterology &amp; Hepatology</t>
  </si>
  <si>
    <t>R5HF7</t>
  </si>
  <si>
    <t>WOS:001064652400001</t>
  </si>
  <si>
    <t>Koknaroglu, H; Harrington, JA; Mader, TL; Larsen, TB</t>
  </si>
  <si>
    <t>Koknaroglu, Hayati; Harrington, John A.; Mader, Terry L.; Larsen, Thomas B.</t>
  </si>
  <si>
    <t>Determination of climatologically suitable places in T &amp; uuml;rkiye for feedlot cattle production using the Comprehensive Climate Index model</t>
  </si>
  <si>
    <t>INTERNATIONAL JOURNAL OF BIOMETEOROLOGY</t>
  </si>
  <si>
    <t>Comprehensive Climate Index; Feedlot; Beef cattle; Performance; Turkiye</t>
  </si>
  <si>
    <t>HEAT-STRESS; BEEF-CATTLE; DAIRY-COWS; ENVIRONMENTAL TEMPERATURES; SHORT-TERM; RESPONSES; COLD; PERFORMANCE; EFFICIENCY; HOLSTEIN</t>
  </si>
  <si>
    <t>The purpose of this study was to determine climatologically suitable places to raise feedlot cattle in Turkiye. The Comprehensive Climate Index (CCI), a model that enables one to quantify beef cattle performance based on environmental conditions (temperature, relative humidity, wind speed, solar radiation) at any time in the year, was used to predict dry matter intake (DMI), average daily gain (ADG), and feed efficiency (FE) of feedlot cattle. Thirty years of daily average temperature, relative humidity, and wind speed values were obtained for 15 cities, namely, Antalya, Balikesir, corum, Diyarbakir, Edirne, Elazig, Erzincan, Erzurum, Eskisehir, Isparta, Izmir, Kayseri, Konya, Sivas, and Van. Measured daily solar radiation values were not available and values were calculated based on a formula that takes hemisphere, latitude, and day of the year into account. Since mostly dairy breed calves are placed into a feedlot in Turkiye, the Holstein option in the CCI model was chosen to calculate the maintenance energy requirement. Based on previous feedlot feeding studies conducted in Turkiye, it was assumed that calves would be placed on feed at 250 kg and be marketed at 520 kg, that the diet would have 2600 kcal/kg metabolic energy, and that DMI would be 2.31% of the body weight. Results indicate that cattle raised in Antalya (the hottest place) and Erzurum (the coldest place) had the lowest and highest DMI, respectively (P&lt;0.05). Summer months depressed the DMI of cattle in hotter cities and winter months increased the DMI of cattle in colder cities (P&lt;0.05). Feedlot cattle raised in hotter and colder regions of Turkiye had lower ADG than other places having a more temperate climate (P&lt;0.05). In general, cattle raised in a hotter climate had better FE than those raised in a cold climate (P&lt;0.05).</t>
  </si>
  <si>
    <t>[Koknaroglu, Hayati] Isparta Univ Appl Sci, Dept Anim Sci, Isparta, Turkiye; [Mader, Terry L.] Mader Consulting LLC, Omaha, NE USA; [Larsen, Thomas B.] Univ Northern Iowa, Dept Geog, Cedar Falls, IA USA</t>
  </si>
  <si>
    <t>Isparta University of Applied Sciences; University of Northern Iowa</t>
  </si>
  <si>
    <t>Koknaroglu, H (corresponding author), Isparta Univ Appl Sci, Dept Anim Sci, Isparta, Turkiye.</t>
  </si>
  <si>
    <t>hayatikoknaroglu@isparta.edu.tr</t>
  </si>
  <si>
    <t>TUBITAK's (The Scientific and Technological Research Council of Turkiye) 2219 program; International Postdoctoral Research Fellowship Program for Turkish Citizens</t>
  </si>
  <si>
    <t>TUBITAK's (The Scientific and Technological Research Council of Turkiye) 2219 program(Turkiye Bilimsel ve Teknolojik Arastirma Kurumu (TUBITAK)); International Postdoctoral Research Fellowship Program for Turkish Citizens</t>
  </si>
  <si>
    <t>This project was made possible by a scholarship received by Hayati Koknaroglu from TUBITAK's (The Scientific and Technological Research Council of Turkiye) 2219 program, International Postdoctoral Research Fellowship Program for Turkish Citizens.</t>
  </si>
  <si>
    <t>0020-7128</t>
  </si>
  <si>
    <t>1432-1254</t>
  </si>
  <si>
    <t>INT J BIOMETEOROL</t>
  </si>
  <si>
    <t>Int. J. Biometeorol.</t>
  </si>
  <si>
    <t>10.1007/s00484-023-02541-0</t>
  </si>
  <si>
    <t>Biophysics; Environmental Sciences; Meteorology &amp; Atmospheric Sciences; Physiology</t>
  </si>
  <si>
    <t>Biophysics; Environmental Sciences &amp; Ecology; Meteorology &amp; Atmospheric Sciences; Physiology</t>
  </si>
  <si>
    <t>R5PA1</t>
  </si>
  <si>
    <t>WOS:001064858200001</t>
  </si>
  <si>
    <t>Kumar, S; Jain, C</t>
  </si>
  <si>
    <t>Kumar, Sandeep; Jain, Chandni</t>
  </si>
  <si>
    <t>A Survey on Screening and Diagnostic Criteria of Auditory Processing Disorders in India</t>
  </si>
  <si>
    <t>Central auditory processing; Central auditory processing disorder; CAPD test battery</t>
  </si>
  <si>
    <t>MANAGEMENT; CHILDREN; STAP</t>
  </si>
  <si>
    <t>The current study aimed to determine the criteria used for screening and diagnosing cases with central auditory processing disorders (CAPD) in India. A cross-sectional questionnaire-based survey design was used in the present study. A questionnaire was developed to determine the criteria used for screening and diagnosing CAPD across clinics in India. Responses were obtained from 83 participants from all over India. Results indicated that 78% of respondents were currently doing CAPD evaluation. In that, the majority of respondents (63%) had a predetermined minimum battery that was relatively adaptable depending on the case history and age of the patient. In screening, most respondents used a screening questionnaire (SCAP, 75%) and a screening test (STAP, 60%). In the diagnostic protocol, the most used tests by the respondents were masking level difference (MLD), repetition of words (RW), gap detection test (GDT), pitch pattern test (PPT), speech perception in noise (SPIN), digit span test (DST), dichotic digit test (DDT), binaural fusion test (BFT), auditory brainstem response (ABR), dichotic CV test (DCVT), and duration pattern test (DPT). The current study's result will help professionals choose the minimum test battery for diagnosing CAPD.</t>
  </si>
  <si>
    <t>[Kumar, Sandeep; Jain, Chandni] All India Inst Speech &amp; Hearing, Dept Audiol, Mysuru 570006, Karnataka, India</t>
  </si>
  <si>
    <t>Jain, C (corresponding author), All India Inst Speech &amp; Hearing, Dept Audiol, Mysuru 570006, Karnataka, India.</t>
  </si>
  <si>
    <t>chandni.aud@gmail.com</t>
  </si>
  <si>
    <t>10.1007/s12070-023-04146</t>
  </si>
  <si>
    <t>R1LZ2</t>
  </si>
  <si>
    <t>WOS:001062038800002</t>
  </si>
  <si>
    <t>Li, HY; Zhu, RM</t>
  </si>
  <si>
    <t>Li, Huanyun; Zhu, Rongmin</t>
  </si>
  <si>
    <t>On factorization systems for S-acts</t>
  </si>
  <si>
    <t>SEMIGROUP FORUM</t>
  </si>
  <si>
    <t>Colimits; X-covers; Unique mapping properties; Factorization system</t>
  </si>
  <si>
    <t>MONOIDS; COVERS; AMALGAMATION</t>
  </si>
  <si>
    <t>The concept of a weak factorization system for modules has found an application in one of the proofs of the celebrated flat cover conjecture for modules over a ring. We examine this notion in the context of S-acts over a monoid S. Bailey and Renshaw constructed a weak factorization system related to the existence of precovers of S-acts and showed that the class of flat right S-acts satisfies a related property they call saturated. In this paper we provide a factorization system, namely a weak factorization system with the unique mapping property, which is related to the existence of covers of S-acts with the unique mapping property. Moreover, we show that in this case, a class of monomorphisms associated with principally weakly flat right S-acts is saturated.</t>
  </si>
  <si>
    <t>[Li, Huanyun] Zhongyuan Inst Sci &amp; Technol, Sch Electromech Engn, Zhengzhou 450000, Henan, Peoples R China; [Zhu, Rongmin] Huaqiao Univ, Sch Math Sci, Quanzhou 362021, Peoples R China</t>
  </si>
  <si>
    <t>Huaqiao University</t>
  </si>
  <si>
    <t>Zhu, RM (corresponding author), Huaqiao Univ, Sch Math Sci, Quanzhou 362021, Peoples R China.</t>
  </si>
  <si>
    <t>1639972670@qq.com; rongminzhu@hotmail.com</t>
  </si>
  <si>
    <t>0037-1912</t>
  </si>
  <si>
    <t>1432-2137</t>
  </si>
  <si>
    <t>Semigr. Forum</t>
  </si>
  <si>
    <t>10.1007/s00233-023-10377-8</t>
  </si>
  <si>
    <t>R5OU5</t>
  </si>
  <si>
    <t>WOS:001064852600002</t>
  </si>
  <si>
    <t>Li, J; Long, QS; Lu, XL; Wu, DS</t>
  </si>
  <si>
    <t>Li, Jing; Long, Qiushuang; Lu, Xiaoli; Wu, Dengsheng</t>
  </si>
  <si>
    <t>Citation beneficiaries of discipline-specific mega-journals: who and how much</t>
  </si>
  <si>
    <t>HUMANITIES &amp; SOCIAL SCIENCES COMMUNICATIONS</t>
  </si>
  <si>
    <t>IMPACT FACTORS; MEGAJOURNALS; PUBLISHER; FIELDS</t>
  </si>
  <si>
    <t>The emergence of mega-journals (MJs) has influenced scholarly communication. One concrete manifestation of this impact is that more citations have been generated. Citations are the foundation of many evaluation metrics to assess the scientific impact of journals, disciplines, and regions. We focused on searching for citation beneficiaries and quantifying the relative benefit at the journal, discipline and region levels. More specifically, we examined the distribution and contribution to citation-based metrics of citations generated by the five discipline-specific mega-journals (DSMJs) categorized as Environmental Sciences (ES) on Web of Science (WoS) from Clarivate Analytics in 2021: Sustainability, International Journal of Environmental Research and Public Health, Environmental Science and Pollution Research, Journal of Cleaner Production and Science of the Total Environment. Analysis of the distribution of citing data of the five DSMJs shows a pattern with wide coverage but skewness by region and the WoS category; that is, papers in the five DSMJs contributed 26.66% of their citations in 2021 to Mainland China and 22.48% to the ES. Moreover, 15 journals within the ES had their JIFs boosted by more than 20%, benefitting from the high citing rates of the five DSMJs. More importantly, the analysis provides clear evidence that DSMJs can contribute to JIF scores throughout a discipline through their volume of references. Overall, DSMJs can widely impact scholarly evaluation because they contribute citation benefits and improve the evaluation index performance of different scientific entities at different levels. Considering the important application of citation indicators in the academic evaluation system and the increase in citations, it is important to reconsider the real research impact that citations can reflect.</t>
  </si>
  <si>
    <t>[Li, Jing; Long, Qiushuang] Sun Yat Sen Univ, Sch Informat Management, Guangzhou 510006, Peoples R China; [Lu, Xiaoli] Natl Geol Lib China, Beijing 100083, Peoples R China; [Wu, Dengsheng] Chinese Acad Sci, Inst Sci &amp; Dev, Beijing 100190, Peoples R China; [Wu, Dengsheng] Univ Chinese Acad Sci, Sch Publ Policy &amp; Management, Beijing 100049, Peoples R China</t>
  </si>
  <si>
    <t>Sun Yat Sen University; China Geological Survey; National Geological Library of China; Chinese Academy of Sciences; Chinese Academy of Sciences; University of Chinese Academy of Sciences, CAS</t>
  </si>
  <si>
    <t>Wu, DS (corresponding author), Chinese Acad Sci, Inst Sci &amp; Dev, Beijing 100190, Peoples R China.;Wu, DS (corresponding author), Univ Chinese Acad Sci, Sch Publ Policy &amp; Management, Beijing 100049, Peoples R China.</t>
  </si>
  <si>
    <t>wds@casipm.ac.cn</t>
  </si>
  <si>
    <t>This research was supported by grants from the National Natural Science Foundation of China (Grant No. 72022021, 72301257), Natural Science Foundation of Guangdong Province of China, 2023A1515010982, Ministry of Education Humanities and Social Science Rese [72301257, 2023A1515010982]; National Natural Science Foundation of China [21YJA870004]; Natural Science Foundation of Guangdong Province of China; Ministry of Education Humanities and Social Science Research projects; [72022021]</t>
  </si>
  <si>
    <t>This research was supported by grants from the National Natural Science Foundation of China (Grant No. 72022021, 72301257), Natural Science Foundation of Guangdong Province of China, 2023A1515010982, Ministry of Education Humanities and Social Science Rese; National Natural Science Foundation of China(National Natural Science Foundation of China (NSFC)); Natural Science Foundation of Guangdong Province of China(National Natural Science Foundation of Guangdong Province); Ministry of Education Humanities and Social Science Research projects;</t>
  </si>
  <si>
    <t>This research was supported by grants from the National Natural Science Foundation of China (Grant No. 72022021, 72301257), Natural Science Foundation of Guangdong Province of China, 2023A1515010982, Ministry of Education Humanities and Social Science Research projects, 21YJA870004.</t>
  </si>
  <si>
    <t>2662-9992</t>
  </si>
  <si>
    <t>HUM SOC SCI COMMUN</t>
  </si>
  <si>
    <t>Hum. Soc. Sci. Commun.</t>
  </si>
  <si>
    <t>10.1057/s41599-023-02050-w</t>
  </si>
  <si>
    <t>Humanities, Multidisciplinary; Social Sciences, Interdisciplinary</t>
  </si>
  <si>
    <t>Arts &amp; Humanities - Other Topics; Social Sciences - Other Topics</t>
  </si>
  <si>
    <t>Q6KC2</t>
  </si>
  <si>
    <t>WOS:001058582200001</t>
  </si>
  <si>
    <t>Liu, X; Ding, ZM</t>
  </si>
  <si>
    <t>Liu, Xin; Ding, Zhumin</t>
  </si>
  <si>
    <t>Variational principle for BS-dimension of subsets of finitely generated free semigroup actions</t>
  </si>
  <si>
    <t>BS-dimension; Bowen's equation; Measure-theoretical lower BS-dimension; Variational principle</t>
  </si>
  <si>
    <t>TOPOLOGICAL-ENTROPY; PRESSURE; SETS</t>
  </si>
  <si>
    <t>We consider a topological dynamical system under the action of a finitely generated free semigroup. Using the Caratheodory structure, we define BS-dimension on an arbitrary subset and obtain a Bowen's equation which illustrates the relation of BS-dimension to Pesin-Pitskel topological pressure defined in Zhong and Chen (Acta Math Sinica Engl Ser 37(9):1401-1414, 2021). Then, an analogue of Billingsley's theorem is obtained, by which we get a variational principle between BS-dimension and measure-theoretical lower BS-dimension.</t>
  </si>
  <si>
    <t>[Liu, Xin] Guangdong Univ Educ, Dept Math, Guangzhou 510303, Peoples R China; [Ding, Zhumin] Sun Yat Sen Univ, Dept Math, Guangzhou 510275, Peoples R China</t>
  </si>
  <si>
    <t>Sun Yat Sen University</t>
  </si>
  <si>
    <t>Liu, X (corresponding author), Guangdong Univ Educ, Dept Math, Guangzhou 510303, Peoples R China.</t>
  </si>
  <si>
    <t>liuxin3105@126.com; dingzhm5@mail2.sysu.edu.cn</t>
  </si>
  <si>
    <t>National Natural Science Foundation of China [11771459, 12171492, 12001113]; Educational Commission of Guangdong Province [2019KQNCX096]</t>
  </si>
  <si>
    <t>National Natural Science Foundation of China(National Natural Science Foundation of China (NSFC)); Educational Commission of Guangdong Province</t>
  </si>
  <si>
    <t>We thank the anonymous referee for valuable suggestions. The first author was supported by the National Natural Science Foundation of China (Grant Nos. 11771459 and 12171492). The second author was supported by the National Natural Science Foundation of China (No. 12001113) and the Educational Commission of Guangdong Province(No. 2019KQNCX096).</t>
  </si>
  <si>
    <t>10.1007/s00233-023-10379-6</t>
  </si>
  <si>
    <t>WOS:001064852600001</t>
  </si>
  <si>
    <t>Low, QY; Liao, HJ</t>
  </si>
  <si>
    <t>Low, Qi Yi; Liao, Hung-Ju</t>
  </si>
  <si>
    <t>Effects of Incorporated Emulsifiers Into Noodles on V-amylose Formation, Digestibility, and Structural Characteristics</t>
  </si>
  <si>
    <t>PLANT FOODS FOR HUMAN NUTRITION</t>
  </si>
  <si>
    <t>In vitro digestion; V-amylose complex; Noodles; Emulsifier; Structural characteristic</t>
  </si>
  <si>
    <t>STARCH; HYDROLYSIS; DIGESTION; COMPLEXES</t>
  </si>
  <si>
    <t>There is growing interest in developing low glycemic alternatives to starchy foods. In this study, two emulsifiers, namely sodium stearoyl lactylate and egg yolk, were incorporated into the formulation of noodles (EYN and SSLN), and their effects on V-amylose formation, digestibility and structural characteristics of the noodles were investigated. The emulsifiers facilitated V-amylose formation in the noodles, indicated by the complexing indices. The EYN and SSLN exhibited markedly high resistant starch contents compared to the control noodle. The logarithm of slope plot analysis showed that the EYN and SSLN had low first-phase rate constants compared to the control noodles, suggesting a barrier effect to digestive enzymes exerted by V-amylose. The SSLN and EYN displayed a mixture of B- and V-type patterns with higher crystallinities and two distinct spectral features of the bands at 2854 cm- 1 and 1746 cm- 1 compared to the control noodles. Polarized light micrographs of the SSLN and EYN exhibited vague contours of numerous irregularly shaped starch fragments with strong birefringence. These results suggest that forming V-amylose crystals in the SSLN and EYN was responsible for their increased resistance to digestion through reformulating emulsifiers in modifying their nutritional functionalities.</t>
  </si>
  <si>
    <t>[Low, Qi Yi; Liao, Hung-Ju] Natl Chiayi Univ, Dept Food Sci, 300 Syuefu Rd, Chiayi 600355, Taiwan</t>
  </si>
  <si>
    <t>Liao, HJ (corresponding author), Natl Chiayi Univ, Dept Food Sci, 300 Syuefu Rd, Chiayi 600355, Taiwan.</t>
  </si>
  <si>
    <t>markliao@mail.ncyu.edu.tw</t>
  </si>
  <si>
    <t>0921-9668</t>
  </si>
  <si>
    <t>1573-9104</t>
  </si>
  <si>
    <t>PLANT FOOD HUM NUTR</t>
  </si>
  <si>
    <t>Plant Food Hum. Nutr.</t>
  </si>
  <si>
    <t>10.1007/s11130-023-01096-0</t>
  </si>
  <si>
    <t>Plant Sciences; Chemistry, Applied; Food Science &amp; Technology; Nutrition &amp; Dietetics</t>
  </si>
  <si>
    <t>Plant Sciences; Chemistry; Food Science &amp; Technology; Nutrition &amp; Dietetics</t>
  </si>
  <si>
    <t>R1ME8</t>
  </si>
  <si>
    <t>WOS:001062044500001</t>
  </si>
  <si>
    <t>Ren, QM; Ma, YN; Liu, F; Zhang, AL; Zhang, KL</t>
  </si>
  <si>
    <t>Ren, Qiming; Ma, Yini; Liu, Fei; Zhang, Ailing; Zhang, Kailiang</t>
  </si>
  <si>
    <t>Enhanced sensitivity and wide refractive index detection range of D-shaped SPR fiber sensor based on Au/ZnO nanostructures</t>
  </si>
  <si>
    <t>Plasmonic; Nanowires; ZnO nanofilm; Sensitivity</t>
  </si>
  <si>
    <t>SURFACE-PLASMON RESONANCE; THIN-FILM</t>
  </si>
  <si>
    <t>We propose and numerically investigate a D-shaped SPR fiber sensor based on Au nanowire grating-zinc oxide (ZnO) nanofilm hybrid structure. Plasmonic mode couplings are investigated by birefringence analysis. The resonance peak can be found by searching the wavelength where birefringence is zero. It proves that in visible and near-infrared (NIR) region, ZnO nanofilm can greatly improve the refractive index sensitivity (RIS) of the sensor, which is the result of the promoted photon interaction and enhanced electric field intensity at the metal-semiconductor junction. The calculated maximum RIS is 15,433 nm/RIU within a wide refractive index detection range of 1.29-1.42, which is better than most reported D-shaped SPR fiber sensors to the best of our knowledge. In addition, it's found ZnO nanofilm inhibits the coupled intensity of degenerate mode in x direction to some extent, and the degree of inhibition is related to the film thickness, which might be due to its large dielectric constant.</t>
  </si>
  <si>
    <t>[Ren, Qiming; Ma, Yini; Liu, Fei; Zhang, Ailing; Zhang, Kailiang] Tianjin Univ Technol, Engn Res Ctr Commun Devices &amp; Technol, Sch Integrated Circuit Sci &amp; Engn, Tianjin Key Lab Film Elect &amp; Commun Devices, Tianjin 300384, Peoples R China</t>
  </si>
  <si>
    <t>Tianjin University of Technology</t>
  </si>
  <si>
    <t>Liu, F (corresponding author), Tianjin Univ Technol, Engn Res Ctr Commun Devices &amp; Technol, Sch Integrated Circuit Sci &amp; Engn, Tianjin Key Lab Film Elect &amp; Commun Devices, Tianjin 300384, Peoples R China.</t>
  </si>
  <si>
    <t>qiming_ren3@163.com; yinima_6@163.com; feiliu@tju.edu.cn; alzhang@email.tjut.edu.cn; Kailiang_zhang@163.com</t>
  </si>
  <si>
    <t>Youth Science Foundation Project of Natural Science Foundation of Tianjin [18JCQNJC71400]; Key Project of Tianjin Natural Science Foundation [20JCZDJC00500]; Youth Science Foundation Project of National Natural Science Foundation of China [61505144]; Scientific Research Plan of Tianjin Municipal Education Commission [2017KJ252]</t>
  </si>
  <si>
    <t>Youth Science Foundation Project of Natural Science Foundation of Tianjin; Key Project of Tianjin Natural Science Foundation; Youth Science Foundation Project of National Natural Science Foundation of China; Scientific Research Plan of Tianjin Municipal Education Commission</t>
  </si>
  <si>
    <t>This work was supported by Youth Science Foundation Project of Natural Science Foundation of Tianjin, Number 18JCQNJC71400, Key Project of Tianjin Natural Science Foundation, Number 20JCZDJC00500, Youth Science Foundation Project of National Natural Science Foundation of China, Number 61505144, and the Scientific Research Plan of Tianjin Municipal Education Commission (Grant No. 2017KJ252). (Corresponding author: Fei Liu.)</t>
  </si>
  <si>
    <t>10.1007/s12596-023-01361-0</t>
  </si>
  <si>
    <t>R5GP5</t>
  </si>
  <si>
    <t>WOS:001064635600002</t>
  </si>
  <si>
    <t>Riegel, U; Rothgangel, M</t>
  </si>
  <si>
    <t>Riegel, Ulrich; Rothgangel, Martin</t>
  </si>
  <si>
    <t>The impact of institutional context on research in religious education: results from an international comparative study</t>
  </si>
  <si>
    <t>JOURNAL OF RELIGIOUS EDUCATION</t>
  </si>
  <si>
    <t>Comparative research; Religious education; International study; Methodology; Objects of inquiry; Reference disciplines</t>
  </si>
  <si>
    <t>WORLDVIEW</t>
  </si>
  <si>
    <t>On the one hand, research on religious education is done according to a transnational scientific paradigm, on the other hand, it is performed within particular institutional contexts which vary from nation to nation.This raises the question of how institutional context affect research on religious education. The paper addresses this question on the basis of an international study. N = 49 colleagues across Europe as well as Israel, South Africa, South Korea, and Turkey filled in an online-questionnaire regarding their own research. Despite the international character of the sample, research on religious education seems to be practiced quite coherently in regard of the objects of inquiry, the applied methods, and the disciplines the colleagues refer to. The few significant differences indicate that theology and educational studies are slightly more important in contexts of denominational religious education as well as analysing both pupils and processes of teaching and learning. In the context of non-denominational RE, instead, religious studies is slightly more important. These results will be discussed.</t>
  </si>
  <si>
    <t>[Riegel, Ulrich] Univ Siegen, Seminar Kathol Theol, Adolf Reichwein Str 2, D-57068 Siegen, Germany; [Rothgangel, Martin] Univ Wien, Evangel Theol Fak, Schenkenstr 8-10, A-1010 Vienna, Austria</t>
  </si>
  <si>
    <t>Universitat Siegen; University of Vienna</t>
  </si>
  <si>
    <t>Riegel, U (corresponding author), Univ Siegen, Seminar Kathol Theol, Adolf Reichwein Str 2, D-57068 Siegen, Germany.</t>
  </si>
  <si>
    <t>Ulrich.Riegel@uni-siegen.de; martin.rothgangel@univie.ac.at</t>
  </si>
  <si>
    <t>Riegel, Ulrich/0000-0002-9423-9092</t>
  </si>
  <si>
    <t>Open Access funding enabled and organized by Projekt DEAL. The authors did not receive support from any organization for the submitted work.</t>
  </si>
  <si>
    <t>1442-018X</t>
  </si>
  <si>
    <t>2199-4625</t>
  </si>
  <si>
    <t>J RELIG EDUC</t>
  </si>
  <si>
    <t>J. Relig. Educ.</t>
  </si>
  <si>
    <t>JUL</t>
  </si>
  <si>
    <t>10.1007/s40839-023-00202-3</t>
  </si>
  <si>
    <t>Religion</t>
  </si>
  <si>
    <t>S6QI8</t>
  </si>
  <si>
    <t>WOS:001062020100001</t>
  </si>
  <si>
    <t>Stahel, PF; Weckbach, S; Ziran, N; Smith, WR; Moore, EE; Pape, HC; Clavien, PA</t>
  </si>
  <si>
    <t>Stahel, Philip F.; Weckbach, Sebastian; Ziran, Navid; Smith, Wade R.; Moore, Ernest E.; Pape, Hans-Christoph; Clavien, Pierre-Alain</t>
  </si>
  <si>
    <t>Patient Safety in Surgery - announcing the journal's first impact factor (3.7)</t>
  </si>
  <si>
    <t>PATIENT SAFETY IN SURGERY</t>
  </si>
  <si>
    <t>Patient safety in surgery; Impact factor; Publication metrics; Journal citation reports</t>
  </si>
  <si>
    <t>[Stahel, Philip F.] Mission Hlth, 50 Schenck Pkwy, Asheville, NC 28803 USA; [Stahel, Philip F.] East Carolina Univ, Brody Sch Med, Dept Surg, E 5th St, Greenville, NC 27858 USA; [Stahel, Philip F.] Rocky Vista Univ, Coll Osteopath Med, Dept Specialty Med, Parker, CO 80112 USA; [Weckbach, Sebastian] NeuroSpine Zurich, Zurich, Switzerland; [Ziran, Navid] St Josephs Med Ctr, Dept Orthoped, Phoenix, AZ USA; [Smith, Wade R.] Swedish Med Ctr, Dept Orthoped, Englewood, CO USA; [Moore, Ernest E.] Denver Hlth, Ernest E Moore Shock Trauma Ctr, Denver, CO USA; [Pape, Hans-Christoph] Univ Hosp Zurich, Dept Trauma Surg, Zurich, Switzerland; [Clavien, Pierre-Alain] Univ Hosp Zurich, Dept Surg &amp; Transplantat, Zurich, Switzerland</t>
  </si>
  <si>
    <t>University of North Carolina; East Carolina University; St. Joseph's Hospital and Medical Center; Denver Health Medical Center; University of Zurich; University Zurich Hospital; University of Zurich; University Zurich Hospital</t>
  </si>
  <si>
    <t>Stahel, PF (corresponding author), Mission Hlth, 50 Schenck Pkwy, Asheville, NC 28803 USA.;Stahel, PF (corresponding author), East Carolina Univ, Brody Sch Med, Dept Surg, E 5th St, Greenville, NC 27858 USA.;Stahel, PF (corresponding author), Rocky Vista Univ, Coll Osteopath Med, Dept Specialty Med, Parker, CO 80112 USA.</t>
  </si>
  <si>
    <t>stahelp23@ecu.edu</t>
  </si>
  <si>
    <t>Pape, Hans-Christoph/0000-0002-2059-4980</t>
  </si>
  <si>
    <t>1754-9493</t>
  </si>
  <si>
    <t>PATIENT SAF SURG</t>
  </si>
  <si>
    <t>Patient Saf. Surg.</t>
  </si>
  <si>
    <t>10.1186/s13037-023-00375-8</t>
  </si>
  <si>
    <t>Q5KZ1</t>
  </si>
  <si>
    <t>WOS:001057922300001</t>
  </si>
  <si>
    <t>Tang, MJ; Zhang, S; Zheng, M; Ma, ZF; Gao, W</t>
  </si>
  <si>
    <t>Tang, Mingjing; Zhang, Shu; Zheng, Ming; Ma, Zifei; Gao, Wei</t>
  </si>
  <si>
    <t>SCL-SKG: software knowledge extraction with span-level contrastive learning</t>
  </si>
  <si>
    <t>ARTIFICIAL INTELLIGENCE REVIEW</t>
  </si>
  <si>
    <t>Software knowledge graph; Entity extraction; Relation extraction; Contrastive learning; StackOverflow</t>
  </si>
  <si>
    <t>JOINT ENTITY</t>
  </si>
  <si>
    <t>The text of software knowledge community contains abundant knowledge of software engineering field. The software knowledge entity and relation can be extracted automatically and efficiently to form the software knowledge graph, which is helpful for software knowledge-centric intelligent applications, such as intelligent question answering, automatic document generation and software expert recommendation. Most existing methods are confronted with problems of task dependence and entity overlap. In this paper, we propose a software knowledge extraction method based on span-level contrastive learning. From the level of sentence sequence modelling, we model the sentence sequence with span as a unit, and generate abundant positive and negative samples of entity span through the span representation layer to avoid the problem that the token-level method cannot select overlapping entities. From the level of feature learning, we propose supervised entity contrastive learning and relation contrastive learning, which obtain enhanced feature representation of entity span and entity pair through positive and negative sample enhancement and contrastive loss function construction. Experiments are conducted on the dataset which is constructed based on texts of the StackOverflow, and show that our approach achieves a better performance than baseline models.</t>
  </si>
  <si>
    <t>[Tang, Mingjing] Yunnan Normal Univ, Key Lab Educ Informatizat Nationalities, Minist Educ, Kunming, Peoples R China; [Tang, Mingjing] Yunnan Normal Univ, Yunnan Key Lab Smart Educ, Kunming, Peoples R China; [Zhang, Shu; Gao, Wei] Yunnan Normal Univ, Sch Informat Sci &amp; Technol, Kunming, Peoples R China; [Zheng, Ming] Anhui Normal Univ, Sch Comp &amp; Informat, Wuhu, Peoples R China; [Ma, Zifei] Yunnan Agr Univ, Sch Water Conservancy, Kunming, Peoples R China</t>
  </si>
  <si>
    <t>Yunnan Normal University; Yunnan Normal University; Yunnan Normal University; Anhui Normal University; Yunnan Agricultural University</t>
  </si>
  <si>
    <t>Zhang, S (corresponding author), Yunnan Normal Univ, Sch Informat Sci &amp; Technol, Kunming, Peoples R China.</t>
  </si>
  <si>
    <t>83947548@qq.com</t>
  </si>
  <si>
    <t>National Natural Science Foundation of China [62266054]; Science and Technology Program of Yunnan Province [202101AT070095]</t>
  </si>
  <si>
    <t>National Natural Science Foundation of China(National Natural Science Foundation of China (NSFC)); Science and Technology Program of Yunnan Province</t>
  </si>
  <si>
    <t>We thank the anonymous reviewers and the editors for their suggestions. This work is supported by the National Natural Science Foundation of China (Grant No. 62266054), Science and Technology Program of Yunnan Province (Grant No. 202101AT070095).</t>
  </si>
  <si>
    <t>0269-2821</t>
  </si>
  <si>
    <t>1573-7462</t>
  </si>
  <si>
    <t>ARTIF INTELL REV</t>
  </si>
  <si>
    <t>Artif. Intell. Rev.</t>
  </si>
  <si>
    <t>10.1007/s10462-023-10580-7</t>
  </si>
  <si>
    <t>R5HG1</t>
  </si>
  <si>
    <t>WOS:001064652800002</t>
  </si>
  <si>
    <t>Vorwerg-Gall, S; Stamm, O; Haink, M</t>
  </si>
  <si>
    <t>Vorwerg-Gall, Susan; Stamm, Oskar; Haink, Michele</t>
  </si>
  <si>
    <t>Virtual reality exergame in older patients with hypertension: a preliminary study to determine load intensity and blood pressure</t>
  </si>
  <si>
    <t>VR training; Exergame; Head mounted display; Physical activity; Postexercise hypotension; Heart rate, hypertension; High blood pressure; Older adults</t>
  </si>
  <si>
    <t>PHYSICAL-ACTIVITY; HEART-RATE; REHABILITATION; TRIALS; RECOMMENDATIONS; ASSOCIATION; PREVENTION; MEDICINE</t>
  </si>
  <si>
    <t>Background Lifestyle changes and physical activity can make an important contribution to reducing the risk factor for high blood pressure (BP). Whether virtual reality (VR) exergames are also appropriate and make a positive contribution to the reduction of BP has not yet been sufficiently investigated. Therefore, the aim of the study was to gain knowledge of the load intensities to be achieved during a VR exergame and to examine the short-term effects on BP.Methods For the preliminary study, 22 participants with hypertension over the age of 65 years were analyzed. The study took place in a mobile laboratory truck. All participants visited on two occasions. During visit 1, VR strength endurance training (VR-SET) and during visit 2, VR endurance training (VR-ET) was performed. Each VR session lasted approximately 25 min and was of a moderate intensity. Heart rate (HR) was measured across the entire session, as well as BP before and after the VR exergame. The Rating of Perceived Exertion (RPE) and task load using NASA Task Load Index were determined after each VR session. Included in the statistical analysis were the Shapiro-Wilk test, the paired t-test, the Wilcoxon test and ANOVA for repeated measures.Results During the main part (p &lt; .001), at the end (p = .002) and for the maximum HR (p &lt; .001), significant load differences between both VR sessions could be determined. In addition, significantly more participants in the VR-SET group achieved a moderate load intensity of at least 40% of heart rate reserve (p = .014). Regarding RPE, participants rated their subjectively perceived exertion significantly higher in the VR-SET than in the VR-ET (p = .028). Systolic BP decreased significantly in both VR sessions when compared before VR session and 5 min after VR session (p = .015; p = .003), as well as before VR session and 10 min after VR session (p = .018; p &lt; .001).Conclusions An individual moderate load intensity of 40% can be reached during VR-SET. In addition, a positive short-term effect of the VR exergame on BP behavior (postexercise hypotension) was observed after both VR sessions. The preliminary results indicate that a VR exergaming could lead to blood pressure lowering effects for older people with hypertension.</t>
  </si>
  <si>
    <t>[Vorwerg-Gall, Susan] Charite Univ Med Berlin, Dept Geriatr &amp; Med Gerontol, Reinickendorfer Str 61, D-13347 Berlin, Germany; Free Univ Berlin, Reinickendorfer Str 61, D-13347 Berlin, Germany; Humboldt Univ, Reinickendorfer Str 61, D-13347 Berlin, Germany</t>
  </si>
  <si>
    <t>Free University of Berlin; Humboldt University of Berlin; Charite Universitatsmedizin Berlin; Free University of Berlin; Humboldt University of Berlin</t>
  </si>
  <si>
    <t>Vorwerg-Gall, S (corresponding author), Charite Univ Med Berlin, Dept Geriatr &amp; Med Gerontol, Reinickendorfer Str 61, D-13347 Berlin, Germany.</t>
  </si>
  <si>
    <t>susan.vorwerg@charite.de</t>
  </si>
  <si>
    <t>Stamm, Oskar/ABE-6115-2021</t>
  </si>
  <si>
    <t>Stamm, Oskar/0000-0003-1584-687X</t>
  </si>
  <si>
    <t>The authors acknowledge the participants for their assistance during the study. We would also like to thank the Berlin University of Applied Sciences for providing the VITALAB.mobile.</t>
  </si>
  <si>
    <t>10.1186/s12877-023-04245-x</t>
  </si>
  <si>
    <t>Q5AX0</t>
  </si>
  <si>
    <t>WOS:001057655600001</t>
  </si>
  <si>
    <t>Yazici, H; Esmer, AC; Kayaci, AE; Yegen, SC</t>
  </si>
  <si>
    <t>Yazici, Hilmi; Esmer, Ahmet Cem; Kayaci, Ayse Eren; Yegen, Sevket Cumhur</t>
  </si>
  <si>
    <t>Gastric cancer surgery in elderly patients: promising results from a mid-western population</t>
  </si>
  <si>
    <t>Cancer; Elderly; Gastric; Surgery; Complication</t>
  </si>
  <si>
    <t>PROGNOSIS; AGE; COMPLICATIONS; GASTRECTOMY; CARCINOMA; RESECTION; OUTCOMES; OLDER</t>
  </si>
  <si>
    <t>Backgrounds Extended resection for gastric cancer in elderly patients is still challenging for surgeons. This study aimed to evaluate the prognosis and the postoperative outcomes of elderly patients underwent gastric cancer surgery in a high-volume center. Methods The medical records of patients with gastric cancer surgery at Marmara University Hospital's General Surgery Department were examined retrospectively. Patients were divided into two groups: Age &lt;= 70 and Age &gt; 70. The clinicopathological data of the patients were compared. The prognostic factors regarding gastric cancer surgery were analyzed with Cox proportional regression models. Kaplan Meier analysis and log-rank test were used to compare Overall Survival (OS) and Cancer-Specific Survival (CSS) among the groups. Competing risk regression analysis was used to examine cause-specific hazards among elderly patients. Results The number of eligible patients was 250. Age &gt; 70 group was 68 patients, and Age &lt;= 70 group was 182 patients. There is no significant difference between the patient's demographics or pathological outcomes. Neoadjuvant therapies performed less in elderly patients [40 (22%) vs. 7 (10%), p: 0.03, respectively]. There was no significant difference in severe complication (&gt;= Grade III) rates in both groups. Multivariate analysis showed that advanced T stage and adjacent organ invasion were the independent risk factors for OS. No significant difference was observed between the groups regarding OS (Log Rank (Mantel-Cox): 0.102). Younger patients have worse CSS than those who are older. Cause-specific hazard model demonstrated a not increased hazard ratio [HR: 1.04(0.78-1.38)] for elderly patients for OS and CSS. Conclusion Gastric resections can be safely performed for elderly patients diagnosed with gastric cancer. This study showed that growing age is no longer a factor that will affect the clinician's decision in performing surgery in gastric cancer patients.</t>
  </si>
  <si>
    <t>[Yazici, Hilmi; Esmer, Ahmet Cem; Kayaci, Ayse Eren; Yegen, Sevket Cumhur] Marmara Univ, Gen Surg Dept, Pendik Res &amp; Treatment Hosp, Istanbul, Turkiye</t>
  </si>
  <si>
    <t>Marmara University</t>
  </si>
  <si>
    <t>Yazici, H (corresponding author), Marmara Univ, Gen Surg Dept, Pendik Res &amp; Treatment Hosp, Istanbul, Turkiye.</t>
  </si>
  <si>
    <t>hilmiyazici@hotmail.com</t>
  </si>
  <si>
    <t>Yazici, Hilmi/AFK-1870-2022</t>
  </si>
  <si>
    <t>Yazici, Hilmi/0000-0001-7470-0518</t>
  </si>
  <si>
    <t>10.1186/s12877-023-04206-4</t>
  </si>
  <si>
    <t>Q6IK4</t>
  </si>
  <si>
    <t>WOS:001058537400003</t>
  </si>
  <si>
    <t>Zegeye, B; Idriss-Wheeler, D; Oladimeji, O; Yaya, S</t>
  </si>
  <si>
    <t>Zegeye, Betregiorgis; Idriss-Wheeler, Dina; Oladimeji, Olanrewaju; Yaya, Sanni</t>
  </si>
  <si>
    <t>Exploring health insurance and knowledge of the ovulatory cycle: evidence from Demographic and Health Surveys of 29 countries in Sub-Saharan Africa</t>
  </si>
  <si>
    <t>Ovulatory cycle knowledge; Women's health; Health insurance; Sub-Sahara Africa; DHS; Global health</t>
  </si>
  <si>
    <t>AWARENESS-BASED METHODS; CONTRACEPTIVE USE; FERTILITY; WOMEN; CARE; EDUCATION; BARRIERS; AGE</t>
  </si>
  <si>
    <t>Background Unplanned pregnancy continues to be a major public health concern in Sub-Saharan Africa (SSA). Understanding the ovulatory cycle can help women avoid unplanned pregnancy. Though a wide range of factors for ovulatory cycle knowledge in SSA countries has not been well assessed, the influence of health insurance on ovulatory cycle knowledge is largely unknown. As a result, we set out to investigate the relationship between health insurance enrollment and knowledge of the ovulatory cycle among women of childbearing age. This study aims to investigate the relationship between health insurance enrollment and knowledge of the ovulatory cycle among women of childbearing age in sub-Saharan Africa (SSA). Methods Demographic and Health Surveys (DHSs) data from 29 SSA countries were analyzed. The association between health insurance and ovulatory cycle knowledge was investigated using bivariate and multivariate multilevel logistic regression models among 372,692 women of reproductive age (15-49). The findings were presented as adjusted odds ratios (AOR) with 95% confidence intervals (CI). A p-value of 0.05 was considered statistically significant. Results The pooled result shows that the prevalence of knowledge of ovulatory cycle in the studied 29 SSA countries was 25.5% (95% CI; 24.4%-26.6%). Findings suggest higher odds of ovulatory cycle knowledge among women covered by health insurance (AOR = 1.27, 95% CI; 1.02-1.57), with higher education (higher-AOR = 2.83, 95% CI; 1.95-4.09), from the richest wealth quintile (richest-AOR = 1.39, 95% CI; 1.04-1.87), and from female headed households (AOR = 1.16, 95% CI; 1.01-1.33) compared to women who had no formal education, were from the poorest wealth quintile and belonged to male headed households, respectively. We found lower odds of ovulatory cycle knowledge among women who had 2-4 parity history (AOR = 0.80, 95% CI; 0.65-0.99) compared to those with history of one parity. Conclusions The findings indicate that the knowledge of the ovulatory cycle is lacking in SSA. Improving health insurance enrollment should be considered to increase ovulatory cycle knowledge as an approach to reduce the region's unplanned pregnancy rate. Strategies for improving opportunities that contribute to women's empowerment and autonomy as well as sexual and reproductive health approaches targeting women who are in poorest quintiles, not formally educated, belonging to male headed households, and having high parity should be considered.</t>
  </si>
  <si>
    <t>[Zegeye, Betregiorgis] HaSET Maternal &amp; Child Hlth Res Program, Addis Ababa, Ethiopia; [Idriss-Wheeler, Dina] Univ Ottawa, Interdisciplinary Sch Hlth Sci, Ottawa, ON, Canada; [Oladimeji, Olanrewaju] Walter Sisulu Univ, Fac Hlth Sci, Dept Publ Hlth, ZA-5100 Mthatha, Eastern Cape, South Africa; [Yaya, Sanni] Univ Ottawa, Sch Int Dev &amp; Global Studies, Ottawa, ON, Canada; [Yaya, Sanni] Imperial Coll London, George Inst Global Hlth, London, England</t>
  </si>
  <si>
    <t>University of Ottawa; Walter Sisulu University; University of Ottawa; Imperial College London</t>
  </si>
  <si>
    <t>Yaya, S (corresponding author), Univ Ottawa, Sch Int Dev &amp; Global Studies, Ottawa, ON, Canada.;Yaya, S (corresponding author), Imperial Coll London, George Inst Global Hlth, London, England.</t>
  </si>
  <si>
    <t>sanni.yaya@uottawa.ca</t>
  </si>
  <si>
    <t>We acknowledge the Demographic and Health Surveys Program for making the DHS data available, and we thank the women who participated in the surveys.</t>
  </si>
  <si>
    <t>10.1186/s12978-023-01675-z</t>
  </si>
  <si>
    <t>Q6KC6</t>
  </si>
  <si>
    <t>WOS:001058582600001</t>
  </si>
  <si>
    <t>Ahmed, S; Mahmoud, MA; Nemr, WA; Abdel-Rahman, EH; El-Shershaby, A; Fouad, EA; Liaqat, F; Wijewardana, V</t>
  </si>
  <si>
    <t>Ahmed, Sahar; Mahmoud, Mohamed Abd El-Fatah; Nemr, Waleed Abdelgaber; Abdel-Rahman, Eman Hussein; El-Shershaby, Asmaa; Fouad, Ehab Ali; Liaqat, Fatima; Wijewardana, Viskam</t>
  </si>
  <si>
    <t>Detection of immune effects of the Mannheimia haemolytica gamma irradiated vaccine in sheep</t>
  </si>
  <si>
    <t>VETERINARY RESEARCH COMMUNICATIONS</t>
  </si>
  <si>
    <t>Gamma irradiated bacterial vaccine; Mannheimia haemolytica; ELISA; Serum IgG; IFN-&amp; gamma;; IL-4.</t>
  </si>
  <si>
    <t>BOVINE RESPIRATORY-DISEASE; ANTIMICROBIAL RESISTANCE; MUTANT; PASTEURELLOSIS; EPIDEMIOLOGY; PREVALENCE; COMPLEX; CATTLE</t>
  </si>
  <si>
    <t>Exposure to gamma rays from cobalt 60 (Co60) can induce a complete inactivation of Mannheimia haemolytica. The inactivated bacterial pathogen is a potential vaccine candidate for immunization of ruminants such as sheep. The subcutaneous administration of irradiated vaccine in a two-dose regimen (4.0 x 10(9) colony forming unit (CFU) per dose) results in no mortality in any of the vaccinated sheep during immunization and after subsequent challenge of the live bacteria of the same strain of M. haemolytica. A significant rise in serum IgG titer, detected through ELISA, is observed after the passage of two weeks from the inoculation of the first dose whereas, the peak of the mean serum antibody titer occurred after two weeks of booster dose. The vaccination does not bring significant change to the IFN-? levels in serum. The bacterial challenge of the vaccinated sheep does not induce a further seroconversion relative to serum antibody titer. In conclusion, the vaccinated sheep are protected by the elevated IgG titer and increased levels of IL-4 (Th-2 response) compared to the non-vaccinated sheep. Radiation technology can provide the opportunity for mass production of immunologically safe vaccines against animal and zoonotic diseases. Ethics Approval by the National Research Center Ethics Committee (Trial Registration Number (TRN) no 13,602,023, 13/5/2023) was obtained.</t>
  </si>
  <si>
    <t>[Ahmed, Sahar] Natl Res Ctr, Biotechnol Res Inst, Dept Cell Biol, Giza, Egypt; [Mahmoud, Mohamed Abd El-Fatah; Abdel-Rahman, Eman Hussein] Natl Res Ctr, Vet Res Inst, Dept Parasitol &amp; Anim Dis, Giza, Egypt; [Nemr, Waleed Abdelgaber] Egyptian Atom Energy Author, Natl Ctr Radiat Res &amp; Technol, Dept Radiat Microbiol, Cairo, Egypt; [El-Shershaby, Asmaa] Natl Res Ctr, Biotechnol Res Inst, Dept Mol Biol, Giza, Egypt; [Fouad, Ehab Ali] Natl Res Ctr, Vet Res Inst, Dept Zoonosis, Giza, Egypt; [Liaqat, Fatima; Wijewardana, Viskam] IAEA, Dept Nucl Sci &amp; Applicat, Joint FAO IAEA Ctr Nucl Tech Food &amp; Agr, Anim Prod &amp; Hlth Lab, Vienna, Austria</t>
  </si>
  <si>
    <t>Egyptian Knowledge Bank (EKB); National Research Centre (NRC); Egyptian Knowledge Bank (EKB); National Research Centre (NRC); Egyptian Knowledge Bank (EKB); Egyptian Atomic Energy Authority (EAEA); National Center for Radiation Research &amp; Technology; Egyptian Knowledge Bank (EKB); National Research Centre (NRC); Egyptian Knowledge Bank (EKB); National Research Centre (NRC); International Atomic Energy Agency</t>
  </si>
  <si>
    <t>Ahmed, S (corresponding author), Natl Res Ctr, Biotechnol Res Inst, Dept Cell Biol, Giza, Egypt.</t>
  </si>
  <si>
    <t>selnahta@yahoo.com; emanhussein1@hotmail.com; asmaashershaby@yahoo.com; ehabfoaud@gmail.com; f.liaqat@iaea.org; v.wijewardana@iaea.org</t>
  </si>
  <si>
    <t>The authors are thankful to Prof. Hermann Unger for his continued support and invaluable comments during the project.</t>
  </si>
  <si>
    <t>0165-7380</t>
  </si>
  <si>
    <t>1573-7446</t>
  </si>
  <si>
    <t>VET RES COMMUN</t>
  </si>
  <si>
    <t>Vet. Res. Commun.</t>
  </si>
  <si>
    <t>2023 AUG 29</t>
  </si>
  <si>
    <t>10.1007/s11259-023-10207</t>
  </si>
  <si>
    <t>Veterinary Sciences</t>
  </si>
  <si>
    <t>R4FN2</t>
  </si>
  <si>
    <t>WOS:001063921900002</t>
  </si>
  <si>
    <t>Bagloo, H; Ataee-pour, M</t>
  </si>
  <si>
    <t>Bagloo, Heydar; Ataee-pour, Majid</t>
  </si>
  <si>
    <t>A Classification Model of Dimensional Stones Using AHP and Fuzzy Logic</t>
  </si>
  <si>
    <t>Dimensional stone; Classification; Analytic Hierarchy Process (AHP); Fuzzy logic</t>
  </si>
  <si>
    <t>MARBLE; SYSTEM</t>
  </si>
  <si>
    <t>Dimensional stones classification models are efficient to particular aspects of these stones production. However, there are two main problems with these models. Initially, these models focus on specific types of dimensional stones, lacking a comprehensive model encompassing all stone types. Additionally, these systems classify stones based on a singular or limited set of features that affect stone quality. In addition, stones usage is an important factor, which determines the type of stone properties need to be considered in stone quality evaluation. To address these issues, this paper introduces a comprehensive classification model for dimensional stones. This model enables the identification of the optimal stone application and helps prevent the inappropriate use of stones in various contexts. To achieve this objective, an index called Stone Quality Point (SQP) is established, which is utilized within the classification model. Coefficients of the model are calculated by the Analytic Hierarchy Process (AHP) technique, and the Variables of the model are determined based on Fuzzy Logic. Stones are then categorized into three classes (good, moderate, and weak) using the SQP index, taking into account their suitability for various construction applications. Ultimately, the SQP is calculated to categorize the granite used in the construction of building facades. The values range from 1 to 2 for the weak group, 2 to 2.5 for the moderate group, and 2.5 to 3 for the good group. The SQP model and its scoring procedure remain consistent for various types of stones.</t>
  </si>
  <si>
    <t>[Bagloo, Heydar; Ataee-pour, Majid] Amirkabir Univ Technol, Fac Min Engn, Tehran, Iran; [Bagloo, Heydar] Monitoring &amp; Dispatching Ctr, Res &amp; Dev Unit, Yazd, Iran</t>
  </si>
  <si>
    <t>Amirkabir University of Technology</t>
  </si>
  <si>
    <t>Ataee-pour, M (corresponding author), Amirkabir Univ Technol, Fac Min Engn, Tehran, Iran.</t>
  </si>
  <si>
    <t>hbagloo@aut.ac.ir; map60@aut.ac.ir</t>
  </si>
  <si>
    <t>10.1007/s10706-023-02611-5</t>
  </si>
  <si>
    <t>Q9LU8</t>
  </si>
  <si>
    <t>WOS:001060667800004</t>
  </si>
  <si>
    <t>Bano, B; Benedek, I; Zsolnai, A; Specziar, A; Takacs, P; Molnar, T</t>
  </si>
  <si>
    <t>Bano, Balint; Benedek, Ildiko; Zsolnai, Attila; Specziar, Andras; Takacs, Peter; Molnar, Tamas</t>
  </si>
  <si>
    <t>Population genetic structure of intensively exploited pikeperch (Sander lucioperca) in Lake Balaton (Hungary)</t>
  </si>
  <si>
    <t>Exploitation; Stocking; Microsatellite; Angling; Migration; Genetic bottleneck</t>
  </si>
  <si>
    <t>CROSS-SPECIES AMPLIFICATION; PERCH PERCA-FLAVESCENS; PIKE-PERCH; MICROSATELLITE LOCI; SOFTWARE; LINNAEUS; DIFFERENTIATION; INFERENCE; COASTAL; BIOLOGY</t>
  </si>
  <si>
    <t>Pikeperch (Sander lucioperca Linnaeus, 1758) is a wide-ranged percid predator fish characterised by a great ecological value in the Eurasian freshwater and brackish ecosystems. It is also one of the most famous fish species of Lake Balaton (Hungary), where a unique (genetically separated) pikeperch stock lives. However, until now, no detailed information was available about the pikeperch population genetic structure in Lake Balaton. In the present study, the population genetic structure of the pikeperch assemblages in the lake was revealed by using microsatellite markers. Commercial fishery and angler catch data going back more than 100 years verified that the pikeperch has always been a key element of Lake Balaton's fish stock utilization. Results of genetic data analyses showed that the pikeperch in the Lake Balaton forms a metapopulation system, in which only the westward stocks show certain separation. Moreover, it seems that the exploitation and mass fish kills that happened in the 1960s and 1970s may have had only a slight impact on the population genetic structure of Balaton pikeperch stocks. The information about genetic features and utilization changes of pikeperch stocks can help to develop area-specific management plans and ensure the long-term survival of this carnivore fish species characteristic of Lake Balaton.</t>
  </si>
  <si>
    <t>[Bano, Balint; Molnar, Tamas] Hungarian Univ Agr &amp; Life Sci, Inst Aquaculture &amp; Environm Safety, Dept Appl Fish Biol, Guba Sandor Str 40, H-7400 Kaposvar, Hungary; [Bano, Balint] Balaton Limnol Res Inst, Natl Lab Water Sci &amp; Water Secur, Klebelsberg Kuno Str 3, H-8237 Tihany, Hungary; [Bano, Balint; Specziar, Andras; Takacs, Peter] Balaton Limnol Res Inst, Klebelsberg Kuno Str 3, H-8237 Tihany, Hungary; [Benedek, Ildiko; Zsolnai, Attila] Hungarian Univ Agr &amp; Life Sci, Inst Anim Breeding Sci, Dept Anim Breeding, Guba Sandor Str 40, H-7400 Kaposvar, Hungary</t>
  </si>
  <si>
    <t>Hungarian University of Agriculture &amp; Life Sciences; Eotvos Lorand Research Network; Hungarian Balaton Limnological Research Institute; Hungarian Academy of Sciences; Hungarian Centre for Ecological Research; Eotvos Lorand Research Network; Hungarian Academy of Sciences; Hungarian Centre for Ecological Research; Hungarian Balaton Limnological Research Institute; Hungarian University of Agriculture &amp; Life Sciences</t>
  </si>
  <si>
    <t>Bano, B (corresponding author), Hungarian Univ Agr &amp; Life Sci, Inst Aquaculture &amp; Environm Safety, Dept Appl Fish Biol, Guba Sandor Str 40, H-7400 Kaposvar, Hungary.;Bano, B (corresponding author), Balaton Limnol Res Inst, Natl Lab Water Sci &amp; Water Secur, Klebelsberg Kuno Str 3, H-8237 Tihany, Hungary.;Bano, B (corresponding author), Balaton Limnol Res Inst, Klebelsberg Kuno Str 3, H-8237 Tihany, Hungary.</t>
  </si>
  <si>
    <t>bano.balint@blki.hu; beniildi@gmail.com; attila.zsolnai@gmail.com; specziar.andras@blki.hu; takacs.peter@blki.hu; molnar.tamas.gergely@uni-mate.hu</t>
  </si>
  <si>
    <t>Zsolnai, Attila/F-6441-2011</t>
  </si>
  <si>
    <t>Zsolnai, Attila/0000-0002-8382-1503</t>
  </si>
  <si>
    <t>Hungarian University of Agriculture and Life Sciences; Sustainable Development and Technologies National Programme of the Hungarian Academy of Sciences (FFT NP FTA) [NP2022-II3/2022]; OTKA; Hungarian University of Agriculture and Life Sciences; Sustainable Development and Technologies National Programme of the Hungarian Academy of Sciences (FFT NP FTA) [NP2022-II3/2022]; OTKA; [FK 140902]</t>
  </si>
  <si>
    <t>Hungarian University of Agriculture and Life Sciences; Sustainable Development and Technologies National Programme of the Hungarian Academy of Sciences (FFT NP FTA); OTKA(Orszagos Tudomanyos Kutatasi Alapprogramok (OTKA)); Hungarian University of Agriculture and Life Sciences; Sustainable Development and Technologies National Programme of the Hungarian Academy of Sciences (FFT NP FTA); OTKA(Orszagos Tudomanyos Kutatasi Alapprogramok (OTKA));</t>
  </si>
  <si>
    <t>Open access funding provided by Hungarian University of Agriculture and Life Sciences. The research was funded by the Sustainable Development and Technologies National Programme of the Hungarian Academy of Sciences (FFT NP FTA, NP2022-II3/2022). Peter Takacs supported by the OTKA FK 140902 project</t>
  </si>
  <si>
    <t>10.1007/s10750-023-05347-8</t>
  </si>
  <si>
    <t>S2PX8</t>
  </si>
  <si>
    <t>WOS:001069653000001</t>
  </si>
  <si>
    <t>Bhadouria, AS; Singh, RK</t>
  </si>
  <si>
    <t>Bhadouria, Aashi Singh; Singh, Ranjeet Kumar</t>
  </si>
  <si>
    <t>Machine learning model for healthcare investments predicting the length of stay in a hospital &amp; amp; mortality rate</t>
  </si>
  <si>
    <t>Machine learning; Health services research; Neural network; Public health; Health economy; Patient monitoring; Length of stay analysis; Medical data transformation; Clinical intelligence; Survival analysis; Mortality; Bed management; Prediction monitoring</t>
  </si>
  <si>
    <t>CRITICALLY-ILL PATIENTS</t>
  </si>
  <si>
    <t>The demand for healthcare workers and infrastructure from an alarmingly growing patient population may contribute to the increased Length of Stay (LOS) in Hospital and Mortality rate. The shortage of doctors, nurses, and hospital beds may be blamed for this increase. As Constant patient monitoring is essential and the better hospital management and administration are necessary, therefore this research aimed foremost, to develop a machine learning model to predict long-term outcomes like Length of Stay (LOS), mortality rate of a patient admitted into the hospital. We used Machine Learning (ML) in the National Hospital Care Research Database (NHCRD) to create minimum feature-based predictive modeling with adequate performance. Unlike other approaches, ours requires the patient's profile, tests reports at the time of admission and treatment history to accurately predict outcomes like the length of stay and mortality rate, making our technique novel with 98% accuracy, 98% precision, 95% AUROC Score, 94% F1 Score, 0.97 Recall, 0.95 Train Accuracy, and 0.90 Test Accuracy with the Support Vector Machine Algorithm. The ratio of training data to testing data was divided in the ratio 8:2 then the Machine Learning methods were applied. Descriptive statistical graphs, feature significance, precision-recall curve, accuracy plots, and Area Under the Curve (AUC), Accuracy, Precision, Recall, F1-Score, Mean Squared Error, Mean Absolute Error and Root Mean Squared Error were used to evaluate different machine learning methods like Random Forests (RF), Logistic Regression (LR), Gradient Boosting (GB), Decision Tree (DT), Naive Bayes (NB), Artificial Neural Network (ANN), and Ensemble Learning Techniques (EL), etc. Adopting the proposed framework, which considers the imbalanced dataset for classification-based methods based on electronic healthcare records, may allow us to apply Machine Learning to forecast patient length of stay and mortality rate in the hospital's clinical information system. This Prediction Model will help hospitals and healthcare professionals better manage these resources and save lives by proving the utility of ML algorithms in aiding with data-driven decision-making and allowing early treatments, resource planning and finances.</t>
  </si>
  <si>
    <t>[Bhadouria, Aashi Singh; Singh, Ranjeet Kumar] Madhav Inst Sci &amp; Technol, Gwalior, Madhya Pradesh, India</t>
  </si>
  <si>
    <t>Madhav Institute of Technology &amp; Science</t>
  </si>
  <si>
    <t>Singh, RK (corresponding author), Madhav Inst Sci &amp; Technol, Gwalior, Madhya Pradesh, India.</t>
  </si>
  <si>
    <t>ranjeets@mitsgwalior.in</t>
  </si>
  <si>
    <t>Singh Bhadouria, Aashi/HLQ-4163-2023</t>
  </si>
  <si>
    <t>Singh Bhadouria, Aashi/0000-0002-6753-4272</t>
  </si>
  <si>
    <t>10.1007/s11042-023-16474-8</t>
  </si>
  <si>
    <t>Q9MT6</t>
  </si>
  <si>
    <t>WOS:001060692700002</t>
  </si>
  <si>
    <t>He, YL; Kam, H; Wu, X; Chen, Q; Lee, SMY</t>
  </si>
  <si>
    <t>He, Yulin; Kam, Hiotong; Wu, Xue; Chen, Qian; Lee, Simon Ming Yuen</t>
  </si>
  <si>
    <t>Dual effect of aucubin on promoting VEGFR2 mediated angiogenesis and reducing RANKL-induced bone resorption</t>
  </si>
  <si>
    <t>Aucubin; Pro-angiogenesis; Osteogenesis; Zebrafish; Endothelial cells; Medaka</t>
  </si>
  <si>
    <t>REAL-TIME; XCELLIGENCE SYSTEM; DIFFERENTIATION; ZEBRAFISH; SU5416; MODEL</t>
  </si>
  <si>
    <t>Background Angiogenesis is regarded as a critical role in bone repair and regeneration, involving in pathological bone disorders such as osteoporosis. Aucubin, an iridoid glycoside primarily derived from Eucommia ulmoides, is reported to inhibit osteoclast activity, enhance bone formation and promote angiogenesis in osteoporosis models. Our study is to further investigate the anti-osteoporosis effect of aucubin in transgenic medaka, and the pro-angiogenic effect of aucubin and its mechanism of action both in vivo and in vitro.Methods The anti-osteoporosis effect of aucubin was confirmed by using RANKL-stimulated bone resorption transgenic medaka. The pro-angiogenic effect of aucubin in vivo was investigated using vascular endothelial growth factor (VEGF) tyrosine kinase inhibitor II (VRI)-induced vascular insufficient transgenic zebrafish model. Furthermore, endothelial cell proliferation, migration, tube formation and the mechanisms were evaluated to identify the pro-angiogenic effect of aucubin in normal and su5416-injured human umbilical vein endothelial cells (HUVECs).Results Aucubin decreased the resorption of the mineralized bone matrix and centra degradation in heat-shocked transgenic col10a1:nlGFP/rankl:HSE:CFP medaka. Moreover, aucubin reversed VRI-induced vascular insufficiency in zebrafish through regulating flt1, kdr, kdrl, vegfaa, ang-1, ang-2, tie1 and tie2 mRNA expressions in Tg(fli1a:EGFP)y1 or AB wild type zebrafish. Aucubin promoted cell proliferation by upregulating p-mTOR, p-Src, p-MEK, p-Erk1/2, p-Akt and p-FAK in HUVECs. Furthermore, aucubin exhibited a pro-angiogenic effect on su5416-injured HUVECs by promoting their proliferation, migration, and tube formation through regulating the phosphorylation of VEGFR2, MEK, ERK and the ratio of Bcl2-Bax.Conclusion Aucubin could reduce bone resorption in RANKL-induced osteoporosis medaka by live imaging. Meanwhile, aucubin exhibited a protective effect in VRI-induced vascular insufficient zebrafish by regulating VEGF-VEGFR and Ang-Tie signaling pathways. Additionally, aucubin promoted the proliferation, migration and tube formation of HUVECs probably by mediating VEGFR2/MEK/ERK, Akt/mTOR and Src/FAK signalling pathways. This study further indicated the dual effect of aucubin on angiogenesis and osteogenesis which may be beneficial to its treatment of osteoporosis.</t>
  </si>
  <si>
    <t>[He, Yulin; Kam, Hiotong; Wu, Xue; Chen, Qian; Lee, Simon Ming Yuen] Univ Macau, State Key Lab Qual Res Chinese Med, Ave Univ, Taipa 999078, Macao, Peoples R China; [He, Yulin; Kam, Hiotong; Wu, Xue; Chen, Qian; Lee, Simon Ming Yuen] Univ Macau, Inst Chinese Med Sci, Ave Univ, Taipa 999078, Macao, Peoples R China; [Lee, Simon Ming Yuen] Univ Macau, Dept Pharmaceut Sci, Fac Hlth Sci, Ave Univ, Taipa 999078, Macao, Peoples R China; [Chen, Qian] Ctr Evolut &amp; Conservat Biol, Southern Marine Sci &amp; Engn Guangdong Lab Guangzhou, Guangzhou 511458, Peoples R China; [He, Yulin; Lee, Simon Ming Yuen] Hong Kong Polytech Univ, Dept Food Sci &amp; Nutr, Hung Hom, Kowloon, Hong Kong 999077, Peoples R China</t>
  </si>
  <si>
    <t>University of Macau; University of Macau; University of Macau; Southern Marine Science &amp; Engineering Guangdong Laboratory; Southern Marine Science &amp; Engineering Guangdong Laboratory (Guangzhou); Hong Kong Polytechnic University</t>
  </si>
  <si>
    <t>Lee, SMY (corresponding author), Univ Macau, State Key Lab Qual Res Chinese Med, Ave Univ, Taipa 999078, Macao, Peoples R China.;Lee, SMY (corresponding author), Univ Macau, Inst Chinese Med Sci, Ave Univ, Taipa 999078, Macao, Peoples R China.;Lee, SMY (corresponding author), Univ Macau, Dept Pharmaceut Sci, Fac Hlth Sci, Ave Univ, Taipa 999078, Macao, Peoples R China.;Lee, SMY (corresponding author), Hong Kong Polytech Univ, Dept Food Sci &amp; Nutr, Hung Hom, Kowloon, Hong Kong 999077, Peoples R China.</t>
  </si>
  <si>
    <t>simonlee@um.edu.mo</t>
  </si>
  <si>
    <t>The authors would like to express their deepest gratitude to Dr. Zhitao Ren for assistance with the experiment of RANKL-stimulated bone resorption in transgenic medaka and all the useful suggestions on various technical issues in this paper. The research w [0016/2019/AKP, MYRG2019-00159-ICMS]; Science and Technology Development Fund (FDCT) of Macau SAR [MYRG2020-00183-ICMS, MYRG2022-00263-ICMS, CPG2022-00023-ICMS, EF038/ICMS-LMY/2021/SZSTIC]; University of Macau [81803398]; Shenzhen-Hong Kong-Macao Science and Technology Innovation Project; Shenzhen Science and Technology Innovation Committee; National Natural Science Foundation for Young Scientists of China; [0058/2019/A1]</t>
  </si>
  <si>
    <t>The authors would like to express their deepest gratitude to Dr. Zhitao Ren for assistance with the experiment of RANKL-stimulated bone resorption in transgenic medaka and all the useful suggestions on various technical issues in this paper. The research w; Science and Technology Development Fund (FDCT) of Macau SAR; University of Macau; Shenzhen-Hong Kong-Macao Science and Technology Innovation Project; Shenzhen Science and Technology Innovation Committee; National Natural Science Foundation for Young Scientists of China(National Natural Science Foundation of China (NSFC));</t>
  </si>
  <si>
    <t>The authors would like to express their deepest gratitude to Dr. Zhitao Ren for assistance with the experiment of RANKL-stimulated bone resorption in transgenic medaka and all the useful suggestions on various technical issues in this paper. The research was funded by The Science and Technology Development Fund (FDCT) of Macau SAR (No.: 0058/2019/A1 and 0016/2019/AKP), University of Macau (Nos.: MYRG2019-00159-ICMS, MYRG2020-00183-ICMS, MYRG2022-00263-ICMS, and CPG2022-00023-ICMS), Shenzhen-Hong Kong-Macao Science and Technology Innovation Project (Category C) (No.: EF038/ICMS-LMY/2021/SZSTIC) of Shenzhen Science and Technology Innovation Committee, and National Natural Science Foundation for Young Scientists of China (No. 81803398).</t>
  </si>
  <si>
    <t>AUG 29</t>
  </si>
  <si>
    <t>10.1186/s13020-023-00786-w</t>
  </si>
  <si>
    <t>Q3WP2</t>
  </si>
  <si>
    <t>WOS:001056858400001</t>
  </si>
  <si>
    <t>Jamal, S; Saqib, M; Ahmad, WS; Ahmad, M; Ali, MA; Ali, MB</t>
  </si>
  <si>
    <t>Jamal, Saleha; Saqib, Mohd; Ahmad, Wani Suhail; Ahmad, Manal; Ali, Md Ashif; Ali, Md Babor</t>
  </si>
  <si>
    <t>Unraveling the complexities of land transformation and its impact on urban sustainability through land surface temperature analysis</t>
  </si>
  <si>
    <t>APPLIED GEOMATICS</t>
  </si>
  <si>
    <t>Urbanization impacts; LST; NDBI; LULC; Spatial analysis; Urban planning and sustainability</t>
  </si>
  <si>
    <t>CELLULAR-AUTOMATA MODELS; MARKOV-CHAIN; COVER CHANGE; HEAT-ISLAND; CLIMATE; ENERGY; CITY</t>
  </si>
  <si>
    <t>Due to the ongoing population increase over the past years, fast and unchecked urbanization has been occurring in the urban centers of developing nations like India. As a result, land transformation is taking place at a fast pace leading to the creation of urban heat island (UHI). Urban heat island (UHI) constitutes a significant human alteration to the Earth system. Hence, this study presents a rigorous and comprehensive analysis of the impact of land use and cover on land surface temperature (LST) in Aligarh City, Uttar Pradesh, India, using multi-dimensional satellite data. The research collected Landsat data for four different phases (1991, 2001, 2011, and 2021) and analyzed it in conjunction with land use and cover (LULC) data to identify trends and variations. The result shows a consistent increase in LST since 1991, with built-up and bare land areas exhibiting the highest temperatures across all phases. Moreover, the study found that impervious land had the most significant effect on LST, followed by water bodies and vegetation cover. The analysis of the proportion of the area with the lowest and highest LST showed interesting trends, with a greater portion of Aligarh City experiencing a temperature range between 15 and 16 &amp; DEG;C in 2021 compared to previous years. However, the study also found that 13.55% of the area had a maximum LST of over 17 &amp; DEG;C, which is higher than the previous measurement of 9.04%, and has been steadily increasing since 1991. The accuracy of the study was verified by detecting elevated temperatures in non-porous areas and cooler temperatures near green zones and water bodies. This study's contribution to the research community lies in the data-driven, systematic analysis of the complex relationship between land use and cover and LST in an urban environment. The study's findings suggest that alterations in land use/cover patterns have a significant impact on LST, which has important implications for urban planning policies. The research provides valuable insights for urban planners, policymakers, and city officials, as it highlights the need for sustainable and efficient urban planning policies to mitigate the effects of urban heat islands and rising temperatures. The study's results have broader implications beyond Aligarh City and can inform land-use planning and policymaking in other cities facing similar challenges. This research presents a comprehensive analysis that can serve as a framework to inform land-use planning and policymaking, contributing to the development of sustainable and efficient urban environments.</t>
  </si>
  <si>
    <t>[Jamal, Saleha; Saqib, Mohd; Ahmad, Wani Suhail; Ahmad, Manal; Ali, Md Ashif; Ali, Md Babor] Aligarh Muslim Univ, Dept Geog, Aligarh, India; [Ahmad, Wani Suhail] Univ Ladakh, Dept Geog, Ladakh, India</t>
  </si>
  <si>
    <t>Aligarh Muslim University</t>
  </si>
  <si>
    <t>Ahmad, WS (corresponding author), Aligarh Muslim Univ, Dept Geog, Aligarh, India.;Ahmad, WS (corresponding author), Univ Ladakh, Dept Geog, Ladakh, India.</t>
  </si>
  <si>
    <t>salehajm@gmail.com; saqibalig98@gmail.com; wanisuhailgeo@gmail.com; manalah1807@gmail.com; asif4u.amu@gmail.com; baboraliamu@gmail.com</t>
  </si>
  <si>
    <t>Indian Council of Social Science Research (ICSSR), Government of India [02/6909/OBC/2021-22/ICSSR/RP/MJ]</t>
  </si>
  <si>
    <t>Indian Council of Social Science Research (ICSSR), Government of India</t>
  </si>
  <si>
    <t>Financial support from the Indian Council of Social Science Research (ICSSR), Government of India, (F. No. 02/6909/OBC/2021-22/ICSSR/RP/MJ) is greatly acknowledged.</t>
  </si>
  <si>
    <t>1866-9298</t>
  </si>
  <si>
    <t>1866-928X</t>
  </si>
  <si>
    <t>APPL GEOMAT</t>
  </si>
  <si>
    <t>Appl. Geomat.</t>
  </si>
  <si>
    <t>10.1007/s12518-023-00521</t>
  </si>
  <si>
    <t>Q9IF1</t>
  </si>
  <si>
    <t>WOS:001060573900001</t>
  </si>
  <si>
    <t>Jiao, QL; Yang, LY; Liu, XZ; Wen, YW; Tian, LX; Qian, P; Chen, HC; Li, XM</t>
  </si>
  <si>
    <t>Jiao, Qiulin; Yang, Liuyue; Liu, Xiangzu; Wen, Yanwen; Tian, Linxing; Qian, Ping; Chen, Huanchun; Li, Xiangmin</t>
  </si>
  <si>
    <t>Isolation and pathogenicity of porcine circovirus type 2 in mice from Guangxi province, China</t>
  </si>
  <si>
    <t>Porcine circovirus type 2; Isolation; Phylogenetic analysis; Pathogenicity</t>
  </si>
  <si>
    <t>MULTISYSTEMIC WASTING SYNDROME; NEPHROPATHY SYNDROME; PHYLOGENETIC ANALYSIS; CAPSID PROTEIN; SYNDROME PMWS; PCV2; INFECTION; PIGS; DERMATITIS; IDENTIFICATION</t>
  </si>
  <si>
    <t>BackgroundPorcine circovirus type 2 (PCV2), a member of the genus Circovirus and family Circoviridae, is a closed, small, circular, and single-stranded DNA virus, and it is a crucial swine pathogen of porcine circovirus-associated diseases (PCVADs). PCV2 was first detected in PK-15(ATCC-CCL) cells in 1974, which has caused significant economic loss to the swine industry throughout the world. And the first case of PCV2 was reported in China in 2000. At present, PCV2d is the main genotype circulating widely in China.MethodsLymph samples were obtained from piglets with emaciation and respiratory disease in Guangxi province, China. The main pathogens were detected via PCR from lymph samples, and then PCV2-single positive samples were used to inoculate with PK-15 cells. After successive generations, the isolate was subsequently identified by polymerase chain reaction (PCR), immunofluorescence assay (IFA), Western blot (WB), and transmission electron microscopic (TEM). The full-length genome and genetic characterization of isolates were analyzed by Sanger sequencing. The TCID50 of the PCV2-GX-6 was determined by IFA, and the pathogenicity of PCV2 in BALB/c mice was analyzed via the mouse model.ResultsThe isolates were successfully isolated from clinical samples. The complete genome of PCV2-GX-4, PCV2-GX-6, PCV2-GX-7, PCV2-GX-11 and PCV2-GX-16 have been amplified, sequenced, and deposited in GenBank (accession no.: OR133747, OQ803314, OR133748, OR133749, OR133750). Homology and phylogenetic analysis with reference strains showed that the isolates belonged to the PCV2d genotype. The PCV2-GX-6 could be stably passaged more than 30 times in PK-15 cells. PCV2-GX-6 was identified by PCR, IFA, WB and TEM. The results of homology showed that PCV2-GX-6 was closely related to the reference strains PCV2-JS17-8 (GenBank accession no.: MH211363). Pathogenicity studies in mice have shown that PCV2-GX-6 can lead to growth inhibition of mice. Meanwhile PCV2-GX-6 caused the typical lesions of spleen, lung and kidney. The results of qPCR showed that PCV2 can effectively proliferate in the liver, spleen, lung, and kidney.ConclusionPCV2-GX-6 can successfully infect BLAB/c mice, effectively proliferate in major organs, and possessed high pathogenicity. In conclusion, combined with the genotype and pathogenicity of PCV2d currently prevalent, PCV2-GX-6 can be used as a candidate vaccine strain.</t>
  </si>
  <si>
    <t>[Jiao, Qiulin; Yang, Liuyue; Liu, Xiangzu; Wen, Yanwen; Tian, Linxing; Qian, Ping; Chen, Huanchun; Li, Xiangmin] Huazhong Agr Univ, Natl Key Lab Agr Microbiol, Hubei Hongshan Lab, Wuhan 430070, Hubei, Peoples R China; [Jiao, Qiulin; Yang, Liuyue; Liu, Xiangzu; Wen, Yanwen; Tian, Linxing; Qian, Ping; Chen, Huanchun; Li, Xiangmin] Huazhong Agr Univ, Coll Vet Med, Wuhan 430070, Hubei, Peoples R China; [Qian, Ping; Chen, Huanchun; Li, Xiangmin] Cooperat Innovat Ctr Sustainable Pig Prod, Key Lab Prevent Vet Med Hubei Prov, Wuhan 430070, Hubei, Peoples R China</t>
  </si>
  <si>
    <t>Huazhong Agricultural University; Huazhong Agricultural University</t>
  </si>
  <si>
    <t>Li, XM (corresponding author), Huazhong Agr Univ, Natl Key Lab Agr Microbiol, Hubei Hongshan Lab, Wuhan 430070, Hubei, Peoples R China.;Li, XM (corresponding author), Huazhong Agr Univ, Coll Vet Med, Wuhan 430070, Hubei, Peoples R China.;Li, XM (corresponding author), Cooperat Innovat Ctr Sustainable Pig Prod, Key Lab Prevent Vet Med Hubei Prov, Wuhan 430070, Hubei, Peoples R China.</t>
  </si>
  <si>
    <t>lixiangmin@mail.hzau.edu.cn</t>
  </si>
  <si>
    <t>We thank Dr. Xinxin Li, Xujiao Ren and Wenqiang Liu for their support to the technology.</t>
  </si>
  <si>
    <t>10.1186/s12985-023-02161-5</t>
  </si>
  <si>
    <t>Q5FT1</t>
  </si>
  <si>
    <t>WOS:001057784300002</t>
  </si>
  <si>
    <t>Lambiase, F; Stamopoulos, AG; Pace, F; Paoletti, A</t>
  </si>
  <si>
    <t>Lambiase, Francesco; Stamopoulos, Antonios G.; Pace, Francesco; Paoletti, Alfonso</t>
  </si>
  <si>
    <t>Influence of the deposition pattern on the interlayer fracture toughness of FDM components</t>
  </si>
  <si>
    <t>Mechanical behavior; Fused deposition modeling; Additive manufacturing; Fracture toughness; Interlayer bonding; Interlayer adhesion</t>
  </si>
  <si>
    <t>The present work is aimed at studying the influence of the deposition strategy on the fracture toughness behavior of the inter-layer zone of fused deposition modeling (FDM) 3D-printed parts. Double cantilever beam (DCB) specimens were produced and tested following recognized testing protocols to capture the fracture toughness behavior. The tested conditions involved linear patterns with monodirectional and alternate infill strategies. The difference in the mechanical behavior of the samples was crossed with optical microscopy observations that also enabled the precise quantification of the effective bonding area between consecutive layers. The results indicated that the deposition pattern dramatically influenced the fracture toughness behavior of these components. Monodirectional deposition strategies involved a fracture toughness within 0.75 and 2.4 kJ/m2 for 0 &amp; DEG; and 90 &amp; DEG; raster angles, respectively. On the other hand, the fracture toughness of samples manufactured with alternate deposition strategies more than doubled the values mentioned above, being 2 kJ/m2 and 3.9 kJ/m2 for 0/90 &amp; DEG; and &amp; PLUSMN;45 &amp; DEG; deposition strategies, respectively, significantly affecting the failure mode as well. These differences become even more evident if the effective bonding area between consecutive layers is considered.</t>
  </si>
  <si>
    <t>[Lambiase, Francesco; Stamopoulos, Antonios G.; Pace, Francesco; Paoletti, Alfonso] Univ LAquila, Dept Ind &amp; Informat Engn &amp; Econ DIIIE, I-67100 Laquila, Italy</t>
  </si>
  <si>
    <t>University of L'Aquila</t>
  </si>
  <si>
    <t>Lambiase, F (corresponding author), Univ LAquila, Dept Ind &amp; Informat Engn &amp; Econ DIIIE, I-67100 Laquila, Italy.</t>
  </si>
  <si>
    <t>francesco.lambiase@univaq.it</t>
  </si>
  <si>
    <t>Stamopoulos, Antonios/0000-0002-9083-6703</t>
  </si>
  <si>
    <t>Universita degli Studi dell'Aquila within the CRUI-CARE Agreement</t>
  </si>
  <si>
    <t>Open access funding provided by Universita degli Studi dell'Aquila within the CRUI-CARE Agreement.</t>
  </si>
  <si>
    <t>10.1007/s00170-023-12223-1</t>
  </si>
  <si>
    <t>Q9MO7</t>
  </si>
  <si>
    <t>WOS:001060687800001</t>
  </si>
  <si>
    <t>Lanzerotti, MY; Queen, A; Cerny, C</t>
  </si>
  <si>
    <t>Lanzerotti, Mary Y.; Queen, Adaya; Cerny, Charles</t>
  </si>
  <si>
    <t>Quantization error for weak RF simultaneous signal estimation</t>
  </si>
  <si>
    <t>EURASIP JOURNAL ON ADVANCES IN SIGNAL PROCESSING</t>
  </si>
  <si>
    <t>Analog-to-digital converter (ADC); Electronic warfare (EW); Radiofrequency (RF); Signal processing</t>
  </si>
  <si>
    <t>PHASE; TRENDS</t>
  </si>
  <si>
    <t>In a congested signal environment, it is difficult to obtain estimates of weak RF signal parameters. Determining signal parameter estimates in real time is a challenge for electronic warfare receivers that aim to receive multiple simultaneous signals. Prior work provided estimates of weak signal parameters (weak signal frequency and weak signal amplitude) without taking into account any error introduced by analog-to-digital converters that are inherently part of digital signal processing systems. In order to obtain realistic estimates, we need to take error introduced by an ADC into account. The primary aim of this paper is to quantify error introduced by a single ideal ADC as a function of angle. This paper presents a method to estimate angle resolution and quantization levels in N-bit analog-to-digital converters (ADCs) for use in a weak radiofrequency (RF) simultaneous signal estimation process. The paper quantifies the error in the angle quantization of an N-bit ADC for an input complex signal that is the instantaneous frequency obtained for the situation in which there are two simultaneous signals (with one strong signal and one weak signal) in a weak RF simultaneous signal estimation process. The presented method describes the process to determine the angle quantization range, angle quantization uncertainty, and angle quantization error. This approach has potential applications in electronic warfare (EW) systems. The approach also has potential for assessing ADC performance for measurements that approach the quantum limit. Results are presented for 1-bit, 2-bit, 3-bit, and 10-bit ADCs.</t>
  </si>
  <si>
    <t>[Lanzerotti, Mary Y.] Virginia Polytech Inst &amp; State Univ, Bradley Dept Elect &amp; Comp Engn, Blacksburg, VA 24061 USA; [Queen, Adaya] Georgia Inst Technol, Sch Chem &amp; Biomol Engn, Atlanta, GA USA; [Cerny, Charles] Air Force Res Lab, Wright Patterson AFB, Sensors Directorate, Wright, OH USA</t>
  </si>
  <si>
    <t>Virginia Polytechnic Institute &amp; State University; University System of Georgia; Georgia Institute of Technology</t>
  </si>
  <si>
    <t>Lanzerotti, MY (corresponding author), Virginia Polytech Inst &amp; State Univ, Bradley Dept Elect &amp; Comp Engn, Blacksburg, VA 24061 USA.</t>
  </si>
  <si>
    <t>marylanzerotti@vt.edu</t>
  </si>
  <si>
    <t>The authors thank Dr. Michael Eismann, Chief Scientist, Sensors Directorate, Air Force Research Laboratory and the CVF Program for support of this project. M. Lanzerotti and C. Cerny thank J. Boyle and C. Mott for discussions. The views expressed herein ar; Air Force Research Laboratory; [AFRL-2021-1755]</t>
  </si>
  <si>
    <t>The authors thank Dr. Michael Eismann, Chief Scientist, Sensors Directorate, Air Force Research Laboratory and the CVF Program for support of this project. M. Lanzerotti and C. Cerny thank J. Boyle and C. Mott for discussions. The views expressed herein ar; Air Force Research Laboratory;</t>
  </si>
  <si>
    <t>The authors thank Dr. Michael Eismann, Chief Scientist, Sensors Directorate, Air Force Research Laboratory and the CVF Program for support of this project. M. Lanzerotti and C. Cerny thank J. Boyle and C. Mott for discussions. The views expressed herein are those of the authors and do not reflect the position of the United States Military Academy, the Department of the Army, or the Department of Defense. The views expressed herein are those of the authors and do not reflect the position of the Air Force Research Laboratory, United States Air Force, or the Department of Defense. This work was assigned Case Number: AFRL-2021-1755, and the material was assigned a clearance of CLEARED on 08 Jun 2021. Related work entitled Toward Heisenberg Uncertainty Limit in Angle Resolution and Quantization Levels in N-bit ADCs received PA clearance number 88ABW-2020-1494.</t>
  </si>
  <si>
    <t>1687-6180</t>
  </si>
  <si>
    <t>EURASIP J ADV SIG PR</t>
  </si>
  <si>
    <t>EURASIP J. Adv. Signal Process.</t>
  </si>
  <si>
    <t>10.1186/s13634-023-01046-7</t>
  </si>
  <si>
    <t>Q4ZS8</t>
  </si>
  <si>
    <t>WOS:001057625200001</t>
  </si>
  <si>
    <t>Liang, J; Zhu, QJ; Sui, LK; Duan, L; Wang, DC</t>
  </si>
  <si>
    <t>Liang, Juan; Zhu, Quanjie; Sui, Longkun; Duan, Li; Wang, Dacang</t>
  </si>
  <si>
    <t>Research on Elaborate Construction of Complex 3D Geological Model and In-Situ Stress Inversion</t>
  </si>
  <si>
    <t>Deep mine; Coal measure strata; In-situ stress field; Inversion; 3D modeling; Numerical modeling</t>
  </si>
  <si>
    <t>In order to obtain the distribution characteristics of the regional stress field in deep coal-bearing strata, a method for constructing a complex three-dimensional geological model and inverting the stress field, integrating multiple software, is proposed. Based on the progressive modeling concept of point-line-surface-body, a refined three-dimensional geological model of a target area in a certain mine was constructed using various software. Based on the in-situ stress measurements and numerical simulation results, the stress field of the deep coal-bearing strata was inverted through multiple linear regression. By comparing the measured in-situ stress values and inverted calculation values, an average error of 14.27% was obtained for the inverted normal stress values. The results demonstrate that the proposed method of finely constructing the three-dimensional geological model simplifies the process of organizing and standardizing basic data. The calculation results meet engineering requirements, thereby providing a new means for the inversion of the three-dimensional in-situ stress field in mines.</t>
  </si>
  <si>
    <t>[Liang, Juan] Inst Disaster Prevent, Sch Culture &amp; Commun, Sanhe 065201, Peoples R China; [Zhu, Quanjie] North China Inst Sci &amp; Technol, Sch Emergency Technol &amp; Management, Sanhe 065201, Peoples R China; [Sui, Longkun; Wang, Dacang] North China Inst Sci &amp; Technol, Sch Mine Safety, Sanhe 065201, Peoples R China; [Duan, Li] Inst Disaster Prevent, Sch Elect Sci &amp; Control Engn, Sanhe 065201, Peoples R China</t>
  </si>
  <si>
    <t>Institute of Disaster Prevention; North China Institute Science &amp; Technology; North China Institute Science &amp; Technology; Institute of Disaster Prevention</t>
  </si>
  <si>
    <t>Zhu, QJ (corresponding author), North China Inst Sci &amp; Technol, Sch Emergency Technol &amp; Management, Sanhe 065201, Peoples R China.</t>
  </si>
  <si>
    <t>youyicun2008@163.com</t>
  </si>
  <si>
    <t>Fundamental Research Funds for the Central Universities [ZY20215217, 3142021002, ZY20215214]; Central Guidance on Local Science and Technology Development Fund of Hebei Province [216Z5401G]</t>
  </si>
  <si>
    <t>Fundamental Research Funds for the Central Universities(Fundamental Research Funds for the Central Universities); Central Guidance on Local Science and Technology Development Fund of Hebei Province</t>
  </si>
  <si>
    <t>The authors gratefully acknowledge financial support from the Fundamental Research Funds for the Central Universities (Grant No.: ZY20215217, 3142021002, ZY20215214), the Central Guidance on Local Science and Technology Development Fund of Hebei Province (Grant No. 216Z5401G).</t>
  </si>
  <si>
    <t>10.1007/s10706-023-02623-1</t>
  </si>
  <si>
    <t>WOS:001060667800001</t>
  </si>
  <si>
    <t>Onder, H; Kertmen, H; Comoglu, S</t>
  </si>
  <si>
    <t>Onder, Halil; Kertmen, Hayri; Comoglu, Selcuk</t>
  </si>
  <si>
    <t>Dramatic improvement of a rare patient with PARK-14 linked young-onset parkinsonism after STN-DBS therapy</t>
  </si>
  <si>
    <t>MUTATIONS; PLA2G6</t>
  </si>
  <si>
    <t>[Onder, Halil; Comoglu, Selcuk] Etlik City Hosp, Neurol Clin, Varlik, Turkiye; [Kertmen, Hayri] Etlik City Hosp, Neurosurg Clin, Ankara, Turkiye</t>
  </si>
  <si>
    <t>Onder, H (corresponding author), Etlik City Hosp, Neurol Clin, Varlik, Turkiye.</t>
  </si>
  <si>
    <t>halilnder@yahoo.com</t>
  </si>
  <si>
    <t>Onder, Halil/0000-0002-1823-2278</t>
  </si>
  <si>
    <t>10.1007/s10072-023-07027-w</t>
  </si>
  <si>
    <t>R4EO4</t>
  </si>
  <si>
    <t>WOS:001063897100001</t>
  </si>
  <si>
    <t>Qi, JR; Zhang, XD; Zhang, SW; Wu, SS; Lu, YM; Li, SY; Li, PP; Tan, JC</t>
  </si>
  <si>
    <t>Qi, Jiarui; Zhang, Xudong; Zhang, Siwen; Wu, Shanshan; Lu, Yimeng; Li, Shuyu; Li, Pingping; Tan, Jichun</t>
  </si>
  <si>
    <t>P65 mediated UBR4 in exosomes derived from menstrual blood stromal cells to reduce endometrial fibrosis by regulating YAP Ubiquitination</t>
  </si>
  <si>
    <t>MenSCs; Exosomes; Endometrial fibrosis; ubr4; Ubiquitination</t>
  </si>
  <si>
    <t>NF-KAPPA-B; MESENCHYMAL STEM-CELLS; EXPRESSION; REPAIR; TRANSPLANTATION; INFLAMMATION; PATHWAY; INJURY</t>
  </si>
  <si>
    <t>Background Intrauterine adhesion (IUA) is a recurrent and refractory reproductive dysfunction disorder for which menstrual blood-derived stromal cells (MenSCs) might be a promising intervention. We reported that administration of MenSCs-derived exosomes (MenSCs-EXO) could achieve similar therapeutic effects to MenSCs transplantation, including alleviating endometrial fibrosis and improving fertility in IUA rats. The mass spectrometry sequencing result suggested that UBR4, a member of the proteasome family, was abundantly enriched in MenSCs-EXO. This study aimed to investigate the key role of UBR4 in MenSCs-EXO for the treatment of IUA and the specific molecular mechanism.Results UBR4 was lowly expressed in the endometrial stromal cells (EndoSCs) of IUA patients. MenSCs-EXO treatment could restore the morphology of IUA endometrium, reduce the extent of fibrosis, and promote endometrial and vascular proliferation. Knockdown of UBR4 in MenSCs did not affect the characteristics of exosomes but attenuated the therapeutic effect of exosomes. UBR4 in MenSCs-EXO could alleviate endometrial fibrosis by boosting YAP ubiquitination degradation and promoting YAP nuclear-cytoplasmic translocation. Moreover, P65 could bind to the UBR4 promoter region to transcriptionally promote the expression level of UBR4 in MenSCs.Conclusion Our study clarified that MenSCs-EXO ameliorated endometrial fibrosis in IUA primarily by affecting YAP activity mediated through UBR4, while inflammatory signaling P65 may affect UBR4 expression in MenSCs to enhance MenSCs-EXO therapeutic effects. This revealed a novel mechanism for the treatment of IUA with MenSCs-EXO, proposing a potential option for the clinical treatment of endometrial injury.</t>
  </si>
  <si>
    <t>[Qi, Jiarui; Zhang, Xudong; Zhang, Siwen; Wu, Shanshan; Lu, Yimeng; Li, Shuyu; Li, Pingping; Tan, Jichun] China Med Univ, Ctr Reprod Med, Dept Obstet &amp; Gynecol, Shengjing Hosp, 39 Huaxiang Rd, Shenyang 110022, Peoples R China; [Qi, Jiarui; Zhang, Xudong; Zhang, Siwen; Wu, Shanshan; Lu, Yimeng; Li, Shuyu; Li, Pingping; Tan, Jichun] Key Lab Reprod Dysfunct Dis &amp; Fertil Remodeling Li, 39 Huaxiang Rd, Shenyang 110022, Peoples R China; [Qi, Jiarui; Zhang, Xudong; Zhang, Siwen; Wu, Shanshan; Lu, Yimeng; Li, Shuyu; Li, Pingping; Tan, Jichun] China Med Univ, Key Lab Reprod &amp; Genet Med, Natl Hlth Commiss, Shenyang, Peoples R China</t>
  </si>
  <si>
    <t>China Medical University; China Medical University</t>
  </si>
  <si>
    <t>Tan, JC (corresponding author), China Med Univ, Ctr Reprod Med, Dept Obstet &amp; Gynecol, Shengjing Hosp, 39 Huaxiang Rd, Shenyang 110022, Peoples R China.;Tan, JC (corresponding author), Key Lab Reprod Dysfunct Dis &amp; Fertil Remodeling Li, 39 Huaxiang Rd, Shenyang 110022, Peoples R China.;Tan, JC (corresponding author), China Med Univ, Key Lab Reprod &amp; Genet Med, Natl Hlth Commiss, Shenyang, Peoples R China.</t>
  </si>
  <si>
    <t>tjczjh@163.com</t>
  </si>
  <si>
    <t>The authors will thank all the fellows in the Key Laboratory of Reproductive Dysfunction Disease and Fertility Remodeling of Liaoning Province for their great help in our experiments.; Key Laboratory of Reproductive Dysfunction Disease and Fertility Remodeling of Liaoning Province</t>
  </si>
  <si>
    <t>The authors will thank all the fellows in the Key Laboratory of Reproductive Dysfunction Disease and Fertility Remodeling of Liaoning Province for their great help in our experiments.</t>
  </si>
  <si>
    <t>10.1186/s12951-023-02070-3</t>
  </si>
  <si>
    <t>Q5BP3</t>
  </si>
  <si>
    <t>WOS:001057674000002</t>
  </si>
  <si>
    <t>Ratnagiri, R; Uppin, MS; Uppin, SG; Shantappa, R</t>
  </si>
  <si>
    <t>Ratnagiri, Ranganath; Uppin, Megha S.; Uppin, Shantveer G.; Shantappa, Rajshekar</t>
  </si>
  <si>
    <t>Major Nerve Resections in Extremity Soft Tissue Sarcomas-Functional and Oncological Outcomes</t>
  </si>
  <si>
    <t>INDIAN JOURNAL OF SURGICAL ONCOLOGY</t>
  </si>
  <si>
    <t>Soft tissue sarcomas; Major nerve resection; Functional outcomes; Oncological results</t>
  </si>
  <si>
    <t>LIMB-SALVAGE SURGERY; TUMORS; BONE</t>
  </si>
  <si>
    <t>Soft tissue sarcomas form 1% of all cancers and are rare. The lower limb is one of the commonest sites of sarcoma, with the thigh accounting for the majority of these tumors. Large tumors abut the neurovascular bundles both anteriorly and in the hamstring compartment. Nerve involvement, especially the major nerves such as the femoral and the sciatic, by these tumors, was considered to be an absolute contraindication for limb salvage procedures. We present our data of major nerve resection without amputation, in an attempt to demonstrate the possibility of equivalent functional and oncological outcomes in these rare tumors. A total of 86 cases of extremity soft tissue sarcomas were operated on during the period September 2019 to September 2022, of which there were 12 cases of major nerve resections of the lower extremity. These patients were followed up and their clinicopathological data collected and analyzed. The functional outcome was recorded at different intervals. Of the 12 patients who underwent nerve resection along with the tumor, only 1 patient developed a local recurrence. Two patients developed multiple lung metastases, and the other 9 patients are alive and free of disease, with a median follow-up of 26 months. The MSTS score was assessed at 1 month post-surgery, 3 months, 6 months, and 1 year post-surgery. Except for one patient where the score was 20%, all the other patients had scores of 80% or more. Major nerve involvement by soft tissue sarcomas is not an indication for amputation. Limb salvage can be performed with no effect on the oncological outcomes.</t>
  </si>
  <si>
    <t>[Ratnagiri, Ranganath; Shantappa, Rajshekar] Nizams Inst Med Sci, Dept Surg Oncol, Hyderabad, India; [Uppin, Megha S.; Uppin, Shantveer G.] Nizams Inst Med Sci, Dept Pathol, Hyderabad, India</t>
  </si>
  <si>
    <t>Nizam's Institute of Medical Sciences; Nizam's Institute of Medical Sciences</t>
  </si>
  <si>
    <t>Ratnagiri, R (corresponding author), Nizams Inst Med Sci, Dept Surg Oncol, Hyderabad, India.</t>
  </si>
  <si>
    <t>pranganam@gmail.com</t>
  </si>
  <si>
    <t>Director and Dean of the Institute and all the patients who consented to their clinical data being used for research and publication</t>
  </si>
  <si>
    <t>0975-7651</t>
  </si>
  <si>
    <t>0976-6952</t>
  </si>
  <si>
    <t>INDIA J SURG ONCOL</t>
  </si>
  <si>
    <t>India J. Surg. Oncol.</t>
  </si>
  <si>
    <t>10.1007/s13193-023-01810</t>
  </si>
  <si>
    <t>Q8SW5</t>
  </si>
  <si>
    <t>WOS:001060174300001</t>
  </si>
  <si>
    <t>Rehm, M; Jaensch, A; Schottker, B; Mons, U; Hahmann, H; Koenig, W; Brenner, H; Rothenbacher, D</t>
  </si>
  <si>
    <t>Rehm, Martin; Jaensch, Andrea; Schoettker, Ben; Mons, Ute; Hahmann, Harry; Koenig, Wolfgang; Brenner, Hermann; Rothenbacher, Dietrich</t>
  </si>
  <si>
    <t>Medical care and biomarker-based assessment of mortality in two cohorts of patients with chronic coronary syndrome 10 years apart</t>
  </si>
  <si>
    <t>Chronic coronary syndrome; Cardiac rehabilitation; Risk factors; Biomarkers; Pharmacological treatment; Mortality</t>
  </si>
  <si>
    <t>ISCHEMIC-HEART-DISEASE; CARDIAC REHABILITATION; STATIN THERAPY; RISK; TRENDS; IMPACT</t>
  </si>
  <si>
    <t>Background This study aimed to describe the characteristics and mortality of two cohorts of patients with chronic coronary syndrome (CCS) recruited with identical study designs in the same rehabilitation clinics but approximately 10 years apart. Methods The KAROLA cohorts included patients with CCS participating in an inpatient cardiac rehabilitation programme in Germany (KAROLA-I: years 1999/2000, KAROLA-II: 2009-2011). Blood samples and information on sociodemographic factors, lifestyle, and medical treatment were collected at baseline, at the end of rehabilitation, and after one year of follow-up. A biomarker-based risk model (ABC-CHD model) and Cox regression analysis were used to evaluate cardiovascular (CV) and non-CV mortality risk. Results We included 1130 patients from KAROLA-I (mean age 58.7 years, 84.4% men) and 860 from KAROLA-II (mean age 60.4 years, 83.4% men). Patients in the KAROLA-I cohort had significantly higher concentrations of CV biomarkers and fewer patients were taking CV medications, except for statins. The biomarker-based ABC- CHD model provided a higher estimate of CV death risk for patients in the KAROLA-I cohort (median 3-year risk, 3.8%) than for patients in the KAROLA-II cohort (median 3-year risk, 2.7%, p-value for difference &lt; 0.001). After 10 years of follow-up, 91 (8.1%) patients in KAROLA-I and 45 (5.2%) in KAROLA-II had died from a CV event. Conclusions Advances in disease management over the past 20 years may have led to modest improvements in pharmacological treatment during cardiac rehabilitation and long-term outpatient care for patients with CCS. However, modifiable risk factors such as obesity have increased in the more recent cohort and should be targeted to further improve the prognosis of these patients.</t>
  </si>
  <si>
    <t>[Rehm, Martin; Jaensch, Andrea; Koenig, Wolfgang; Rothenbacher, Dietrich] Ulm Univ, Inst Epidemiol &amp; Med Biometry, Ulm, Germany; [Schoettker, Ben; Mons, Ute; Brenner, Hermann; Rothenbacher, Dietrich] German Canc Res Ctr, Div Clin Epidemiol &amp; Aging Res, Heidelberg, Germany; [Mons, Ute] Univ Cologne, Fac Med, Dept Cardiol, Cologne, Germany; [Mons, Ute] Univ Cologne, Univ Hosp Cologne, Cologne, Germany; [Hahmann, Harry] Klin Schwabenland, Isny, Germany; [Koenig, Wolfgang] Tech Univ Munich, Deutsch Herzzentrum Munchen, Munich, Germany; [Koenig, Wolfgang] German Ctr Cardiovasc Res DZHK, Partner Site Munich Heart Alliance, Munich, Germany; [Brenner, Hermann] German Canc Res Ctr, Div Prevent Oncol, Heidelberg, Germany; [Brenner, Hermann] Natl Ctr Tumour Dis NCT, Heidelberg, Germany; [Brenner, Hermann] German Canc Res Ctr, German Canc Consortium DKTK, Heidelberg, Germany</t>
  </si>
  <si>
    <t>Ulm University; Helmholtz Association; German Cancer Research Center (DKFZ); University of Cologne; University of Cologne; Technical University of Munich; German Heart Centre Munich; Munich Heart Alliance; German Centre for Cardiovascular Research; Helmholtz Association; German Cancer Research Center (DKFZ); Helmholtz Association; German Cancer Research Center (DKFZ); Ruprecht Karls University Heidelberg; Helmholtz Association; German Cancer Research Center (DKFZ)</t>
  </si>
  <si>
    <t>Rothenbacher, D (corresponding author), Ulm Univ, Inst Epidemiol &amp; Med Biometry, Ulm, Germany.;Rothenbacher, D (corresponding author), German Canc Res Ctr, Div Clin Epidemiol &amp; Aging Res, Heidelberg, Germany.</t>
  </si>
  <si>
    <t>dietrich.rothenbacher@uni-ulm.de</t>
  </si>
  <si>
    <t>10.1186/s12872-023-03469-4</t>
  </si>
  <si>
    <t>Q4YT4</t>
  </si>
  <si>
    <t>WOS:001057599500003</t>
  </si>
  <si>
    <t>Rong, YC</t>
  </si>
  <si>
    <t>Rong, Yicheng</t>
  </si>
  <si>
    <t>Comprehension of Spatial Demonstratives in Mandarin-speaking Children on the Autism Spectrum: The Roles of Theory of Mind and Executive Function</t>
  </si>
  <si>
    <t>JOURNAL OF AUTISM AND DEVELOPMENTAL DISORDERS</t>
  </si>
  <si>
    <t>Autism; Mandarin-speaking children; Spatial demonstrative; Theory of mind; Executive function</t>
  </si>
  <si>
    <t>LANGUAGE; SELF; MEMORY; EXPRESSIONS; EGOCENTRISM; ACQUISITION; COGNITION</t>
  </si>
  <si>
    <t>The present study aimed to examine whether Mandarin-speaking children on the autism spectrum showed differences in comprehending spatial demonstratives (this and that, and here and there), as compared to typically developing (TD) children. Another aim of this study was to investigate the roles of theory of mind (ToM) and executive functions (EF) in the comprehension of spatial demonstratives. Twenty-seven autistic children (mean age 6.86) and 27 receptive-vocabulary-matched TD children (mean age 5.82) were recruited. Demonstrative comprehension was assessed based on participants' ability to place objects in certain locations according to experimenters' instructions which involved these demonstratives in three different conditions (same-, opposite-, and spectator-perspective conditions). Four false-belief tasks were administered to measure ToM, and the word-span task and the dimensional change card sort task were used to measure two subcomponents of EF - working memory and mental flexibility - respectively. Children on the autism spectrum were found to score below TD children in the comprehension of spatial demonstratives. In addition, the results showed that ToM and working memory were conducive to the correct interpretation of spatial demonstratives. The two cognitive abilities mutually influenced their respective roles in spatial demonstrative comprehension in the three different conditions. The findings suggest that the comprehension of spatial demonstratives comprehension is an area of need in Mandarin-speaking children on the autism spectrum, and it might be linked to their differences in cognitive abilities.</t>
  </si>
  <si>
    <t>[Rong, Yicheng] Hong Kong Polytech Univ, Dept Chinese &amp; Bilingual Studies, Hong Kong, Peoples R China</t>
  </si>
  <si>
    <t>Hong Kong Polytechnic University</t>
  </si>
  <si>
    <t>Rong, YC (corresponding author), Hong Kong Polytech Univ, Dept Chinese &amp; Bilingual Studies, Hong Kong, Peoples R China.</t>
  </si>
  <si>
    <t>rosy.rong@polyu.edu.hk</t>
  </si>
  <si>
    <t>Hong Kong Polytechnic University(Hong Kong Polytechnic University)</t>
  </si>
  <si>
    <t>This work was funded by The Hong Kong Polytechnic University.</t>
  </si>
  <si>
    <t>0162-3257</t>
  </si>
  <si>
    <t>1573-3432</t>
  </si>
  <si>
    <t>J AUTISM DEV DISORD</t>
  </si>
  <si>
    <t>J. Autism Dev. Disord.</t>
  </si>
  <si>
    <t>10.1007/s10803-023-06111-6</t>
  </si>
  <si>
    <t>Psychology, Developmental</t>
  </si>
  <si>
    <t>Q9ML2</t>
  </si>
  <si>
    <t>WOS:001060684300014</t>
  </si>
  <si>
    <t>Sheth, RK; Shere, DS; Vishnurag, A; Choudhary, DA; Iyer, S</t>
  </si>
  <si>
    <t>Sheth, Ritu K.; Shere, Devika S.; Vishnurag, Athira; Choudhary, Deepika A.; Iyer, Subramanyam</t>
  </si>
  <si>
    <t>Rare Case of Nasal Tip Schwannoma - A Case Report</t>
  </si>
  <si>
    <t>Schwannoma; Neurilemoma; Nasal tip schwannoma; Sinonasal schwannoma; Nasal tip swelling</t>
  </si>
  <si>
    <t>Schwannoma is a benign neurogenic neoplasm which is arising from schwann cells of peripheral nerve sheath. It can occur in anywhere in the body. Schwannoma of sinonasal tract is extremely rare. Here we report a rare case of schwannoma of nasal tip. A 45 year old male presented with a swelling of tip of the nose, causing cosmetic deformity with no other associated symptoms. Surgical excision of the mass done by using external rhinoplasty approach. Histolopathology report of specimen showed a well circumscribed schwannoma with Antoni A and Antoni B areas.</t>
  </si>
  <si>
    <t>[Sheth, Ritu K.; Shere, Devika S.; Vishnurag, Athira; Choudhary, Deepika A.; Iyer, Subramanyam] Vora Muncipal Gen Hosp, Dept ENT Seth VC Gandhi &amp; MA, Rajawadi Mumbai, India</t>
  </si>
  <si>
    <t>Sheth, RK (corresponding author), Vora Muncipal Gen Hosp, Dept ENT Seth VC Gandhi &amp; MA, Rajawadi Mumbai, India.</t>
  </si>
  <si>
    <t>drritusheth@gmail.com; devikashere@gmail.com; athiravishnurag@gmail.com; c.deepi15@gmail.com; subramanyamiyer95@gmail.com</t>
  </si>
  <si>
    <t>10.1007/s12070-023-04170</t>
  </si>
  <si>
    <t>R4FH5</t>
  </si>
  <si>
    <t>WOS:001063916200004</t>
  </si>
  <si>
    <t>Su, YT; Li, WQ; Chen, M; Wu, CF; Tan, X</t>
  </si>
  <si>
    <t>Su, Yutong; Li, Wenqi; Chen, Ming; Wu, Chengfeng; Tan, Xin</t>
  </si>
  <si>
    <t>Innovation policy and ecological welfare performance: evidence from a quasi-natural experiment of China</t>
  </si>
  <si>
    <t>National innovative city pilot policy; Ecological welfare performance; Propensity score matching difference-in-difference model; Spatial Durbin model</t>
  </si>
  <si>
    <t>LOW-CARBON CITY; INDUSTRIAL-STRUCTURE; POLLUTION; EVOLUTION; CITIES</t>
  </si>
  <si>
    <t>The National Innovative City Pilot Policy (NICPP) is a policy implemented by the Chinese government to create an environment conducive to innovation, optimize industrial structure, promote economic development, and stimulate green innovation. The impact of this policy on ecological welfare performance is a question worth exploring. Based on panel data from 285 cities from 2007 to 2021, this paper uses the multi-period difference-in-difference (DID) model, propensity score matching method, and spatial DID model to study the impact of NICPP on ecological welfare performance and spatial spillover effects. The results show that (1) NICPP can significantly improve ecological welfare performance. (2) The mechanism analysis found that NICPP mainly improves ecological welfare performance through technological innovation investment, industrial structure upgrading, and increasing government attention. (3) The heterogeneity analysis found that NICPP has a more substantial driving effect on the ecological welfare development of cities in the eastern and western regions, cities with higher administrative levels, and cities with lower secondary industry agglomeration. (4) Further research has found that NICPP not only promotes the development of local ecological welfare but also has a positive spatial spillover effect on the ecological welfare performance of neighboring regions. This paper enriches the research on the effects of NICPP and provides policy references for the sustainable development of cities.</t>
  </si>
  <si>
    <t>[Su, Yutong; Chen, Ming; Wu, Chengfeng; Tan, Xin] Qingdao Univ Sci &amp; Technol, Sch Econ &amp; Management, 99 Songling Rd, Qingdao 266061, Shandong, Peoples R China; [Li, Wenqi] Nanyang Technol Univ, Coll Humanities Arts &amp; Social Sci, Nanyang 637718, Singapore</t>
  </si>
  <si>
    <t>Qingdao University of Science &amp; Technology; Nanyang Technological University &amp; National Institute of Education (NIE) Singapore; Nanyang Technological University</t>
  </si>
  <si>
    <t>Chen, M (corresponding author), Qingdao Univ Sci &amp; Technol, Sch Econ &amp; Management, 99 Songling Rd, Qingdao 266061, Shandong, Peoples R China.</t>
  </si>
  <si>
    <t>Sebastiansuyutong@outlook.com; LIWE0044@e.ntu.edu.sg; malindachen@qust.edu.cn; 02415@qust.edu.cn; ttxx0716@hotmail.cm</t>
  </si>
  <si>
    <t>National Social Science Foundation of China [18BJL069]; Shandong Social Science Planning Project [21CJJJ17, 21BZBJ15]; Natural Science Foundation of Shandong Province [ZR2020MG008, ZR2022QG020]; Qingdao Social Science Planning Project [QDSKL2201229, QDSKL2201231]</t>
  </si>
  <si>
    <t>National Social Science Foundation of China(National Office of Philosophy and Social Sciences); Shandong Social Science Planning Project; Natural Science Foundation of Shandong Province(Natural Science Foundation of Shandong Province); Qingdao Social Science Planning Project</t>
  </si>
  <si>
    <t>This research was funded by the National Social Science Foundation of China (18BJL069); Shandong Social Science Planning Project (21CJJJ17, 21BZBJ15); Natural Science Foundation of Shandong Province (ZR2020MG008, ZR2022QG020); and Qingdao Social Science Planning Project (QDSKL2201229, QDSKL2201231).</t>
  </si>
  <si>
    <t>10.1007/s11356-023-29307</t>
  </si>
  <si>
    <t>R4FP3</t>
  </si>
  <si>
    <t>WOS:001063924000002</t>
  </si>
  <si>
    <t>Wei, QC; Yuan, BB; Xu, J; He, P; Xu, HY; Meng, QY</t>
  </si>
  <si>
    <t>Wei, Qianchen; Yuan, Beibei; Xu, Jin; He, Ping; Xu, Hanyi; Meng, Qingyue</t>
  </si>
  <si>
    <t>Continuity of health care: measurement and application in two rural counties of Guangxi Province, China</t>
  </si>
  <si>
    <t>BMC HEALTH SERVICES RESEARCH</t>
  </si>
  <si>
    <t>Continuity of care; Composite Indicator; AHP; Rural County</t>
  </si>
  <si>
    <t>STILL IMPORTANT</t>
  </si>
  <si>
    <t>Background Continuity of care (COC) is highly regarded in health promotion and health system strengthening. However, there is a lack of multidimensional quantitative assessment of continuity, making it challenging to evaluate and compare. Our objective was to create a novel measurement for COC and apply it in two rural counties in China to assess its validity and feasibility in evaluating health system reform.Method This study conducted a scoping literature review on COC, examining existing frameworks and indicators. Following an online expert poll, a composite indicator was developed using the analytical hierarchy process (AHP). The measurement tool was then applied to assess the current state of COC in two rural counties in China. In addition to descriptive analysis, demographic and economic characteristics were analyzed for their association with COC scores using t-tests and multiple linear regression models.Results The final COC measurement encompasses three dimensions, six sub-dimensions, and ten individual indicators, which integrated and improved the current frameworks and indicators. Relational continuity, informational continuity, and management continuity were identified as the primary dimensions of COC measurement. The COC score is 0.49 in County A and 0.41 in County B, with information continuity being the highest-scoring dimension. Notably, the disparity in continuity scores is most pronounced among individuals with varying attitudes towards health, demonstrating a positive correlation.Conclusion The construction of the composite indicator in this study offers a scientific and effective metric for comprehensively measuring continuity of care. The empirical data analysis conducted in Western China serves as an illustrative application of the indicator, demonstrating its efficiency. The results obtained from this analysis provide a solid foundation and valuable reference for strengthening the health system.</t>
  </si>
  <si>
    <t>[Wei, Qianchen] Peking Univ, Sch Publ Hlth, Dept Hlth Policy &amp; Management, Beijing, Peoples R China; [Wei, Qianchen; Yuan, Beibei; Xu, Jin; He, Ping; Xu, Hanyi; Meng, Qingyue] Peking Univ, Hlth Sci Ctr, China Ctr Hlth Dev Studies, Beijing, Peoples R China</t>
  </si>
  <si>
    <t>Peking University; Peking University</t>
  </si>
  <si>
    <t>Meng, QY (corresponding author), Peking Univ, Hlth Sci Ctr, China Ctr Hlth Dev Studies, Beijing, Peoples R China.</t>
  </si>
  <si>
    <t>qmeng@bjmu.edu.cn</t>
  </si>
  <si>
    <t>1472-6963</t>
  </si>
  <si>
    <t>BMC HEALTH SERV RES</t>
  </si>
  <si>
    <t>BMC Health Serv. Res.</t>
  </si>
  <si>
    <t>10.1186/s12913-023-09916-4</t>
  </si>
  <si>
    <t>Health Care Sciences &amp; Services</t>
  </si>
  <si>
    <t>Q5CL5</t>
  </si>
  <si>
    <t>WOS:001057696200002</t>
  </si>
  <si>
    <t>Yasuda, Y; Matsumoto, J; Miura, K; Hasegawa, N; Hashimoto, R</t>
  </si>
  <si>
    <t>Yasuda, Yuka; Matsumoto, Junya; Miura, Kenichiro; Hasegawa, Naomi; Hashimoto, Ryota</t>
  </si>
  <si>
    <t>Genetics of autism spectrum disorders and future direction (vol 68, pg 193, 2023)</t>
  </si>
  <si>
    <t>JOURNAL OF HUMAN GENETICS</t>
  </si>
  <si>
    <t>[Yasuda, Yuka] Med Corp Foster, Life Grow Brilliant Mental Clin, Osaka, Japan; [Yasuda, Yuka; Matsumoto, Junya; Miura, Kenichiro; Hasegawa, Naomi; Hashimoto, Ryota] Natl Ctr Neurol &amp; Psychiat, Natl Inst Mental Hlth, Dept Pathol Mental Dis, Kodaira, Japan</t>
  </si>
  <si>
    <t>National Center for Neurology &amp; Psychiatry - Japan</t>
  </si>
  <si>
    <t>Yasuda, Y (corresponding author), Med Corp Foster, Life Grow Brilliant Mental Clin, Osaka, Japan.;Yasuda, Y (corresponding author), Natl Ctr Neurol &amp; Psychiat, Natl Inst Mental Hlth, Dept Pathol Mental Dis, Kodaira, Japan.</t>
  </si>
  <si>
    <t>yukayasuda.yy@gmail.com</t>
  </si>
  <si>
    <t>1434-5161</t>
  </si>
  <si>
    <t>1435-232X</t>
  </si>
  <si>
    <t>J HUM GENET</t>
  </si>
  <si>
    <t>J. Hum. Genet.</t>
  </si>
  <si>
    <t>10.1038/s10038-023-01190-w</t>
  </si>
  <si>
    <t>R3ZE5</t>
  </si>
  <si>
    <t>WOS:001063757200001</t>
  </si>
  <si>
    <t>Zhang, GM; Zhang, L; Wang, YT; Wang, H; Li, S; Xu, WS; Yu, Y; Zhou, YF; Li, QH; Yu, XJ; Sun, XF</t>
  </si>
  <si>
    <t>Zhang, Gengming; Zhang, Lei; Wang, Yitao; Wang, Hua; Li, Song; Xu, Weishuai; Yu, Yue; Zhou, Yinfei; Li, Qinghong; Yu, Xiangjun; Sun, Xiaofang</t>
  </si>
  <si>
    <t>Subsurface sound channel and seasonal variation of its characteristics in the mid-latitude of Northwest Pacific</t>
  </si>
  <si>
    <t>JOURNAL OF OCEANOGRAPHY</t>
  </si>
  <si>
    <t>Subsurface sound channel; North Pacific subtropical mode water; Mixed layer; Seasonal thermocline</t>
  </si>
  <si>
    <t>SUBTROPICAL MODE WATER; PROPAGATION; VARIABILITY</t>
  </si>
  <si>
    <t>A subsurface sound channel (SSC) can make sound waves propagate a considerable distance without reflection. Due to the lack of a detection method, the SSC has not been fully explored since its discovery. In this paper, a detection method is introduced to detect SSCs from a large quantity of Argo float data in the mid-latitude of the Northwest Pacific. The results show that occurrence of SSCs gradually reaches its peak in spring and subsequently begins to decline until winter. Their depth is influenced by the mixed layer depth and seasonal thermocline, and the thickness is influenced by the seasonal thermocline and mode water. We use the discrete Fourier transform to show that the variations of SSCs have a strong interannual character. However, the characteristics of SSC reach their peak with a time delay due to the combined effects of multiple properties. We analyze these combined effects in detail and calculate the time delay using the cross-correlation function.</t>
  </si>
  <si>
    <t>[Zhang, Gengming; Zhang, Lei; Wang, Hua; Li, Song; Xu, Weishuai; Zhou, Yinfei; Li, Qinghong; Yu, Xiangjun; Sun, Xiaofang] Dalian Naval Acad, Dept Mil Oceanog &amp; Hydrog, Dalian, Peoples R China; [Wang, Yitao; Yu, Yue] Dalian Naval Acad, Software &amp; Simulat Inst, Dalian, Peoples R China</t>
  </si>
  <si>
    <t>Dalian Naval Academy; Dalian Naval Academy</t>
  </si>
  <si>
    <t>Zhang, L (corresponding author), Dalian Naval Acad, Dept Mil Oceanog &amp; Hydrog, Dalian, Peoples R China.</t>
  </si>
  <si>
    <t>zhanggengming1999@163.com; stone333@tom.com; wytbmdx@163.com; dlwhua@sina.com; superpineli@126.com; xuweishuai2022@163.com; 18640819235@163.com; zhouyinfei1998@163.com; liqh78@163.com; yuxjocean@139.com; 125070646@qq.com</t>
  </si>
  <si>
    <t>The results presented in this paper rely on data collected by Argo floats, so we thank the Global Data Assembly Centre and Coriolis Center, which provided high standards of the Argo dataset after quality control.; Global Data Assembly Centre</t>
  </si>
  <si>
    <t>The results presented in this paper rely on data collected by Argo floats, so we thank the Global Data Assembly Centre and Coriolis Center, which provided high standards of the Argo dataset after quality control.</t>
  </si>
  <si>
    <t>0916-8370</t>
  </si>
  <si>
    <t>1573-868X</t>
  </si>
  <si>
    <t>J OCEANOGR</t>
  </si>
  <si>
    <t>J. Oceanogr.</t>
  </si>
  <si>
    <t>10.1007/s10872-023-00701-9</t>
  </si>
  <si>
    <t>Oceanography</t>
  </si>
  <si>
    <t>Q8UJ6</t>
  </si>
  <si>
    <t>WOS:001060213500001</t>
  </si>
  <si>
    <t>Zhang, QQ; Han, JT; Zhu, YC; Yu, FS; Hu, XP; Tong, HHY; Liu, HX</t>
  </si>
  <si>
    <t>Zhang, Qianqian; Han, Jianting; Zhu, Yongchang; Yu, Fansen; Hu, Xiaopeng; Tong, Henry H. Y.; Liu, Huanxiang</t>
  </si>
  <si>
    <t>Discovery of novel and potent InhA direct inhibitors by ensemble docking-based virtual screening and biological assays</t>
  </si>
  <si>
    <t>JOURNAL OF COMPUTER-AIDED MOLECULAR DESIGN</t>
  </si>
  <si>
    <t>MDR-TB; InhA direct inhibitors; Ensemble docking-based virtual screening; Biological assays; MD simulation; MM-GBSA calculation; Binding mode analysis</t>
  </si>
  <si>
    <t>CARRIER PROTEIN REDUCTASE; MYCOBACTERIUM-TUBERCULOSIS-INHA; ENOYL-ACP REDUCTASE; ACID BIOSYNTHESIS; FAS-II; BINDING; TARGET; TRICLOSAN; MUTATION; LIGANDS</t>
  </si>
  <si>
    <t>Multidrug-resistant tuberculosis (MDR-TB) continues to spread worldwide and remains one of the leading causes of death among infectious diseases. The enoyl-acyl carrier protein reductase (InhA) belongs to FAS-II family and is essential for the formation of the Mycobacterium tuberculosis cell wall. Recent years, InhA direct inhibitors have been extensively studied to overcome MDR-TB. However, there are still no inhibitors that have entered clinical research. Here, the ensemble docking-based virtual screening along with biological assay were used to identify potent InhA direct inhibitors from Chembridge, Chemdiv, and Specs. Ultimately, 34 compounds were purchased and first assayed for the binding affinity, of which four compounds can bind InhA well with KD values ranging from 48.4 to 56.2 &amp; mu;M. Among them, compound 9,222,034 has the best inhibitory activity against InhA enzyme with an IC50 value of 18.05 &amp; mu;M. In addition, the molecular dynamic simulation and binding free energy calculation indicate that the identified compounds bind to InhA with extended conformation. Residue energy decomposition shows that residues such as Tyr158, Met161, and Met191 have higher energy contributions in the binding of compounds. By analyzing the binding modes, we found that these compounds can bind to a hydrophobic sub-pocket formed by residues Tyr158, Phe149, Ile215, Leu218, etc., resulting in extensive van der Waals interactions. In summary, this study proposed an efficient strategy for discovering InhA direct inhibitors through ensemble docking-based virtual screening, and finally identified four active compounds with new skeletons, which can provide valuable information for the discovery and optimization of InhA direct inhibitors.</t>
  </si>
  <si>
    <t>[Zhang, Qianqian; Hu, Xiaopeng; Tong, Henry H. Y.; Liu, Huanxiang] Macao Polytech Univ, Fac Appl Sci, Macau, Peoples R China; [Zhang, Qianqian; Yu, Fansen] Lanzhou Univ, Sch Pharm, Lanzhou 730000, Peoples R China; [Han, Jianting; Zhu, Yongchang] Lanzhou Univ, Coll Chem &amp; Chem Engn, Lanzhou, Peoples R China</t>
  </si>
  <si>
    <t>Liu, HX (corresponding author), Macao Polytech Univ, Fac Appl Sci, Macau, Peoples R China.</t>
  </si>
  <si>
    <t>hxliu@mpu.edu.mo</t>
  </si>
  <si>
    <t>This work was supported by Macao Polytechnic University (No. RP/FCA-01/2022).; Macao Polytechnic University; [RP/FCA-01/2022]</t>
  </si>
  <si>
    <t>This work was supported by Macao Polytechnic University (No. RP/FCA-01/2022).; Macao Polytechnic University;</t>
  </si>
  <si>
    <t>This work was supported by Macao Polytechnic University (No. RP/FCA-01/2022).</t>
  </si>
  <si>
    <t>0920-654X</t>
  </si>
  <si>
    <t>1573-4951</t>
  </si>
  <si>
    <t>J COMPUT AID MOL DES</t>
  </si>
  <si>
    <t>J. Comput.-Aided Mol. Des.</t>
  </si>
  <si>
    <t>10.1007/s10822-023-00530-4</t>
  </si>
  <si>
    <t>Biochemistry &amp; Molecular Biology; Biophysics; Computer Science, Interdisciplinary Applications</t>
  </si>
  <si>
    <t>Biochemistry &amp; Molecular Biology; Biophysics; Computer Science</t>
  </si>
  <si>
    <t>Q8SX4</t>
  </si>
  <si>
    <t>WOS:001060175200001</t>
  </si>
  <si>
    <t>Chen, G; Xiang, HB</t>
  </si>
  <si>
    <t>Chen, Gang; Xiang, Hongbing</t>
  </si>
  <si>
    <t>Distributed fixed-time nonlinear control of microgrids based on event-triggered strategy</t>
  </si>
  <si>
    <t>Distributed nonlinear control; Event-triggered control; Fixed-time convergence; Inter-event interval</t>
  </si>
  <si>
    <t>SECONDARY CONTROL; ISLANDED MICROGRIDS; COOPERATIVE CONTROL; RESTORATION; FREQUENCY; VOLTAGE; OPERATION; AC</t>
  </si>
  <si>
    <t>A distributed fixed-time nonlinear control strategy, which integrates the event-triggered mechanism into voltage and frequency regulation and active power sharing in an autonomous microgrid, is proposed in this paper. Based on the developed event-triggered scheme, the controller is updated only when the event-triggered condition is satisfied, which can highly reduce the number of controller updates and the consumption of communication resources. In addition, the proposed nonlinear control scheme is fully distributed and achieves the fixed-time convergence. The theoretic analyses of stability performance and inter-event time interval are provided. Finally, some case studies are implemented to demonstrate the validity and effectiveness of the proposed distributed control strategies in an autonomous microgrid test system.</t>
  </si>
  <si>
    <t>[Chen, Gang; Xiang, Hongbing] Chongqing Univ, Coll Automat, Chongqing 400044, Peoples R China</t>
  </si>
  <si>
    <t>Chen, G (corresponding author), Chongqing Univ, Coll Automat, Chongqing 400044, Peoples R China.</t>
  </si>
  <si>
    <t>chengang@cqu.edu.cn</t>
  </si>
  <si>
    <t>National Natural Science Foundation of China [62073048]</t>
  </si>
  <si>
    <t>This work was supported by the National Natural Science Foundation of China (62073048).</t>
  </si>
  <si>
    <t>2023 AUG 28</t>
  </si>
  <si>
    <t>10.1007/s11071-023-08827-7</t>
  </si>
  <si>
    <t>Q8MT2</t>
  </si>
  <si>
    <t>WOS:001060015000001</t>
  </si>
  <si>
    <t>Dagne, Y; Birhanu, L</t>
  </si>
  <si>
    <t>Dagne, Yitayih; Birhanu, Liyew</t>
  </si>
  <si>
    <t>Floristic composition and plant community distribution along environmental gradients in Guard dry Afromontane forest of Northwestern Ethiopia</t>
  </si>
  <si>
    <t>BMC ECOLOGY AND EVOLUTION</t>
  </si>
  <si>
    <t>Community; Diversity index; Endemic; Floristic composition</t>
  </si>
  <si>
    <t>SOIL ORGANIC-MATTER; DIVERSITY</t>
  </si>
  <si>
    <t>BackgroundDry evergreen montane forests of Ethiopia provide economic and ecological services for the community but it is under several threats of natural and anthropogenic disturbances. The study aimed to investigate the floristic composition, species diversity, and plant community distribution of Guard forest along environmental gradients.MethodsA systematic sampling technique was used to collect vegetation and environmental data. Fifty eight plots each with 400 m2 (20 m X 20 m) were established for trees and shrubs and 2 m x(2)m (4 m(2)) for herbs along eleven transect lines. Shannon Weiner diversity index and evenness were used to assess the species diversity and richness. The similarities among plant communities were computed using Sorenson's similarity index. The plant community types and vegetation-environment relationships were analyzed using hierarchical cluster analysis and Canonical correspondence analysis (CCA) in R software, respectively.ResultsA total of 137 plant species belonging to 111 genera and 55 families were identified. The most dominant families in the study area were Fabaceae and Asteraceae. Among the total plant species documented in the forest, 42(30.65%) were trees, 36 (26.28%) were shrubs, 48(35.04%) were herbs, and 11 (8.03%) were climbers. Of the total species, 14(10.22%) species are endemic to Ethiopia and Eritrea. Three plant community types were identified by cluster analysis. The Shannon-Weiner Diversity Index was 3.39 and evenness was 0.87 for the forest. The pattern of plant species distribution was significantly influenced by altitude, pH, BD, slope, and charcoal (P &lt; 0.05).ConclusionGuard forest has good species diversity and richness, and supports different endemic plant species that show the potential of the area to support useful but some of the characteristics species are not found in the forest and others are rare in their existence due to the presence of disturbances and need immediate conservation to ensure sustainable use and management of the forest.</t>
  </si>
  <si>
    <t>[Dagne, Yitayih; Birhanu, Liyew] Debre Markos Univ, Dept Biol, POB 269, Debre Markos, Ethiopia</t>
  </si>
  <si>
    <t>Birhanu, L (corresponding author), Debre Markos Univ, Dept Biol, POB 269, Debre Markos, Ethiopia.</t>
  </si>
  <si>
    <t>liyewmtu@gmail.com</t>
  </si>
  <si>
    <t>Debre Markos University has fully acknowledged for their contribution to field materials and laboratory equipment.; Debre Markos University</t>
  </si>
  <si>
    <t>Debre Markos University has fully acknowledged for their contribution to field materials and laboratory equipment.</t>
  </si>
  <si>
    <t>2730-7182</t>
  </si>
  <si>
    <t>BMC ECOL EVOL</t>
  </si>
  <si>
    <t>BMC Ecol. Evol.</t>
  </si>
  <si>
    <t>AUG 28</t>
  </si>
  <si>
    <t>10.1186/s12862-023-02154-6</t>
  </si>
  <si>
    <t>Ecology; Evolutionary Biology; Genetics &amp; Heredity</t>
  </si>
  <si>
    <t>Environmental Sciences &amp; Ecology; Evolutionary Biology; Genetics &amp; Heredity</t>
  </si>
  <si>
    <t>Q1DJ9</t>
  </si>
  <si>
    <t>WOS:001054988600001</t>
  </si>
  <si>
    <t>Espinola-Arredondo, A; Munoz-Garcia, F; Garrido, D</t>
  </si>
  <si>
    <t>Espinola-Arredondo, Ana; Munoz-Garcia, Felix; Garrido, Dolores</t>
  </si>
  <si>
    <t>Measuring regulatory errors from environmental policy uncertainty</t>
  </si>
  <si>
    <t>JOURNAL OF REGULATORY ECONOMICS</t>
  </si>
  <si>
    <t>Environmental policy; Pollution persistence; Policy uncertainty; Inefficiencies; L13; L51; Q58</t>
  </si>
  <si>
    <t>RESEARCH-AND-DEVELOPMENT; INVESTMENT; COMPETITION; INDUSTRY; REFORM</t>
  </si>
  <si>
    <t>We examine an environmental policy which may be revisited by a new administration. We allow for pollution to be persistent over time and for uncertainty in next period's environmental policy. When pollution is non-persistent, we show that regulatory uncertainty is inconsequential for output, pollution, or emission fees. However, when pollution is persistent, we find that a more likely reelection of a stringent administration has the unintended (positive) consequence of reducing current pollution. We also measure the inefficiencies stemming from ignoring pollution persistence and from policy uncertainty, identifying in which contexts they are severe or negligible.</t>
  </si>
  <si>
    <t>[Espinola-Arredondo, Ana] Washington State Univ, 101B Hulbert Hall, Pullman, WA 99164 USA; [Munoz-Garcia, Felix] Washington State Univ, 103H Hulbert Hall, Pullman, WA 99164 USA; [Garrido, Dolores] Union Coll, 118 Karp Hall, Schenectady, NY 12308 USA</t>
  </si>
  <si>
    <t>Washington State University; Washington State University; Union College</t>
  </si>
  <si>
    <t>Espinola-Arredondo, A (corresponding author), Washington State Univ, 101B Hulbert Hall, Pullman, WA 99164 USA.</t>
  </si>
  <si>
    <t>anaespinola@wsu.edu; fmunoz@wsu.edu; garridom@union.edu</t>
  </si>
  <si>
    <t>0922-680X</t>
  </si>
  <si>
    <t>1573-0468</t>
  </si>
  <si>
    <t>J REGUL ECON</t>
  </si>
  <si>
    <t>J. Regul. Econ.</t>
  </si>
  <si>
    <t>10.1007/s11149-023-09464</t>
  </si>
  <si>
    <t>Q9CP1</t>
  </si>
  <si>
    <t>WOS:001060427400001</t>
  </si>
  <si>
    <t>Garrote-Camara, ME; Juarez-Vela, R; Rodriguez-Munoz, PM; Perez, J; Sanchez-Gonzalez, JL; Rubinat-Arnaldo, E; Navas-Echazarreta, N; Sufrate-Sorzano, T; Santolalla-Arnedo, I</t>
  </si>
  <si>
    <t>Garrote-Camara, Maria-Elena; Juarez-Vela, Raul; Rodriguez-Munoz, Pedro-Manuel; Perez, Jesus; Sanchez-Gonzalez, Juan-Luis; Rubinat-Arnaldo, Esther; Navas-Echazarreta, Noelia; Sufrate-Sorzano, Teresa; Santolalla-Arnedo, Ivan</t>
  </si>
  <si>
    <t>NANDA nursing diagnoses associated with the occurrence of psychomotor agitation in patients with severe mental disorder: a cross-sectional study</t>
  </si>
  <si>
    <t>BMC NURSING</t>
  </si>
  <si>
    <t>Nursing; Mental Health; Severe Mental disorder; Psychomotor agitation; Standardized nursing terminology</t>
  </si>
  <si>
    <t>AGGRESSION; NEUROBIOLOGY; MANAGEMENT</t>
  </si>
  <si>
    <t>BackgroundPsychomotor agitation is increased psychomotor activity, restlessness and irritability. People with psychomotor agitation respond by overreacting to intrinsic and extrinsic stimuli, experiencing stress and/or cognitive impairment. the aim was to analyse the association of nursing diagnoses with the disinhibition dimension, the aggressiveness dimension and the lability dimension of the Corrigan Agitated Behaviour Scale.MethodsThis study was conducted in Spain using a multicentre cross-sectional convenience sample of 140 patients who had been admitted to psychiatric hospital units and had presented an episode of psychomotor agitation between 2018 and 2021.ResultsThe Corrigan Agitated Behaviour Scale was used to assess psychomotor agitation. Associated nursing diagnoses, violence directed at professionals and the environment are shown to be predictive values for the severity of the agitation episode. Moderate-severe psychomotor agitation episodes are shown as predictors of violence directed mainly at professionals and the environment.ConclusionsThere is an urgent need for mental health nurses to have knowledge of the extended clinic in order to care for users and improve their health conditions in dealing with people, with their social, subjective and biological dimension.</t>
  </si>
  <si>
    <t>[Garrote-Camara, Maria-Elena; Juarez-Vela, Raul; Navas-Echazarreta, Noelia; Sufrate-Sorzano, Teresa; Santolalla-Arnedo, Ivan] Univ La Rioja, Dept Nursing, Logrono 26004, La Rioja, Spain; [Rodriguez-Munoz, Pedro-Manuel; Sanchez-Gonzalez, Juan-Luis] Univ Salamanca, Fac Nursing &amp; Physiotherapy, Salamanca, Spain; [Perez, Jesus] Univ Cambridge, Dept Psychiat, Cambridge, England; [Rubinat-Arnaldo, Esther] Univ Lleida, Dept Nursing &amp; Physiotherapy, Lleida, Spain</t>
  </si>
  <si>
    <t>Universidad de La Rioja; University of Salamanca; University of Cambridge; Universitat de Lleida</t>
  </si>
  <si>
    <t>Juarez-Vela, R (corresponding author), Univ La Rioja, Dept Nursing, Logrono 26004, La Rioja, Spain.</t>
  </si>
  <si>
    <t>raul.juarez@unirioja.es</t>
  </si>
  <si>
    <t>Juárez-Vela, Raúl/AFN-0142-2022</t>
  </si>
  <si>
    <t>Juárez-Vela, Raúl/0000-0003-3597-2048; Sufrate Sorzano, Teresa/0000-0003-3756-9914</t>
  </si>
  <si>
    <t>1472-6955</t>
  </si>
  <si>
    <t>BMC NURS</t>
  </si>
  <si>
    <t>BMC Nurs.</t>
  </si>
  <si>
    <t>10.1186/s12912-023-01434-2</t>
  </si>
  <si>
    <t>Nursing</t>
  </si>
  <si>
    <t>Q3WV6</t>
  </si>
  <si>
    <t>WOS:001056864800003</t>
  </si>
  <si>
    <t>Graff, C; Mathur, T</t>
  </si>
  <si>
    <t>Graff, Christy; Mathur, Tanishq</t>
  </si>
  <si>
    <t>Antibiotic impregnated cement coated intramedullary nail (ACCIN) using bronchoscopy tubing: technical tips, case series and a review of the literature</t>
  </si>
  <si>
    <t>Antibiotic impregnated cement coated intramedullary nail; ACCIN; Infected non-union; Tibial osteomyelitis</t>
  </si>
  <si>
    <t>IMPLANT-RELATED INFECTIONS; LONG BONES; NONUNION; OSTEOMYELITIS; PROPHYLAXIS; RODS</t>
  </si>
  <si>
    <t>Antibiotic impregnated cement coated intramedullary nails (ACCINs) have been used in clinical practice for many years and have been shown to help eradicate infection in tibial osteomyelitis while providing stability. We present a novel technique for preparation using bronchoscopy tubing, as well as technical tips and a review of the literature, for ease of preparation and potential subsequent retrieval.</t>
  </si>
  <si>
    <t>[Graff, Christy; Mathur, Tanishq] Univ Adelaide, Adelaide, SA, Australia; [Graff, Christy] Royal Adelaide Hosp, Rheumatol Dept, Adelaide, SA, Australia; [Graff, Christy] Womens &amp; Childrens Hosp, Dept Orthopaed, Adelaide, SA, Australia</t>
  </si>
  <si>
    <t>University of Adelaide; Royal Adelaide Hospital; Womens &amp; Childrens Hospital Australia</t>
  </si>
  <si>
    <t>Graff, C (corresponding author), Univ Adelaide, Adelaide, SA, Australia.;Graff, C (corresponding author), Royal Adelaide Hosp, Rheumatol Dept, Adelaide, SA, Australia.;Graff, C (corresponding author), Womens &amp; Childrens Hosp, Dept Orthopaed, Adelaide, SA, Australia.</t>
  </si>
  <si>
    <t>christy.graff@sa.gov.au</t>
  </si>
  <si>
    <t>We would like to acknowledge Dr Mirun Thayaparan, Lynda Cherry and Mandy Hines (Heraues), for their contribution in developing the technique and Dr Sarah Clements for her contributions.</t>
  </si>
  <si>
    <t>10.1007/s00590-023-03668</t>
  </si>
  <si>
    <t>Q9CY6</t>
  </si>
  <si>
    <t>WOS:001060436900002</t>
  </si>
  <si>
    <t>Jing, H</t>
  </si>
  <si>
    <t>Jing, Hui</t>
  </si>
  <si>
    <t>Trust Law in Macao: An Organisational Law Account</t>
  </si>
  <si>
    <t>EUROPEAN BUSINESS ORGANIZATION LAW REVIEW</t>
  </si>
  <si>
    <t>Trust law; Trust asset independence; Bankruptcy remoteness; Legal transplantation; Rule reconciliation</t>
  </si>
  <si>
    <t>LEGAL; OWNERSHIP; CONTRACT; BUSINESS</t>
  </si>
  <si>
    <t>Drawing on the experiences of its East Asian forerunners, Macao's Legislative Assembly introduced the Trust Law of the Macao Special Administrative Region (Macao Trust Law) on 3 November 2022, with the dual aim of encouraging the public's use of trusts during asset transactions and regulating the conducting of trust business in Macao. As a newly enacted law, it is hardly surprising that there is a current lack of scholarly treatises examining its structure and provisions. This article is the first English-language analysis of the Macao Trust Law from an organisational law perspective. It has two parts. The first part explores how organisational laws' internal administration and asset partitioning rules are manifested in the context of Macao trusts, and identifies the problems associated with their observance. The second part discusses the implications of this organisational law analysis, proposing ways to address the problems identified in the Macao Trust Law and explaining the rationale behind these proposals.</t>
  </si>
  <si>
    <t>[Jing, Hui] Univ Hong Kong, Fac Law, Pok Fu Lam, Hong Kong, Peoples R China</t>
  </si>
  <si>
    <t>University of Hong Kong</t>
  </si>
  <si>
    <t>Jing, H (corresponding author), Univ Hong Kong, Fac Law, Pok Fu Lam, Hong Kong, Peoples R China.</t>
  </si>
  <si>
    <t>hjing@hku.hk</t>
  </si>
  <si>
    <t>This paper is submitted exclusively to your journal and has not been previously published elsewhere (either in whole or in part).</t>
  </si>
  <si>
    <t>1566-7529</t>
  </si>
  <si>
    <t>1741-6205</t>
  </si>
  <si>
    <t>EUR BUS ORGAN LAW RE</t>
  </si>
  <si>
    <t>Eur. Bus. Organ. Law Rev.</t>
  </si>
  <si>
    <t>10.1007/s40804-023-00294-2</t>
  </si>
  <si>
    <t>Business; Law</t>
  </si>
  <si>
    <t>Business &amp; Economics; Government &amp; Law</t>
  </si>
  <si>
    <t>Q8NG1</t>
  </si>
  <si>
    <t>WOS:001060027900001</t>
  </si>
  <si>
    <t>Karan, S; Panja, SK; Basu, S; Mandal, SC</t>
  </si>
  <si>
    <t>Karan, Somashri; Panja, Sourav Kumar; Basu, Sanjoy; Mandal, Subhas Chandra</t>
  </si>
  <si>
    <t>Edge Crack Subject to Anti-Plane Shear Wave in an Orthotropic Strip</t>
  </si>
  <si>
    <t>JOURNAL OF ELASTICITY</t>
  </si>
  <si>
    <t>Orthotropic strip; Shear wave; Finite edge crack; Fredholm integral equation; Stress intensity factor</t>
  </si>
  <si>
    <t>ELASTODYNAMIC ANALYSIS; INTERFACIAL CRACK; MOVING CRACK; PROPAGATION; STRESS; LENGTH</t>
  </si>
  <si>
    <t>In this article, the proposed model analyzed shear wave propagation through an orthotropic strip with an edge crack. Dual integral equations have been developed for solution of the governing mixed boundary value problem with the aid of Hankel transform technique. Then, the dual integral equations have been transformed into a second kind Fredholm integral equation employing Abel's transformation. The numerical calculations of stress intensity factor and crack opening displacement are performed utilizing the Fox &amp; Goodwin method and displayed graphically. Elastic constants of two orthotropic materials have been used to illustrate the influence of material orthotropy and normalized strip width on SIF and COD.</t>
  </si>
  <si>
    <t>[Karan, Somashri; Panja, Sourav Kumar; Mandal, Subhas Chandra] Jadavpur Univ, Dept Math, Kolkata 700032, India; [Basu, Sanjoy] Arignar Anna Govt Arts &amp; Sci Coll, Dept Math, Karaikal 609605, Pondicherry, India; [Basu, Sanjoy] Dr Kalaignar M Karunanidhi Govt Inst PG Studies &amp;, Dept Math, Karaikal 609605, India</t>
  </si>
  <si>
    <t>Jadavpur University</t>
  </si>
  <si>
    <t>Basu, S (corresponding author), Arignar Anna Govt Arts &amp; Sci Coll, Dept Math, Karaikal 609605, Pondicherry, India.;Basu, S (corresponding author), Dr Kalaignar M Karunanidhi Govt Inst PG Studies &amp;, Dept Math, Karaikal 609605, India.</t>
  </si>
  <si>
    <t>basu1982@gmail.com</t>
  </si>
  <si>
    <t>0374-3535</t>
  </si>
  <si>
    <t>1573-2681</t>
  </si>
  <si>
    <t>J ELASTICITY</t>
  </si>
  <si>
    <t>J. Elast.</t>
  </si>
  <si>
    <t>10.1007/s10659-023-10032</t>
  </si>
  <si>
    <t>Engineering, Multidisciplinary; Materials Science, Multidisciplinary; Mechanics</t>
  </si>
  <si>
    <t>Engineering; Materials Science; Mechanics</t>
  </si>
  <si>
    <t>R3YG9</t>
  </si>
  <si>
    <t>WOS:001063733500002</t>
  </si>
  <si>
    <t>Kim, E; Song, S; Kim, S</t>
  </si>
  <si>
    <t>Kim, Eunjoo; Song, Sungsook; Kim, Seongkwang</t>
  </si>
  <si>
    <t>Development of pediatric simulation-based education - a systematic review</t>
  </si>
  <si>
    <t>Pediatrics; Simulation; Systematic review; Simulation-based education; Scenario; Validation; Reliability</t>
  </si>
  <si>
    <t>STRUCTURED CLINICAL EXAMINATION; VALIDITY EVIDENCE; CHILD-ABUSE; BURNS SUITE; TOOL; PERFORMANCE; VALIDATION; MANAGEMENT; CARE; INTERVENTION</t>
  </si>
  <si>
    <t>Background This systematic literature review explored the general characteristics, validation, and reliability of pediatric simulation-based education (P-SBE). Methods A literature search was conducted between May 23 and 28 using the PRISMA guidelines, which covered databases such as MEDLINE, EMBASE, CINAHL, and Cochrane Library. In the third selection process, the original texts of 142 studies were selected, and 98 documents were included in the final content analysis. Results A total of 109 papers have been published in the ten years since 2011. Most of the study designs were experimental studies, including RCT with 76 articles. Among the typologies of simulation, advanced patient simulation was the most common (92), and high-fidelity simulation was the second most common (75). There were 29 compatibility levels and professional levels, with 59 scenarios related to emergency interventions and 19 scenarios related to communication feasibility and decision making. Regarding the effect variable, 65 studies confirmed that skills were the most common. However, validity of the scenarios and effect variables was not verified in 56.1% and 67.3% of studies, respectively. Conclusion Based on these findings, simulation based-education (SBE) is an effective educational method that can improve the proficiency and competence of medical professionals dealing with child. Learning through simulation provides an immersive environment in which learners interact with the presented patient scenario and make decisions, actively learning the attitudes, knowledge, and skills necessary for medical providers. In the future, it is expected that such research on SBE will be actively followed up and verified for its validity and reliability.</t>
  </si>
  <si>
    <t>[Kim, Eunjoo; Kim, Seongkwang] Gangneung Wonju Natl Univ, Dept Nursing, 150 Namwon Ro, Wonju 26403, Gangwon Do, South Korea; [Song, Sungsook] INHA Univ, Dept Nursing, 313 Docbae Ro, Incheon 22188, South Korea</t>
  </si>
  <si>
    <t>Kangnung Wonju National University; Inha University</t>
  </si>
  <si>
    <t>Kim, S (corresponding author), Gangneung Wonju Natl Univ, Dept Nursing, 150 Namwon Ro, Wonju 26403, Gangwon Do, South Korea.</t>
  </si>
  <si>
    <t>ksk1677@naver.com</t>
  </si>
  <si>
    <t>Kim, Eun Joo/0000-0002-1554-3927</t>
  </si>
  <si>
    <t>10.1186/s12912-023-01458-8</t>
  </si>
  <si>
    <t>WOS:001056864800004</t>
  </si>
  <si>
    <t>Kobayashi, T; Kodesho, T; Kinami, K; Takahashi, A; Taniguchi, K; Taniguchi, K</t>
  </si>
  <si>
    <t>Kobayashi, Takumi; Kodesho, Taiki; Kinami, Keita; Takahashi, Ayuka; Taniguchi, Konatsu; Taniguchi, Keigo</t>
  </si>
  <si>
    <t>Characteristics of the static muscle stiffness of ankle plantar flexors in individuals with chronic ankle instability</t>
  </si>
  <si>
    <t>JOURNAL OF MEDICAL ULTRASONICS</t>
  </si>
  <si>
    <t>Dorsiflexion deficit; Copers; Physical examinations; Ultrasonography</t>
  </si>
  <si>
    <t>SHEAR-WAVE ELASTOGRAPHY; DORSIFLEXION RANGE; JOINT; KINEMATICS; STABILITY; SPRAINS</t>
  </si>
  <si>
    <t>PurposeIndividuals with chronic ankle instability (CAI) have deficits in closed kinetic chain dorsiflexion that may perpetuate injury. Determining the characteristics of muscle stiffness in the plantar flexors of individuals with CAI may help in developing appropriate treatments. We aimed to highlight the characteristics of static muscle stiffness in ankle plantar flexor muscles during the passive dorsiflexion of the ankle joint in individuals with CAI.MethodsA total of 30 patients were included in the study based on the International Ankle Consortium criteria. The patients were categorized evenly into healthy, coper, and CAI groups (i.e., 10 patients in each group). After measuring the dorsiflexion range of motion (non-weight-bearing/weight-bearing) of the ankle joint, the static muscle stiffness measurements of the medial gastrocnemius, lateral gastrocnemius, soleus, and peroneus longus were obtained. The measurements were performed during the knee joint's extension and 50 &amp; DEG; flexion and passive dorsiflexion between the range of 40 &amp; DEG; plantar flexion and 20 &amp; DEG; dorsiflexion.ResultsThe dorsiflexion range of motion of the CAI group was significantly smaller than that of the healthy and coper groups in the weight-bearing position. No interaction was observed for muscle stiffness in both the knee flexion and extension positions, and no significant differences were identified among the three groups. The shear modulus of the soleus at 20 &amp; DEG; ankle dorsiflexion with knee flexion had a significant negative correlation with the weight-bearing range of motion of the ankle.ConclusionThe limitation in the weight-bearing dorsiflexion range of motion in CAI was largely due to factors other than the increased elasticity of the ankle plantar flexor muscles.</t>
  </si>
  <si>
    <t>[Kobayashi, Takumi; Kinami, Keita; Takahashi, Ayuka; Taniguchi, Konatsu] Hokkaido Chitose Coll Rehabil, Dept Rehabil, Fac Hlth Sci, 2-10 Satomi, Chitose, Hokkaido 0660055, Japan; [Kodesho, Taiki] Japan Inst Sports Sci JISS, Dept Sport Sci &amp; Res, Tokyo, Japan; [Taniguchi, Keigo] Sapporo Med Univ, Sch Hlth Sci, Dept Phys Therapy, Sapporo, Japan</t>
  </si>
  <si>
    <t>Sapporo Medical University</t>
  </si>
  <si>
    <t>Kobayashi, T (corresponding author), Hokkaido Chitose Coll Rehabil, Dept Rehabil, Fac Hlth Sci, 2-10 Satomi, Chitose, Hokkaido 0660055, Japan.</t>
  </si>
  <si>
    <t>kobatakku@gmail.com</t>
  </si>
  <si>
    <t>Kobayashi, Takumi/0000-0001-5767-0273</t>
  </si>
  <si>
    <t>The study was supported by the Japan Society for the Promotion of Science (Grant No. 19K19916).; Japan Society for the Promotion of Science; [19K19916]</t>
  </si>
  <si>
    <t>The study was supported by the Japan Society for the Promotion of Science (Grant No. 19K19916).; Japan Society for the Promotion of Science(Ministry of Education, Culture, Sports, Science and Technology, Japan (MEXT)Japan Society for the Promotion of Science);</t>
  </si>
  <si>
    <t>The study was supported by the Japan Society for the Promotion of Science (Grant No. 19K19916).</t>
  </si>
  <si>
    <t>1346-4523</t>
  </si>
  <si>
    <t>1613-2254</t>
  </si>
  <si>
    <t>J MED ULTRASON</t>
  </si>
  <si>
    <t>J. Med. Ultrason.</t>
  </si>
  <si>
    <t>10.1007/s10396-023-01360-5</t>
  </si>
  <si>
    <t>Q8OH6</t>
  </si>
  <si>
    <t>WOS:001060055400001</t>
  </si>
  <si>
    <t>Kovarik, O; Cizek, J; Klecka, J; Karlik, M; Cech, J; Kozlik, J; Lauschmann, H</t>
  </si>
  <si>
    <t>Kovarik, Ondrej; Cizek, Jan; Klecka, Jakub; Karlik, Miroslav; Cech, Jaroslav; Kozlik, Jiri; Lauschmann, Hynek</t>
  </si>
  <si>
    <t>Tungsten Heavy Alloys from Mixed Feedstock by RF Plasma</t>
  </si>
  <si>
    <t>JOURNAL OF THERMAL SPRAY TECHNOLOGY</t>
  </si>
  <si>
    <t>additive manufacturing; inert atmosphere; fatigue crack growth rate; fracture toughness; stress-strain</t>
  </si>
  <si>
    <t>FATIGUE-CRACK GROWTH; FRACTURE</t>
  </si>
  <si>
    <t>Tungsten heavy alloys (WHA) are particulate composites of spherical W particles embedded in a ductile Ni-rich matrix. In our study, pre-treated W and Ni feedstock powders were used to prepare three different compositions (all wt.%) for spraying: W-10Ni, W-20Ni for two different WHA, and W-65Ni for a matrix-only material without the reinforcing W particles. Using radio frequency inductively coupled plasma spraying (RF-ICP) method, low porosity deposits were obtained with ductility exceeding 5%. By a detailed study of the microstructure and the particle-matrix interfaces, the mechanism of the composite formation was identified: a rapid dissolution of W in the liquid Ni and a subsequent W particle solidification followed by the solidification of the matrix. The mechanical properties of the composites are defined by the Ni-rich matrix (tough and significantly stronger than pure Ni) with well bonded stiff W particles. The elastic behavior was related to the W content following the Reuss model, describing a layered composite modulus in a serial configuration. Contrary to this, in the plastic regime, all WHA exhibited nearly identical behavior regardless of the W content. In this regime, the deformation of the W particles reached several percent, indicating an extremely strong particle-matrix bonding. Last, the failure mechanisms of the materials were investigated, with the matrix behavior governing the fatigue failure, and particle-matrix decohesion dominating in the static loading at higher loads.</t>
  </si>
  <si>
    <t>[Kovarik, Ondrej; Klecka, Jakub; Karlik, Miroslav; Cech, Jaroslav; Lauschmann, Hynek] Czech Tech Univ, Fac Nucl Sci &amp; Phys Engn, Dept Mat, Trojanova 13, Prague 12000, Czech Republic; [Cizek, Jan; Klecka, Jakub] Czech Acad Sci, Inst Plasma Phys, U Slovanky 2525-1a, Prague 18200, Czech Republic; [Kozlik, Jiri] Charles Univ Prague, Fac Math &amp; Phys, Dept Phys Mat, Ke Karlovu 5, CZ-12116 Prague 2, Czech Republic</t>
  </si>
  <si>
    <t>Czech Technical University Prague; Czech Academy of Sciences; Institute of Plasma Physics of the Czech Academy of Sciences; Charles University Prague</t>
  </si>
  <si>
    <t>Kovarik, O (corresponding author), Czech Tech Univ, Fac Nucl Sci &amp; Phys Engn, Dept Mat, Trojanova 13, Prague 12000, Czech Republic.</t>
  </si>
  <si>
    <t>ondrej.kovarik@fjfi.cvut.cz</t>
  </si>
  <si>
    <t>Kovarik, Ondrej/C-4779-2011</t>
  </si>
  <si>
    <t>Kovarik, Ondrej/0000-0001-7096-6220</t>
  </si>
  <si>
    <t>The Czech Science Foundation project Nr. 19-14339S and financial support by the European Regional Development Fund in the frame of the project Centre of Advanced Applied Sciences (No. CZ.02.1.01/0.0/0.0/16 019/0000778) are gratefully acknowledged. R. Zlatn [CZ.02.1.01/0.0/0.0/16 019/0000778]; Czech Science Foundation; European Regional Development Fund; [19-14339S]</t>
  </si>
  <si>
    <t>The Czech Science Foundation project Nr. 19-14339S and financial support by the European Regional Development Fund in the frame of the project Centre of Advanced Applied Sciences (No. CZ.02.1.01/0.0/0.0/16 019/0000778) are gratefully acknowledged. R. Zlatn; Czech Science Foundation(Grant Agency of the Czech Republic); European Regional Development Fund(European Union (EU));</t>
  </si>
  <si>
    <t>The Czech Science Foundation project Nr. 19-14339S and financial support by the European Regional Development Fund in the frame of the project Centre of Advanced Applied Sciences (No. CZ.02.1.01/0.0/0.0/16 019/0000778) are gratefully acknowledged. R. Zlatnik and T. Bajer are acknowledged for the RF-ICP and cyclic bend test device schematics.</t>
  </si>
  <si>
    <t>1059-9630</t>
  </si>
  <si>
    <t>1544-1016</t>
  </si>
  <si>
    <t>J THERM SPRAY TECHN</t>
  </si>
  <si>
    <t>J. Therm. Spray Technol.</t>
  </si>
  <si>
    <t>10.1007/s11666-023-01647-6</t>
  </si>
  <si>
    <t>Materials Science, Coatings &amp; Films</t>
  </si>
  <si>
    <t>Q8OE4</t>
  </si>
  <si>
    <t>WOS:001060052200001</t>
  </si>
  <si>
    <t>Kumar, NH; Edukondalu, A; Ravinder, D</t>
  </si>
  <si>
    <t>Kumar, N. Hari; Edukondalu, Avula; Ravinder, D.</t>
  </si>
  <si>
    <t>Structural, dielectric, and magnetic properties of Cu-doped Ni-Zn ferrites</t>
  </si>
  <si>
    <t>JOURNAL OF THE AUSTRALIAN CERAMIC SOCIETY</t>
  </si>
  <si>
    <t>Citrate gel auto-combustion; Structural studies; Dielectric studies; Vibration sample magnetometer; Low-temperature; Magnetic properties</t>
  </si>
  <si>
    <t>An effect of Cu-doped Ni-Zn nanoferrite particles synthesized through the citrate gel auto-combustion method on structural dielectric and magnetic properties was investigated. The structural characterization of synthesized powder is investigated using XRD (X-ray diffraction), FE-SEM (field emission scanning electron microscopy), EDXS (energy-dispersive X-ray spectroscopy), AFM (atomic force microscope), and TEM (transmission electron microscope). All prepared samples were established to have a single-phase spinel structure and fine grain size with an Fd-3 m space group. The lattice parameter, volume, and crystallite size decrease with increasing copper substitution. By adding copper ions, the surface area rises from 123.9 to 187.4 m2 g-1. The surface roughness is increased by AFM examination from 7.6 to 11 nm. From the AFM samples, it is shown that they are soft to hard in nature due to the Cu doping. The real imaginary impedance and the complex electric modulus were studied within the frequency range of 20 Hz to 1 kHz at room temperature, respectively. In the Cole-Cole plots studied for dielectric constant, it was observed that all samples had single semi-circles and continuously decreased with increasing copper content. This shows that the prepared material is good for high-resistance applications and the fabrication of multilayer inductor chips. The magnetic characteristics of hysteresis loops were studied at room temperature using a VSM (vibration sample magnetometer) for nanoferrites. The prepared ferrites samples were examined; copper doping increased the width of the loops, which confirms the change from soft to hard magnetic material. They are utilized in data processing, telecommunications, and the automobile industries. At low temperatures, the prepared samples showed superparamagnetic behavior. It is used in medical and electrical device applications.</t>
  </si>
  <si>
    <t>[Kumar, N. Hari] St Marys Grp Inst, Dept Phys, Yadadri Bhongiri 508116, Deshmukhi, India; [Edukondalu, Avula; Ravinder, D.] Osmania Univ, Univ Coll Sci, Dept Phys, Hyderabad 500020, India; [Edukondalu, Avula] Osmania Univ, Univ Post Grad Coll, Dept Phys, Hyderabad 500003, India</t>
  </si>
  <si>
    <t>Osmania University; Osmania University</t>
  </si>
  <si>
    <t>Kumar, NH (corresponding author), St Marys Grp Inst, Dept Phys, Yadadri Bhongiri 508116, Deshmukhi, India.</t>
  </si>
  <si>
    <t>harikumarnou@gmail.com</t>
  </si>
  <si>
    <t>The authors would like to be very grateful to SV-TTD, Principal and Head, St. Mary's Group of Institutions, Deshmukhi, Yadadri Bhongiri.; St. Mary's Group of Institutions</t>
  </si>
  <si>
    <t>The authors would like to be very grateful to SV-TTD, Principal and Head, St. Mary's Group of Institutions, Deshmukhi, Yadadri Bhongiri.</t>
  </si>
  <si>
    <t>2510-1560</t>
  </si>
  <si>
    <t>2510-1579</t>
  </si>
  <si>
    <t>J AUST CERAM SOC</t>
  </si>
  <si>
    <t>J. Aust. Ceram. Soc.</t>
  </si>
  <si>
    <t>10.1007/s41779-023-00946</t>
  </si>
  <si>
    <t>Q8NG4</t>
  </si>
  <si>
    <t>WOS:001060028200001</t>
  </si>
  <si>
    <t>Li, KL; Xia, YM; He, J; Wang, J; Li, JY; Ye, M; Jin, XF</t>
  </si>
  <si>
    <t>Li, Kailang; Xia, Yongming; He, Jian; Wang, Jie; Li, Jingyun; Ye, Meng; Jin, Xiaofeng</t>
  </si>
  <si>
    <t>The SUMOylation and ubiquitination crosstalk in cancer</t>
  </si>
  <si>
    <t>SUMOylation; Ubiquitination; Tumorigenesis; Cancer therapy; Crosstalk</t>
  </si>
  <si>
    <t>EPITHELIAL-MESENCHYMAL TRANSITION; SUMO-SPECIFIC PROTEASE-1; PROSTATE-CANCER; BREAST-CANCER; HEPATOCELLULAR-CARCINOMA; CONJUGATING ENZYME; ANDROGEN RECEPTOR; REGULATES P53; PROGESTERONE-RECEPTOR; PROTEIN SUMOYLATION</t>
  </si>
  <si>
    <t>BackgroundThe cancer occurrence and progression are largely affected by the post-translational modifications (PTMs) of proteins. Currently, it has been shown that the relationship between ubiquitination and SUMOylation is highly complex and interactive. SUMOylation affects the process of ubiquitination and degradation of substrates. Contrarily, SUMOylation-related proteins are also regulated by the ubiquitination process thus altering their protein levels or activity. Emerging evidence suggests that the abnormal regulation between this crosstalk may lead to tumorigenesis.PurposeIn this review, we have discussed the study of the relationship between ubiquitination and SUMOylation, as well as the possibility of a corresponding application in tumor therapy.MethodsThe relevant literatures from PubMed have been reviewed for this article.ConclusionThe interaction between ubiquitination and SUMOylation is crucial for the occurrence and development of cancer. A greater understanding of the crosstalk of SUMOylation and ubiquitination may be more conducive to the development of more selective and effective SUMOylation inhibitors, as well as a promotion of synergy with other tumor treatment strategies.</t>
  </si>
  <si>
    <t>[Li, Kailang; He, Jian; Wang, Jie; Li, Jingyun; Ye, Meng; Jin, Xiaofeng] Ningbo Univ, Dept Oncol, Hosp 1, Ningbo 315020, Peoples R China; [Li, Kailang; He, Jian; Wang, Jie; Li, Jingyun; Ye, Meng; Jin, Xiaofeng] Ningbo Univ, Hlth Sci Ctr, Zhejiang Key Lab Pathophysiol, Dept Biochem &amp; Mol Biol, Ningbo 315211, Peoples R China; [Xia, Yongming] Yuyao Peoples Hosp Zhejiang, Dept Oncol, Yuyao 315400, Zhejiang, Peoples R China</t>
  </si>
  <si>
    <t>Ningbo University; Ningbo University</t>
  </si>
  <si>
    <t>Ye, M; Jin, XF (corresponding author), Ningbo Univ, Dept Oncol, Hosp 1, Ningbo 315020, Peoples R China.;Ye, M; Jin, XF (corresponding author), Ningbo Univ, Hlth Sci Ctr, Zhejiang Key Lab Pathophysiol, Dept Biochem &amp; Mol Biol, Ningbo 315211, Peoples R China.</t>
  </si>
  <si>
    <t>miccol@163.com; yyxyongming@163.com; 1224590400@qq.com; wngjiemedical@163.com; 673207583@qq.com; yemeng@nbu.edu.cn; jinxiaofeng@nbu.edu.cn</t>
  </si>
  <si>
    <t>National Natural Science Foundation of China [32270821]; Natural Science Foundation of Ningbo [2021J065, 2022J040, 2022J230]; Fundamental Research Funds for the Provincial Universities of Zhejiang [SJLZ2022004]; K.C. Wong Magna Fund in Ningbo University</t>
  </si>
  <si>
    <t>National Natural Science Foundation of China(National Natural Science Foundation of China (NSFC)); Natural Science Foundation of Ningbo; Fundamental Research Funds for the Provincial Universities of Zhejiang; K.C. Wong Magna Fund in Ningbo University</t>
  </si>
  <si>
    <t>This research was funded by The National Natural Science Foundation of China (32270821), The Natural Science Foundation of Ningbo (Grant No. 2021J065), The Natural Science Foundation of Ningbo (Grant No. 2022J040), The Natural Science Foundation of Ningbo (Grant No. 2022J230), The Fundamental Research Funds for the Provincial Universities of Zhejiang (Grant No. SJLZ2022004), and The K.C. Wong Magna Fund in Ningbo University.</t>
  </si>
  <si>
    <t>10.1007/s00432-023-05310</t>
  </si>
  <si>
    <t>R3YF5</t>
  </si>
  <si>
    <t>WOS:001063732100002</t>
  </si>
  <si>
    <t>Liu, BJ</t>
  </si>
  <si>
    <t>Liu, Bijian</t>
  </si>
  <si>
    <t>Hybrid extreme learning machine-based approach for IDS in smart Ad Hoc networks</t>
  </si>
  <si>
    <t>EURASIP JOURNAL ON WIRELESS COMMUNICATIONS AND NETWORKING</t>
  </si>
  <si>
    <t>Extreme learning machine; Intrusion detection system; Detection accuracy; Detection time; Multi-node ad hoc network; And RMSE</t>
  </si>
  <si>
    <t>DIFFERENTIAL EVOLUTION; INTRUSION DETECTION; ANOMALY DETECTION; SYSTEM; SCHEME</t>
  </si>
  <si>
    <t>In recent years, intrusion detection systems (IDSs) have increasingly come to be regarded as a significant method due to their potential to develop into a key component that is necessary for the safety of computer networks. This work focuses on the usage of extreme learning machines, which are also known as ELMs, with the purpose of spotting prospective intrusions and assaults. The proposed method combines the self-adaptive differential evolution method for optimising network input weights and hidden node biases and multi-node probabilistic approach with the extreme learning machine for deriving network output weights. This body of work presents an innovative method of learning that can be put into practice in order to determine whether or not an incursion has taken place in the system that is the focus of the investigation that is being carried out by this body of work. A hybrid extreme learning machine is used in the execution of this strategy. When there is one thousand times more traffic on a network, the ability of regular IDS systems to detect malicious network intrusions is lowered by a factor of one hundred. This is because there are less opportunities to detect the intrusions. This is due to the fact that there are less probabilities to identify potential dangers. This paper lays the groundwork for a novel methodology for identifying malicious network breaches. The findings of the simulation demonstrated that putting into practice the approach that was proposed resulted in an improvement in the accuracy of the scenario's classification while it was being investigated. The implementation of the method seems to have produced the desired results.</t>
  </si>
  <si>
    <t>[Liu, Bijian] Fujian Vocat Coll Agr, Fuzhou, Fujian, Peoples R China</t>
  </si>
  <si>
    <t>Liu, BJ (corresponding author), Fujian Vocat Coll Agr, Fuzhou, Fujian, Peoples R China.</t>
  </si>
  <si>
    <t>iubijian@fjny.edu.cn</t>
  </si>
  <si>
    <t>1687-1472</t>
  </si>
  <si>
    <t>1687-1499</t>
  </si>
  <si>
    <t>EURASIP J WIREL COMM</t>
  </si>
  <si>
    <t>EURASIP J. Wirel. Commun. Netw.</t>
  </si>
  <si>
    <t>10.1186/s13638-023-02297-6</t>
  </si>
  <si>
    <t>Engineering, Electrical &amp; Electronic; Telecommunications</t>
  </si>
  <si>
    <t>Engineering; Telecommunications</t>
  </si>
  <si>
    <t>Q5DM6</t>
  </si>
  <si>
    <t>WOS:001057723300001</t>
  </si>
  <si>
    <t>Liu, XP; Guo, XK; Feng, YJ; Zhang, LS; Wang, MQ; Li, YY; Mao, JJ</t>
  </si>
  <si>
    <t>Liu, Xiaoping; Guo, Xingkai; Feng, Yanjiao; Zhang, Lisheng; Wang, Mengqing; Li, Yuyan; Mao, Jianjun</t>
  </si>
  <si>
    <t>Morphology of the male reproductive system and sperm ultrastructure of the green lacewing, Chrysopa pallens (Rambur, 1838) (Neuroptera: Chrysopidae)</t>
  </si>
  <si>
    <t>BMC ZOOLOGY</t>
  </si>
  <si>
    <t>Chrysopa pallens; Testis; Spermatid; Spermatozoa; Accessory gland</t>
  </si>
  <si>
    <t>MALE ACCESSORY-GLANDS; FINE-STRUCTURE; DIPTERA; HEMIPTERA; INSECTA</t>
  </si>
  <si>
    <t>Background Chrysopa pallens is one of the most beneficial and effective natural predators, and is famous for its extensive distribution, wide prey spectrum, and excellent reproductive performance. This study examined the anatomy and fine structure of the C. pallens reproductive system and spermatogenesis.Results The male reproductive system of C. pallens comprises a pair of testes, a vas deferens, seminal vesicles, accessory glands, and short ejaculatory ducts. The testes were already mature on the day of emergence, but the accessory glands did not mature until 5 days post-emergence. In early spermatids, the flagellum had an axoneme on one side of the two mitochondrial derivatives. The nucleus was surrounded by parallel crystalline and paracrystalline materials. The spermatid envelope extends towards the paracrystalline material in a tail-shaped wing. In mature spermatids, the axoneme is located between the two accessory bodies and mitochondrial derivative sets. The parallel-crystalline and paracrystalline materials disappeared. In the testes, the wall of seminal cysts consists of a layer of epithelium, a muscular-connective sheath, and several vesicles of different sizes. The mature seminal cysts contained 128 spermatozoa. The accessory gland is composed of six parts: ventral papilla-like protuberance, anterior glandular lobe, lateral glandular lobe, seminal cyst, posterior kidney-shaped lobe, and posterior papilla-like protuberance. Muscle fibers and secretory granules are extensive.Conclusions This study provides information on the reproductive system of C. pallens and offers a resource for taxonomy and reproductive biology.</t>
  </si>
  <si>
    <t>[Liu, Xiaoping; Guo, Xingkai; Feng, Yanjiao; Zhang, Lisheng; Wang, Mengqing; Li, Yuyan; Mao, Jianjun] Chinese Acad Agr Sci, Inst Plant Protect, State Key Lab Biol Plant Dis &amp; Insect Pests, Key Lab Nat Enemy Insects,Minist Agr &amp; Rural Affai, 2 West Yuanmingyuan Rd, Beijing 100193, Peoples R China</t>
  </si>
  <si>
    <t>Ministry of Agriculture &amp; Rural Affairs; Chinese Academy of Agricultural Sciences; Institute of Plant Protection, CAAS</t>
  </si>
  <si>
    <t>Mao, JJ (corresponding author), Chinese Acad Agr Sci, Inst Plant Protect, State Key Lab Biol Plant Dis &amp; Insect Pests, Key Lab Nat Enemy Insects,Minist Agr &amp; Rural Affai, 2 West Yuanmingyuan Rd, Beijing 100193, Peoples R China.</t>
  </si>
  <si>
    <t>maojianjun0615@126.com</t>
  </si>
  <si>
    <t>wang, KiKi/JFZ-3334-2023; Zhang, Jingyi Chandler/JFK-8953-2023</t>
  </si>
  <si>
    <t>Zhang, Jingyi Chandler/0000-0003-3015-4396</t>
  </si>
  <si>
    <t>We appreciate the assistance of Mrs. Yanli Sun and Mrs. Ying Wang in the Electron Microscope Center of the National Key Laboratory of Agro-products Processing, MARA, Institute of Food Science and Technology, Chinese Academy of Agricultural Science, for the; National Key Laboratory of Agro-products Processing, MARA, Institute of Food Science and Technology, Chinese Academy of Agricultural Science</t>
  </si>
  <si>
    <t>We appreciate the assistance of Mrs. Yanli Sun and Mrs. Ying Wang in the Electron Microscope Center of the National Key Laboratory of Agro-products Processing, MARA, Institute of Food Science and Technology, Chinese Academy of Agricultural Science, for their technical support during electronic microscopy analysis.</t>
  </si>
  <si>
    <t>2056-3132</t>
  </si>
  <si>
    <t>BMC ZOOL</t>
  </si>
  <si>
    <t>BMC Zool.</t>
  </si>
  <si>
    <t>10.1186/s40850-023-00175-8</t>
  </si>
  <si>
    <t>Zoology</t>
  </si>
  <si>
    <t>Q4CX9</t>
  </si>
  <si>
    <t>WOS:001057025700001</t>
  </si>
  <si>
    <t>Mehmood, H; Laique, T; Ahmad, A; Ahmad, R</t>
  </si>
  <si>
    <t>Mehmood, Hina; Laique, Talha; Ahmad, Ayesha; Ahmad, Rizwan</t>
  </si>
  <si>
    <t>Assessment of Acute Side Effects Among 3D- Concurrent Radiotherapy With Cisplatin-Treated Head and Neck Cancer Patients</t>
  </si>
  <si>
    <t>acute side effects; cisplatin and 3d-concurrent radiotherapy; dermatitis; xerostomia; head and neck cancer</t>
  </si>
  <si>
    <t>HIGH-DOSE CISPLATIN; EPIDEMIOLOGY; RADIOCHEMOTHERAPY; DIAGNOSIS; TRENDS</t>
  </si>
  <si>
    <t>Introduction: Three-dimensional conformal radiation therapy has become one of the basic components of multidisciplinary treatment for head and neck cancer. Generally, patients with squamous-cell carcinoma of the head and neck receive cisplatin-based chemoradiation.Aims: In the current project, the goal was to assess 3D-CRT with cisplatin-induced acute side effects (dermatitis plus xerostomia) among head and neck cancer patients.Methodology: This descriptive case series was held at the Institute of Nuclear Medicine and Oncology, Lahore, Pakistan, with an enrollment of 106 head and neck cancer patients following the hospital's ethical approval. All patients received 3D-CRT with concurrent cisplatin chemotherapy according to the oncology treatment protocol at the Institute of Nuclear Medicine and Oncology. The evaluation of enrolled patients was done during treatment at a weekly interval and at one-month post-radiation. Stage 3 patients (17.9%) received chemo-radiation therapy with 40 mg/m2 cisplatin once weekly for seven weeks. All patients received 70 grays in 35 fractions with two grays per fraction over the course of seven weeks following a standard protocol. All enrolled cases had biopsy-proven squamous cell carcinoma of the head and neck. IBM Corp. Released 2015. IBM SPSS Statistics for Windows, Version 23.0. Armonk, NY: IBM Corp. analyzed the data. Chi-square and Fisher's exact tests were applied, while a p-value &amp; LE; 0.05 was taken as statistically significant.Results: All patients developed acute skin changes (dermatitis plus xerostomia) as a side effect of radiation therapy, with cisplatin having different grades during treatment until seven weeks. However, these changes improved and became less severe in terms of grade after one month of post-treatment among all patients.Conclusion: It was concluded that 3D-CRT was associated with dermatitis and xerostomia during and immediately after follow-up, even though the treatment response was good. However, clinical signs and symptoms improved, indicating that radiation therapy is a relatively safe treatment modality among cancer patients. Moreover, 40 mg/m2 cisplatin once weekly for seven weeks resulted in better loco-regional control and survival among advanced-stage head and neck cancer patients as a part of treatment. Although, higher doses of cisplatin (100 mg/m2 ) every three weeks have more harmful acute side effects and delay treatment for patients due to poor compliance.</t>
  </si>
  <si>
    <t>[Mehmood, Hina] James Paget Univ Hosp, Dermatol, Great Yarmouth, England; [Laique, Talha] Lahore Med &amp; Dent Coll, Pharmacol, Lahore, Pakistan; [Ahmad, Ayesha] Ghurki Trust Teaching Hosp Lahore, Radiat Oncol, Lahore, Pakistan; [Ahmad, Rizwan] James Paget Univ Hosp, Ophthalmol, Great Yarmouth, England</t>
  </si>
  <si>
    <t>Laique, T (corresponding author), Lahore Med &amp; Dent Coll, Pharmacol, Lahore, Pakistan.</t>
  </si>
  <si>
    <t>talhalaique51@gmail.com</t>
  </si>
  <si>
    <t>e44238</t>
  </si>
  <si>
    <t>10.7759/cureus.44238</t>
  </si>
  <si>
    <t>R3FI1</t>
  </si>
  <si>
    <t>WOS:001063237900033</t>
  </si>
  <si>
    <t>Mohamed, MA; Elhelbawy, A; Khalid, M; Abdallatif, LA; Lialy, HE</t>
  </si>
  <si>
    <t>Mohamed, Malak A.; Elhelbawy, Abdulrahman; Khalid, Maria; Abdallatif, Latifa A.; Lialy, Hagar E.</t>
  </si>
  <si>
    <t>Effects of bipolar disorder on maternal and fetal health during pregnancy: a systematic review</t>
  </si>
  <si>
    <t>Bipolar; Mania; Depression; Pregnancy; Maternal health; Fetal health; Obstetric Complications</t>
  </si>
  <si>
    <t>WEEKLY SYMPTOMATIC STATUS; NATURAL-HISTORY; OUTCOMES</t>
  </si>
  <si>
    <t>Background Bipolar disorder (BD) is a mental disorder characterized by mood shifts from severe depression to mania. Pregnant women with BD may experience manic or depressive episodes, so they are usually concerned about the effects of BD on their pregnancy. The aim of this systematic review is to determine the effects of BD on maternal health and fetal health, weight, and development. It also addresses how BD affects the probability of incidence of pregnancy complications in women with bipolar compared with healthy controls. Methods Seven electronic databases (Ovid MEDLINE, Embase, MIDRIS, APA PsychINFO, Scopus, Web of Science, and ScienceOpen) were searched, and 1728 eligible studies were identified. After deduplication, screening, and manual search processes, we included only 15 studies. Descriptive analysis, and calculation of the probability of incidence for each pregnancy outcome were used to analyze the results. Results The findings of the included studies suggest that BD during pregnancy may affect both fetal growth and maternal health by increasing the risk of giving birth to an infant with some birth defects such as microcephaly, CNS problems, small for gestational age, and other congenital anomalies, in addition to causing some obstetric complications such as gestational hypertension, preterm labor, need for assisted delivery, hospital readmission, and others. Conclusion Bipolar disorder during pregnancy negatively affects mothers and their fetuses and increases the probability of incidence of obstetrics complications.</t>
  </si>
  <si>
    <t>[Mohamed, Malak A.; Elhelbawy, Abdulrahman; Khalid, Maria; Abdallatif, Latifa A.] Helwan Univ, Fac Med, Cairo, Egypt; [Mohamed, Malak A.; Elhelbawy, Abdulrahman; Khalid, Maria; Abdallatif, Latifa A.; Lialy, Hagar E.] Students Med Adv Res Team SMART, Cairo, Egypt; [Lialy, Hagar E.] Cairo Univ, Fac Phys Therapy, Giza, Egypt</t>
  </si>
  <si>
    <t>Egyptian Knowledge Bank (EKB); Helwan University; Egyptian Knowledge Bank (EKB); Cairo University</t>
  </si>
  <si>
    <t>Mohamed, MA (corresponding author), Helwan Univ, Fac Med, Cairo, Egypt.;Mohamed, MA (corresponding author), Students Med Adv Res Team SMART, Cairo, Egypt.</t>
  </si>
  <si>
    <t>malak210710@med.helwan.edu.eg</t>
  </si>
  <si>
    <t>Mohamed, Malak A./0000-0002-4777-2935</t>
  </si>
  <si>
    <t>The authors acknowledge Dr. Nadine Alaa Sherif, Obstetrics and Gynecology professor at Al-Kasr Al-Ainy medical school for her supervision of this study. They also acknowledge Mohab Sherif, medical student at Helwan University, for his assistance during the</t>
  </si>
  <si>
    <t>The authors acknowledge Dr. Nadine Alaa Sherif, Obstetrics and Gynecology professor at Al-Kasr Al-Ainy medical school for her supervision of this study. They also acknowledge Mohab Sherif, medical student at Helwan University, for his assistance during the research process, and Mohamed Rezq, computer engineering student at Helwan University, for his statistical assistance.</t>
  </si>
  <si>
    <t>10.1186/s12884-023-05924-8</t>
  </si>
  <si>
    <t>Q4HF6</t>
  </si>
  <si>
    <t>WOS:001057137400001</t>
  </si>
  <si>
    <t>Ngiam, WXQ</t>
  </si>
  <si>
    <t>Ngiam, William Xiang Quan</t>
  </si>
  <si>
    <t>Mapping visual working memory models to a theoretical framework</t>
  </si>
  <si>
    <t>PSYCHONOMIC BULLETIN &amp; REVIEW</t>
  </si>
  <si>
    <t>Visual working memory; Theory development; Theory map; Model comparison; Definitions</t>
  </si>
  <si>
    <t>SHORT-TERM-MEMORY; CAPACITY LIMITS; NEURAL EVIDENCE; FIXED-CAPACITY; RESOURCES; OBJECTS; ATTENTION; STORAGE; REPRESENTATIONS; INFORMATION</t>
  </si>
  <si>
    <t>The body of research on visual working memory (VWM)-the system often described as a limited memory store of visual information in service of ongoing tasks-is growing rapidly. The discovery of numerous related phenomena, and the many subtly different definitions of working memory, signify a challenge to maintain a coherent theoretical framework to discuss concepts, compare models and design studies. A lack of robust theory development has been a noteworthy concern in the psychological sciences, thought to be a precursor to the reproducibility crisis (Oberauer &amp; Lewandowsky, PsychonomicBulletin &amp; Review, 26, 1596-1618, 2019). I review the theoretical landscape of the VWM field by examining two prominent debates-whether VWM is object-based or feature-based, and whether discrete-slots or variable-precision best describe VWM limits. I share my concerns about the dualistic nature of these debates and the lack of clear model specification that prevents fully determined empirical tests. In hopes of promoting theory development, I provide a working theory map by using the broadly encompassing memory for latent representations model (Hedayati et al., Nature HumanBehaviour, 6, 5, 2022) as a scaffold for relevant phenomena and current theories. I illustrate how opposing viewpoints can be brought into accordance, situating leading models of VWM to better identify their differences and improve their comparison. The hope is that the theory map will help VWM researchers get on the same page-clarifying hidden intuitions and aligning varying definitions-and become a useful device for meaningful discussions, development of models, and definitive empirical tests of theories.</t>
  </si>
  <si>
    <t>[Ngiam, William Xiang Quan] Univ Chicago, Dept Ecol &amp; Evolut, Chicago, IL 60637 USA; [Ngiam, William Xiang Quan] Univ Chicago, Inst Mind &amp; Biol, Chicago, IL 60637 USA</t>
  </si>
  <si>
    <t>University of Chicago; University of Chicago</t>
  </si>
  <si>
    <t>Ngiam, WXQ (corresponding author), Univ Chicago, Dept Ecol &amp; Evolut, Chicago, IL 60637 USA.;Ngiam, WXQ (corresponding author), Univ Chicago, Inst Mind &amp; Biol, Chicago, IL 60637 USA.</t>
  </si>
  <si>
    <t>wngiam@uchicago.edu</t>
  </si>
  <si>
    <t>Ngiam, William Xiang Quan/AAF-2187-2020</t>
  </si>
  <si>
    <t>Ngiam, William Xiang Quan/0000-0003-3567-3881</t>
  </si>
  <si>
    <t>My employment is funded by the National Institutes of Health R01 MH087214 research grant awarded to Edward Awh and Edward K. Vogel. I would like to especially thank Brad Wyble for allowing the MLR model to be repurposed as a theoretical device and for cont; National Institutes of Health; [R01 MH087214]</t>
  </si>
  <si>
    <t>My employment is funded by the National Institutes of Health R01 MH087214 research grant awarded to Edward Awh and Edward K. Vogel. I would like to especially thank Brad Wyble for allowing the MLR model to be repurposed as a theoretical device and for cont; National Institutes of Health(United States Department of Health &amp; Human ServicesNational Institutes of Health (NIH) - USA);</t>
  </si>
  <si>
    <t>My employment is funded by the National Institutes of Health R01 MH087214 research grant awarded to Edward Awh and Edward K. Vogel. I would like to especially thank Brad Wyble for allowing the MLR model to be repurposed as a theoretical device and for continued conversations about aspects of this theoretical review. I would like to thank Piotr Styrkowiec, Vencislav Popov, Igor Utochkin, and Philipp Musfeld for helpful discussions and their encouragement to write this paper.</t>
  </si>
  <si>
    <t>1069-9384</t>
  </si>
  <si>
    <t>1531-5320</t>
  </si>
  <si>
    <t>PSYCHON B REV</t>
  </si>
  <si>
    <t>Psychon. Bull. Rev.</t>
  </si>
  <si>
    <t>10.3758/s13423-023-02356-5</t>
  </si>
  <si>
    <t>Psychology, Mathematical; Psychology, Experimental</t>
  </si>
  <si>
    <t>Q8MY2</t>
  </si>
  <si>
    <t>WOS:001060020000002</t>
  </si>
  <si>
    <t>Peng, JY; Wu, F; Tang, JG; Tang, L</t>
  </si>
  <si>
    <t>Peng, Jia-yin; Wu, Fan; Tang, Jian-gang; Tang, Liang</t>
  </si>
  <si>
    <t>Quantum Multicast Protocol and Multi-output Remote Operation Implementation via Four-particle Cluster State</t>
  </si>
  <si>
    <t>INTERNATIONAL JOURNAL OF THEORETICAL PHYSICS</t>
  </si>
  <si>
    <t>Quantum multicast; Multi-output ROI for arbitrary operation; Multi-output ROI for partially unknown operation; Four-particle cluster state; Single-particle operation</t>
  </si>
  <si>
    <t>2-QUBIT STATE; TELEPORTATION</t>
  </si>
  <si>
    <t>By making use of the maximally entangled cluster state of four particles as the quantum channels, this article suggests three theoretical protocols to synchronously teleport different quantum information from one sender to multiple receivers. One protocol is a tripartite quantum multicast, which enables one sender to transmit two different known states of arbitrary single-qubit to two receivers with a 100% success probability, respectively and synchronously. The rest are two tripartite multi-output remote operation implementation (ROI) protocols, including arbitrary single-particle operations and partially unknown single-particle operations. In each of these two protocols, one sender can remotely and deterministically apply two quantum operations on two unknown states in receivers' particles, respectively and synchronously, to ensure that the quantum operations received by two recipients are different, so as to meet the requirements of multi-output communication. Comparing these two protocols of arbitrary quantum operations and partially unknown operations, the latter uses only half of the quantum resources and classical resources required by the former, at the cost that the latter's quantum operations are partially unknown. In addition, the above three schemes can be extended to scenarios where non-maximally entangled cluster state of four particles acts as quantum channels.</t>
  </si>
  <si>
    <t>[Peng, Jia-yin; Tang, Jian-gang] Kashi Univ, Sch Math &amp; Stat, Xinjiang Kashi 844006, Peoples R China; [Wu, Fan; Tang, Liang] Sichuan Normal Univ, Sch Math Sci, Chengdu 610066, Peoples R China; [Tang, Liang] Xihua Univ, Sch Sci, Chengdu 610039, Peoples R China</t>
  </si>
  <si>
    <t>Kashi University; Sichuan Normal University; Xihua University</t>
  </si>
  <si>
    <t>Tang, L (corresponding author), Sichuan Normal Univ, Sch Math Sci, Chengdu 610066, Peoples R China.;Tang, L (corresponding author), Xihua Univ, Sch Sci, Chengdu 610039, Peoples R China.</t>
  </si>
  <si>
    <t>tangliang233@126.com</t>
  </si>
  <si>
    <t>0020-7748</t>
  </si>
  <si>
    <t>1572-9575</t>
  </si>
  <si>
    <t>INT J THEOR PHYS</t>
  </si>
  <si>
    <t>Int. J. Theor. Phys.</t>
  </si>
  <si>
    <t>10.1007/s10773-023-05446-1</t>
  </si>
  <si>
    <t>Q1UC4</t>
  </si>
  <si>
    <t>WOS:001055429600001</t>
  </si>
  <si>
    <t>Qasim, A; Mehdi, MQ; Bhatia, S; Franco-Fuenmayor, ME; Jain, SK</t>
  </si>
  <si>
    <t>Qasim, Amna; Mehdi, Mohammad Q.; Bhatia, Snigdha; Franco-Fuenmayor, Maria E.; Jain, Sunil K.</t>
  </si>
  <si>
    <t>Enteral L-citrulline supplementation in preterm infants is safe and effective in increasing plasma arginine and citrulline levels-a pilot randomized trial</t>
  </si>
  <si>
    <t>INDUCED PULMONARY-HYPERTENSION; CONGENITAL HEART-SURGERY; INJURY</t>
  </si>
  <si>
    <t>Objective Deficiencies of citrulline and arginine have been associated with adverse outcomes in preterm-infants and data regarding enteral supplementation in preterm infants is limited.Study design This randomized -trial [NCT03649932] included 42 preterm infants (gestational age = 33 weeks) randomized to receive enteral L-citrulline in low (100 mg/kg/day), medium (200 mg/kg/day) and high-dose (300 mg/kg/day) groups for 7 days. Plasma citrulline and arginine levels were obtained pre-and-post supplementation and efficacy was determined by a significant increase in levels after supplementation. A p &lt; 0.05 was considered significant. Safety monitoring included blood-pressure-monitoring as well as complications and death during hospitalization.Results A total of 40/42 (95%) of the recruits completed the 7-day supplementation with no adverse events. Plasma-citrulline levels increased significantly in all three groups while plasma-arginine levels increased significantly in the high-dose group.Conclusion Enteral L-citrulline supplementation in preterm infants is safe and effective in increasing plasma citrulline and arginine levels.</t>
  </si>
  <si>
    <t>[Qasim, Amna; Mehdi, Mohammad Q.; Bhatia, Snigdha; Franco-Fuenmayor, Maria E.; Jain, Sunil K.] Univ Texas Med Branch, Dept Neonatol, Dept Pediat, Galveston, TX 77555 USA; [Qasim, Amna] Univ Arkansas Med Sci, Dept Pediat, Sect Pediat Cardiol, Little Rock, AR USA; [Mehdi, Mohammad Q.] Univ Texas Southwestern Med Ctr, Dept Pediat Cardiol, Dallas, TX USA; [Bhatia, Snigdha] Cent Michigan Univ, Childrens Hosp Michigan, Dept Pediat, Div Pediat Cardiol, Detroit, MI USA</t>
  </si>
  <si>
    <t>University of Texas System; University of Texas Medical Branch Galveston; University of Arkansas System; University of Arkansas Medical Sciences; University of Texas System; University of Texas Southwestern Medical Center Dallas; Children's Hospital of Michigan; Central Michigan University</t>
  </si>
  <si>
    <t>Jain, SK (corresponding author), Univ Texas Med Branch, Dept Neonatol, Dept Pediat, Galveston, TX 77555 USA.</t>
  </si>
  <si>
    <t>skjain@utmb.edu</t>
  </si>
  <si>
    <t>Franco Fuenmayor, Maria/0000-0002-4371-1932</t>
  </si>
  <si>
    <t>10.1038/s41372-023-01761-x</t>
  </si>
  <si>
    <t>R3ZN6</t>
  </si>
  <si>
    <t>WOS:001063766300001</t>
  </si>
  <si>
    <t>Santos, KF; Barros, FB; Silva, RP</t>
  </si>
  <si>
    <t>Santos, K. F.; Barros, F. B.; Silva, R. P.</t>
  </si>
  <si>
    <t>Extended isogeometric analysis: a two-scale coupling FEM/IGA for 2D elastic fracture problems</t>
  </si>
  <si>
    <t>COMPUTATIONAL MECHANICS</t>
  </si>
  <si>
    <t>eXtended isogeometric analysis method; Generalized/eXtended finite element method; Global-local strategy; Fracture mechanics; Condition number</t>
  </si>
  <si>
    <t>FINITE-ELEMENT-METHOD; GLOBAL-LOCAL ENRICHMENT; CRACK-GROWTH; COMPUTATIONAL FRAMEWORK; NUMERICAL-SIMULATION; MECHANICS PROBLEMS; XIGA; PLATES; PHT; VIBRATION</t>
  </si>
  <si>
    <t>Some of the key features of the isogeometric analysis, IGA, are the capacity of exactly representing the problem geometry, the use of the same basis functions to describe the geometry and the solution field, and a straightforward and automatic discretization refining scheme. The higher order continuity of the isogeometric approximation, important to correctly represent the domain geometry, can be a problem to approximate the displacement field in the neighbourhood of a crack. The eXtended Isogeometric Analysis (XIGA) overcomes this obstacle, enlarging the approximate space of IGA. This is achieved by incorporating customized functions, using the enrichment strategy of the Generalized/eXtended Finite Element Method. When these functions are unknown, they can be computed from the solution of local boundary value problems embracing the crack, and a global-local iterative procedure is established. Here this procedure is firstly proposed to combine FEM and isogeometric approximations, denoted XIGAgl\documentclass[12pt]{minimal}\usepackage{amsmath}\usepackage{wasysym}\usepackage{amsfonts}\usepackage{amssymb}\usepackage{amsbsy}\usepackage{mathrsfs}\usepackage{upgreek}\setlength{\oddsidemargin}{-69pt}\begin{document}$$&lt;^&gt;\text {gl}$$\end{document}. The effectiveness of this approach is investigated in terms of convergence rates and numerical stability. The method is applied to two-dimensional fracture mechanics problems. The numerical experiments show the importance of using the isogeometric approximation to recover more accurate solutions and minimize the deterioration of the conditioning of the related stiffness matrix.</t>
  </si>
  <si>
    <t>[Santos, K. F.; Barros, F. B.; Silva, R. P.] Fed Univ Minas Gerais UFMG, Sch Engn, Dept Struct Engn, Ave Antonio Carlos 6627, BR-31270901 Belo Horizonte, MG, Brazil</t>
  </si>
  <si>
    <t>Universidade Federal de Minas Gerais</t>
  </si>
  <si>
    <t>Santos, KF (corresponding author), Fed Univ Minas Gerais UFMG, Sch Engn, Dept Struct Engn, Ave Antonio Carlos 6627, BR-31270901 Belo Horizonte, MG, Brazil.</t>
  </si>
  <si>
    <t>karlaf@ufmg.br; felicio@dees.ufmg.br; ramon@ufmg.br</t>
  </si>
  <si>
    <t>FAPEMIG (Fundacao de Amparo a Pesquisa de Minas Gerais) [APQ-01656-18]; CNPq (Conselho Nacional de Desenvolvimento Cientifico e Tecnologico) [308444/2022-1]; CAPES (Coordenacao de Aperfeicoamento de Pessoal de Nivel Superior)</t>
  </si>
  <si>
    <t>FAPEMIG (Fundacao de Amparo a Pesquisa de Minas Gerais)(Fundacao de Amparo a Pesquisa do Estado de Minas Gerais (FAPEMIG)); CNPq (Conselho Nacional de Desenvolvimento Cientifico e Tecnologico)(Conselho Nacional de Desenvolvimento Cientifico e Tecnologico (CNPQ)); CAPES (Coordenacao de Aperfeicoamento de Pessoal de Nivel Superior)(Coordenacao de Aperfeicoamento de Pessoal de Nivel Superior (CAPES))</t>
  </si>
  <si>
    <t>The authors gratefully acknowledge the important support of the Brazilian research agencies FAPEMIG (in Portuguese Fundacao de Amparo a Pesquisa de Minas Gerais - Grant APQ-01656-18), CNPq (in Portuguese Conselho Nacional de Desenvolvimento Cientifico e Tecnologico - 308444/2022-1 and CAPES (in Portuguese Coordenacao de Aperfeicoamento de Pessoal de Nivel Superior).</t>
  </si>
  <si>
    <t>0178-7675</t>
  </si>
  <si>
    <t>1432-0924</t>
  </si>
  <si>
    <t>COMPUT MECH</t>
  </si>
  <si>
    <t>Comput. Mech.</t>
  </si>
  <si>
    <t>10.1007/s00466-023-02383</t>
  </si>
  <si>
    <t>Mathematics, Interdisciplinary Applications; Mechanics</t>
  </si>
  <si>
    <t>Mathematics; Mechanics</t>
  </si>
  <si>
    <t>Q9EF6</t>
  </si>
  <si>
    <t>WOS:001060470200001</t>
  </si>
  <si>
    <t>Soares, AP; Fischer, H; Orassi, V; Heiland, M; Checa, S; Schmidt-Bleek, K; Rendenbach, C</t>
  </si>
  <si>
    <t>Soares, Ana Prates; Fischer, Heilwig; Orassi, Vincenzo; Heiland, Max; Checa, Sara; Schmidt-Bleek, Katharina; Rendenbach, Carsten</t>
  </si>
  <si>
    <t>Patients ' perspectives on bone replacement materials in a German university hospital setting</t>
  </si>
  <si>
    <t>BIOMEDICAL ENGINEERING ONLINE</t>
  </si>
  <si>
    <t>Surveys and questionnaires; Bone replacement material; Patient Engagement</t>
  </si>
  <si>
    <t>VEGETARIAN; RISK</t>
  </si>
  <si>
    <t>Background: The challenges in developing new bone replacement materials and procedures reside not solely in technological innovation and advancement, but also in a broader patient therapy acceptance. Therefore, there is a need to assess patients' perspectives on the materials and approaches in use as well as the ones being developed to better steer future progress in the field. Methods: A self-initiating cross-sectional questionnaire aimed at people seeking treatment at the university hospital environment of Charite Berlin was formulated. The survey contained 15 close-ended questions directed toward the participant's epidemiological profile, willingness, acceptance, and agreement to receive different bone replacement materials, as well as, worries about the post-surgical consequences that can arise post bone replacement surgery. Descriptive and categorical analysis was performed to compare the observed number of subjects, their profile and each related response (Pearson's chi-square test or Fischer's test, p &lt; 0.05). Results: A total of 198 people engaged with the questionnaire, most of them Millennials. Overall patients trusted scientifically developed biomaterials designed for bone replacement, as demonstrated by their willingness to participate in a clinical trial, their acceptance of alloplastic materials, and the none/few worries about the presence of permanent implants. The data revealed the preferences of patients towards autologous sources of cells and blood to be used with a biomaterial. The data have also shown that both generation and education influenced willingness to participate in a clinical trial and acceptance of alloplastic materials, as well as, worries about the presence of permanent implants and agreement to receive a material with pooled blood and cells. Conclusion: Patients were open to the implantation of biomaterials for bone replacement, with a preference toward autologous sources of blood and/or tissue. Moreover, patients are concerned about strategies based on permanent implants, which indicates a need for resorbable materials. The knowledge gained in this study supports the development of new bone biomaterials.</t>
  </si>
  <si>
    <t>[Soares, Ana Prates; Fischer, Heilwig; Heiland, Max; Rendenbach, Carsten] Charite Univ Med Berlin, Dept Oral &amp; Maxillofacial Surg, Berlin, Germany; [Soares, Ana Prates; Fischer, Heilwig; Heiland, Max; Rendenbach, Carsten] Free Univ Berlin, Berlin, Germany; [Soares, Ana Prates; Fischer, Heilwig; Heiland, Max; Rendenbach, Carsten] Humboldt Univ, Berlin, Germany; [Soares, Ana Prates; Fischer, Heilwig; Heiland, Max; Rendenbach, Carsten] Berlin Inst Hlth, Berlin, Germany; [Soares, Ana Prates; Orassi, Vincenzo; Checa, Sara; Schmidt-Bleek, Katharina] Charite Univ Med Berlin, Julius Wolff Inst Biomech &amp; Musculoskeletal Regene, Berlin Inst Hlth, Berlin, Germany; [Fischer, Heilwig] Charite Univ Med Berlin, Ctr Muskuloskeletale Chirurg, Berlin, Germany; [Fischer, Heilwig] Charite Univ Med Berlin, Biomed Innovat Acad, Berlin Inst Hlth, Inst Hlth BIH,BIH Charite Clinician Scientist Prog, Berlin, Germany; [Schmidt-Bleek, Katharina] Charite Univ Med Berlin, Berlin Inst Hlth, Berlin Inst Hlth BIH, Ctr Regenerat Therapies BCRT, Berlin, Germany</t>
  </si>
  <si>
    <t>Free University of Berlin; Humboldt University of Berlin; Charite Universitatsmedizin Berlin; Free University of Berlin; Humboldt University of Berlin; Berlin Institute of Health; Free University of Berlin; Humboldt University of Berlin; Charite Universitatsmedizin Berlin; Berlin Institute of Health; Free University of Berlin; Humboldt University of Berlin; Charite Universitatsmedizin Berlin; Free University of Berlin; Humboldt University of Berlin; Charite Universitatsmedizin Berlin; Berlin Institute of Health; Free University of Berlin; Humboldt University of Berlin; Charite Universitatsmedizin Berlin; Berlin Institute of Health</t>
  </si>
  <si>
    <t>Soares, AP (corresponding author), Charite Univ Med Berlin, Dept Oral &amp; Maxillofacial Surg, Berlin, Germany.;Soares, AP (corresponding author), Free Univ Berlin, Berlin, Germany.;Soares, AP (corresponding author), Humboldt Univ, Berlin, Germany.;Soares, AP (corresponding author), Berlin Inst Hlth, Berlin, Germany.;Soares, AP (corresponding author), Charite Univ Med Berlin, Julius Wolff Inst Biomech &amp; Musculoskeletal Regene, Berlin Inst Hlth, Berlin, Germany.</t>
  </si>
  <si>
    <t>ana.prates-soares@charite.de</t>
  </si>
  <si>
    <t>; Heiland, Max/E-8400-2013</t>
  </si>
  <si>
    <t>Rendenbach, Carsten/0000-0002-9565-7640; Heiland, Max/0000-0002-4987-2913</t>
  </si>
  <si>
    <t>1475-925X</t>
  </si>
  <si>
    <t>BIOMED ENG ONLINE</t>
  </si>
  <si>
    <t>Biomed. Eng. Online</t>
  </si>
  <si>
    <t>10.1186/s12938-023-01147-2</t>
  </si>
  <si>
    <t>Engineering, Biomedical</t>
  </si>
  <si>
    <t>Q4BO6</t>
  </si>
  <si>
    <t>WOS:001056990100001</t>
  </si>
  <si>
    <t>Ueno, M</t>
  </si>
  <si>
    <t>Ueno, Masaharu</t>
  </si>
  <si>
    <t>Relationships between drinking habits, psychological resilience, and salivary cortisol responses on the Trier Social Stress Test-Online among Japanese people</t>
  </si>
  <si>
    <t>Alcohol; Cortisol; Online survey; Resilience; Trier Social Stress Test-Online</t>
  </si>
  <si>
    <t>PSYCHOSOCIAL STRESS; REACTIVITY; RESPONDERS; DISORDERS</t>
  </si>
  <si>
    <t>Background This study aimed to determine whether individual differences in resilience interacted with those in alcohol consumption habits in situations involving exposure to psychosocial stressors (Trier Social Stress Test-Online; TSST-OL). Additionally, we investigated whether individuals exhibiting resilience in their psychological scale scores showed biological responses that could be interpreted as resilience in stressful situations, such as the TSST-OL. We hypothesized that there would be no association between drinking habits and stress responses in the high-resilience group. Furthermore, high drinking habits would be associated with high stress responses in the low-resilience group. Methods We recruited 22 and 20 individuals from the high and low-resilience groups, respectively, from among those who completed the online survey comprising the Alcohol Use Disorders Identification Test (AUDIT) and resilience scales; we excluded individuals with AUDIT scores of 15 or higher, and divided them by the median total resilience scale score. During the TSST-OL, self-rated stress measurement and saliva sample collection were performed seven times. Frozen samples were collected at the Tokyo site, and salivary hormonal (cortisol and dehydroepiandrosterone) levels were measured after transport in frozen state. Finally, 36 participants were included in the analysis of self-rated stress and cortisol levels. Results We observed the typical subjective stress responses to the TSST-OL. People with higher psychological scale scores for resilience traits showed significantly higher salivary cortisol levels than those with lower scores. Due to deficiencies in the survey and experimental design, the classification criteria were changed and an exploratory analysis was performed to investigate the interaction of individual differences in resilience and drinking habits. In contrast to our expectation, those with low resilience scores showed stress responses, regardless of their drinking habits. Furthermore, those with high resilience and drinking habits showed a specific insensitivity to salivary cortisol levels. Their self-rated stress scores were similar to those of other groups. Conclusions Our study showed the applicability of the TSST- OL in the Japanese population, the individual relationship between psychological resilience measures and biological stress responses, and a specific insensitivity in the salivary cortisol response as a result of individual differences in high resilience and drinking habits.</t>
  </si>
  <si>
    <t>[Ueno, Masaharu] Tobacco Acad Studies Ctr, 1-16-3 Yokokawa,Sumida Ku, Tokyo 1300003, Japan</t>
  </si>
  <si>
    <t>Ueno, M (corresponding author), Tobacco Acad Studies Ctr, 1-16-3 Yokokawa,Sumida Ku, Tokyo 1300003, Japan.</t>
  </si>
  <si>
    <t>ueno.masaharu.wg@alumni.tsukuba.ac.jp</t>
  </si>
  <si>
    <t>Tobacco Academic Studies Center, Japan</t>
  </si>
  <si>
    <t>This study was supported by research funding from the Tobacco Academic Studies Center, Japan.</t>
  </si>
  <si>
    <t>10.1186/s40359-023-01297-x</t>
  </si>
  <si>
    <t>Q4CH3</t>
  </si>
  <si>
    <t>WOS:001057009100001</t>
  </si>
  <si>
    <t>Vetrivel, G; Semwal, A; Shrestha, SR; Eugine, R; Tyagi, AK</t>
  </si>
  <si>
    <t>Vetrivel, G.; Semwal, Ankita; Shrestha, Sushil Raj; Eugine, Reshma; Tyagi, Amit Kumar</t>
  </si>
  <si>
    <t>Aortic Pseudoaneurysm as an Unusual Cause of Vocal Palsy</t>
  </si>
  <si>
    <t>left recurrent laryngeal nerve palsy; ortner's syndrome; cardiovocal syndrome; vocal palsy; aortic pseudoaneurysm</t>
  </si>
  <si>
    <t>PARALYSIS</t>
  </si>
  <si>
    <t>The recurrent laryngeal nerve travels a variable course on either side due to the differences in the structures related during development. The nerve is at risk of injury due to a number of pathologies in any of these structures. We came across a very rare pathology causing vocal palsy in a 62-year-old male with hoarseness of voice. Laryngoscopy examination showed left vocal cord palsy without any obvious laryngeal mass. Contrast-enhanced computed tomography study of the neck and chest revealed aortic arch pseudoaneurysm with left vocal cord palsy.</t>
  </si>
  <si>
    <t>[Vetrivel, G.; Semwal, Ankita; Shrestha, Sushil Raj; Eugine, Reshma; Tyagi, Amit Kumar] All India Inst Med Sci, Otorhinolaryngol Head &amp; Neck Surg, Rishikesh, India</t>
  </si>
  <si>
    <t>All India Institute of Medical Sciences (AIIMS) Rishikesh</t>
  </si>
  <si>
    <t>Tyagi, AK (corresponding author), All India Inst Med Sci, Otorhinolaryngol Head &amp; Neck Surg, Rishikesh, India.</t>
  </si>
  <si>
    <t>ashuu.06@gmail.com</t>
  </si>
  <si>
    <t>e44255</t>
  </si>
  <si>
    <t>10.7759/cureus.44255</t>
  </si>
  <si>
    <t>WOS:001063237900025</t>
  </si>
  <si>
    <t>Yang, KP; Tang, JY; Li, HY; Zhang, HJ; Ding, JT; Li, ZL; Luo, JH</t>
  </si>
  <si>
    <t>Yang, Kangping; Tang, Jiayao; Li, Haoying; Zhang, Hejin; Ding, Jiatong; Li, Zelin; Luo, Jinghua</t>
  </si>
  <si>
    <t>LncRNAs in Kawasaki disease and Henoch-Sch &amp; ouml;nlein purpura: mechanisms and clinical applications</t>
  </si>
  <si>
    <t>MOLECULAR AND CELLULAR BIOCHEMISTRY</t>
  </si>
  <si>
    <t>LncRNA; Childhood vasculitis; Kawasaki disease (KD); Henoch-Schonlein purpura (HSP); Therapeutic strategy</t>
  </si>
  <si>
    <t>HENOCH-SCHONLEIN PURPURA; LONG NONCODING RNA; HUMAN CORONAVIRUS NL63; INTRAVENOUS IMMUNOGLOBULIN; ENDOTHELIAL-CELLS; CHILDREN; ASSOCIATION; EXPRESSION; ASPIRIN; VASCULITIS</t>
  </si>
  <si>
    <t>Kawasaki disease (KD) and Henoch-Schonlein purpura (HSP) are the two most predominant types of childhood vasculitis. In childhood vasculitis, factors such as lack of sensitive diagnostic indicators and adverse effects of drug therapy may cause multiorgan system involvement and complications and even death. Many studies suggest that long noncoding RNAs (lncRNAs) are involved in the mechanism of vasculitis development in children and can be used to diagnose or predict prognosis by lncRNAs. In existing drug therapies, lncRNAs are also involved in drug-mediated treatment mechanisms and are expected to improve drug toxicity. The aim of this review is to summarize the link between lncRNAs and the pathogenesis of KD and HSP. In addition, we review the potential applications of lncRNAs in multiple dimensions, such as diagnosis, treatment, and prognosis prediction. This review highlights that targeting lncRNAs may be a novel therapeutic strategy to improve and treat KD and HSP.</t>
  </si>
  <si>
    <t>[Yang, Kangping; Luo, Jinghua] Nanchang Univ, Affiliated Hosp 2, Dept Pediat, Nanchang 330006, Jiangxi, Peoples R China; [Tang, Jiayao] Nanchang Univ, Sch Pharm, Nanchang, Peoples R China; [Li, Haoying] Nanchang Univ, Queen Mary Sch, Nanchang, Peoples R China; [Zhang, Hejin; Ding, Jiatong] Nanchang Univ, Clin Med Coll 2, Nanchang, Jiangxi, Peoples R China; [Li, Zelin] Nanchang Univ, Clin Med Coll 1, Nanchang, Peoples R China</t>
  </si>
  <si>
    <t>Nanchang University; Nanchang University; Nanchang University; Nanchang University; Nanchang University</t>
  </si>
  <si>
    <t>Yang, KP; Luo, JH (corresponding author), Nanchang Univ, Affiliated Hosp 2, Dept Pediat, Nanchang 330006, Jiangxi, Peoples R China.</t>
  </si>
  <si>
    <t>Yangkangping0913@163.com; Ndefy11074@ncu.edu.cn</t>
  </si>
  <si>
    <t>Yang, KangPing/IUN-7629-2023</t>
  </si>
  <si>
    <t>Yang, KangPing/0000-0003-1298-0846</t>
  </si>
  <si>
    <t>0300-8177</t>
  </si>
  <si>
    <t>1573-4919</t>
  </si>
  <si>
    <t>MOL CELL BIOCHEM</t>
  </si>
  <si>
    <t>Mol. Cell. Biochem.</t>
  </si>
  <si>
    <t>10.1007/s11010-023-04832</t>
  </si>
  <si>
    <t>R3ZM7</t>
  </si>
  <si>
    <t>WOS:001063765400001</t>
  </si>
  <si>
    <t>Zhou, TY; Salman, D; Mcgregor, AH</t>
  </si>
  <si>
    <t>Zhou, Tianyu; Salman, David; Mcgregor, Alison H.</t>
  </si>
  <si>
    <t>What do we mean by self-management' for chronic low back pain? A narrative review</t>
  </si>
  <si>
    <t>EUROPEAN SPINE JOURNAL</t>
  </si>
  <si>
    <t>Self-management; Chronic low back pain; Component; Outcome; Evidence</t>
  </si>
  <si>
    <t>BEHAVIOR-CHANGE; EXERCISE; INTERVENTIONS; STABILIZATION; CARE; METAANALYSIS; EDUCATION; THERAPY; PROGRAM</t>
  </si>
  <si>
    <t>Background Chronic low back pain ( CLBP) is a highly prevalent musculoskeletal condition affecting 60-80% of the general population within their lifetime. Given the large numbers of people affected, self-management approaches have been introduced as a way to manage this condition with endorsement by the national institute for health and care excellence. Interventions are often termed self-management without defining either content or goals. Our study sought to determine the content, characteristics, and evidence for self-management of CLBP. Methods This narrative review was conducted using a systematic approach to search journal articles in English that focused on CLBP self-management. MEDLINE, EMBASE, CINAHL, and PsycINFO databases were used to identify publications with terms relating to back pain and self-management from January 2016 until January 2022. Results In total, 15 studies were found suitable for inclusion in the review. Core components of self-management strategies include exercise, education, and psychological interventions, but there was a lack of consistency with respect to content. Intervention characteristics were either under-reported or varied. Furthermore, outcome measures used to assess these selfmanagement programmes were diverse, mainly focusing on functional disability and pain intensity. Conclusions Inconsistencies in the content of self-management interventions, intervention characteristics, and outcome measures used for assessing self-management programmes were found across the literature. Current self-management approaches do not consider the complex biopsychosocial nature of CLBP. A consensus on the key components of self-management interventions, and how they should be evaluated, will pave the way for research to determine whether self-management can effectively manage CLBP.</t>
  </si>
  <si>
    <t>[Zhou, Tianyu; Salman, David; Mcgregor, Alison H.] Imperial Coll London, Dept Surg &amp; Canc, MSk Lab, 2nd Floor,86 Wood Lane, London W12 0BZ, England; [Salman, David] Imperial Coll London, Dept Primary Care &amp; Publ Hlth, London W6 8RP, England</t>
  </si>
  <si>
    <t>Imperial College London; Imperial College London</t>
  </si>
  <si>
    <t>Mcgregor, AH (corresponding author), Imperial Coll London, Dept Surg &amp; Canc, MSk Lab, 2nd Floor,86 Wood Lane, London W12 0BZ, England.</t>
  </si>
  <si>
    <t>a.mcgregor@imperial.ac.uk</t>
  </si>
  <si>
    <t>ZHOU, TIANYU/0000-0002-8785-8493; McGregor, Alison/0000-0003-4672-332X; Salman, David/0000-0002-1481-8829</t>
  </si>
  <si>
    <t>We are grateful to Rebecca Jones (Library Manager in Imperial College London) who offered advice and support for building the search strategy and screening process. We also wish to thank Matthew Banger, Biranavan Sivapuratharasu, Fasten Huang, and Baoru Hu</t>
  </si>
  <si>
    <t>We are grateful to Rebecca Jones (Library Manager in Imperial College London) who offered advice and support for building the search strategy and screening process. We also wish to thank Matthew Banger, Biranavan Sivapuratharasu, Fasten Huang, and Baoru Huang for their valuable and helpful comments and suggestions. Without these people, the study would have been impossible.</t>
  </si>
  <si>
    <t>0940-6719</t>
  </si>
  <si>
    <t>1432-0932</t>
  </si>
  <si>
    <t>EUR SPINE J</t>
  </si>
  <si>
    <t>Eur. Spine J.</t>
  </si>
  <si>
    <t>10.1007/s00586-023-07900-4</t>
  </si>
  <si>
    <t>Clinical Neurology; Orthopedics</t>
  </si>
  <si>
    <t>Neurosciences &amp; Neurology; Orthopedics</t>
  </si>
  <si>
    <t>Q8ND9</t>
  </si>
  <si>
    <t>WOS:001060025700001</t>
  </si>
  <si>
    <t>Zhu, XS; Yin, XY; Fu, DH; Huang, HP; Wu, M; Wang, CH; Huang, YS</t>
  </si>
  <si>
    <t>Zhu, Xin-Shen; Yin, Xiao-Ying; Fu, Dong-Hui; Huang, Hai-Peng; Wu, Meng; Wang, Chuan-Hong; Huang, Yue-Sheng</t>
  </si>
  <si>
    <t>Application of image overlapping in percutaneous nephrolithotomy</t>
  </si>
  <si>
    <t>Complex kidney stone; Percutaneous nephrolithotomy; Image overlap; Precision puncture</t>
  </si>
  <si>
    <t>PUNCTURE</t>
  </si>
  <si>
    <t>ObjectiveTo investigate the application of ultrasound and CT image overlap in percutaneous nephrolithotomy (PCNL).MethodsA total of 140 patients with complicated kidney stones requiring PCNL were prospectively enrolled, from January 2020 to December 2022. These patients were randomly divided into 2 groups, with 70 patients each in the research group and the control group. All participants underwent dual-source, non-contrast CT scan of both kidneys and pelvis before surgery. Preoperative three-dimensional CT reconstruction and simulated puncture were performed in patients from the research group. The best puncture path was determined through ultrasound and CT image overlap. Puncture guided by regular CT and ultrasound was conducted in patients from the control group. Differences in the surgical outcomes between the two groups were compared.ResultsCompared to the control group, the research group had higher stone clearance rate in stage I PCNL, success rate of one-time puncture, less percutaneous channels, less reduction of hemoglobin and shorter procedure time. Complications in stage I PCNL were comparable in the two groups, and there was no significant change in the final stone clearance rates between the two groups.ConclusionAn optimal puncture channel can be chosen using ultrasound and CT image overlap. PCNL can be achieved with precise puncturing, thus achieving coincidence between imaging and anatomy and reducing the amount of blood loss during stage I of PCNL. It also shortens the procedure time and improves stone clearance rate of PCNL.</t>
  </si>
  <si>
    <t>[Zhu, Xin-Shen; Yin, Xiao-Ying; Fu, Dong-Hui; Huang, Hai-Peng; Wu, Meng; Huang, Yue-Sheng] Jiangxi Prov Peoples Hosp, Affiliated Hosp 1, Dept Neurol, Nanchang Med Coll, 92 Aiguo Rd, Nanchang 330006, Peoples R China; [Wang, Chuan-Hong] Jiangxi Prov Peoples Hosp, Affiliated Hosp 1, Dept Radiol, Nanchang Med Coll, Nanchang 330006, Peoples R China</t>
  </si>
  <si>
    <t>Huang, YS (corresponding author), Jiangxi Prov Peoples Hosp, Affiliated Hosp 1, Dept Neurol, Nanchang Med Coll, 92 Aiguo Rd, Nanchang 330006, Peoples R China.</t>
  </si>
  <si>
    <t>huamghaipemg@126.com</t>
  </si>
  <si>
    <t>We would like to acknowledge the hard and dedicated work of all the staff that implemented the intervention and evaluation components of the study.</t>
  </si>
  <si>
    <t>10.1007/s11255-023-03751-6</t>
  </si>
  <si>
    <t>Q9CQ5</t>
  </si>
  <si>
    <t>WOS:001060428800003</t>
  </si>
  <si>
    <t>Zisis, V; Giannakopoulos, NN; Schmitter, M; Poulopoulos, A; Andreadis, D</t>
  </si>
  <si>
    <t>Zisis, Vasileios; Giannakopoulos, Nikolaos N.; Schmitter, Marc; Poulopoulos, Athanasios; Andreadis, Dimitrios</t>
  </si>
  <si>
    <t>Cancer Stem Cells' Biomarker ALDH1&amp;2 Increased Expression in Erosive Oral Lichen Planus Compared to Oral Leukoplakia</t>
  </si>
  <si>
    <t>oral leukoplakia; skin inflammation; aldh; oral lichenoid reaction; oral lichen planus</t>
  </si>
  <si>
    <t>POTENTIALLY MALIGNANT DISORDERS; ALDEHYDE DEHYDROGENASE; MARKERS ALDH1; TRANSFORMATION; RISK</t>
  </si>
  <si>
    <t>Introduction: ALDH1&amp;2 has been considered an oral cancer stem cell (CSC) marker. Oral carcinogenesis is a process that usually passes through oral potentially malignant disorders (OPMD). Oral lichen planus (OLP) consists of immune-related chronic disorders that have been included in the OPMDs due to their possible transformation into oral cancer. The aim of this study was to investigate the early presence of ALDH1&amp;2 in OLP compared to early oral leukoplakias (OL), especially mildly and non-dysplastic OL. Materials and methods: The study type is experimental, and the study design is characterized as semiquantitative research which belongs to the branch of experimental research. The study sample consisted of paraffin-embedded OLP biopsy samples from the archives of the Department of Oral Medicine/Pathology, School of Dentistry, Aristotle University of Thessaloniki, Greece, during the period 2009-2019. The study sample contained 24 cases of OLP (14 erosive and 10 reticular) and 30 cases of OL (16 cases of moderately and severely dysplastic OL and 14 cases of mildly and non-dysplastic OL). The CSC-related biomarker ALDH1&amp;2 was examined using semiquantitative immunohistochemistry (monoclonal antibody sc-166362, Santa Cruz Biotechnology, Dallas, Texas, USA, 1:100). ALDH1&amp;2 expression was evaluated through a scale of 1 to 3 depending on the percentage of positive epithelial cells and was compared to normal epithelium as well as cases of OL (the most prominent OPMD). The statistical analysis was performed with the Pearson chi-square test and the significance level was set at p=0.05. Results: The cytoplasmic staining of ALDH1&amp;2 was observed mostly in the epithelial cells of the basal layer of the epithelium of OLP. Overall, this expression was significantly increased compared to normal epithelium. In addition, statistically significantly higher expression of ALDH1&amp;2 was observed in the erosive form of OLP. Interestingly, this OLP positivity was higher compared to mild and non-dysplastic leukoplakias (p&lt;0.001). Conclusions: ALDH1&amp;2 is a confirmed CSC marker that was found to be clearly increased in OLP and characteristically in erosive OLP epithelium for the first time. Noteworthy, it was more prominent in erosive OLP rather than in mildly and non-dysplastic OL. Whether this pattern of expression raises the red flag of an early epithelial CSC phenotype in OLP or that ALDH1&amp;2 expression indicates a response to the OLP inflammatory process requires further investigation.</t>
  </si>
  <si>
    <t>[Zisis, Vasileios; Giannakopoulos, Nikolaos N.; Schmitter, Marc] Julius Maximilians Univ, Prosthodont, Wurzburg, Germany; [Zisis, Vasileios; Poulopoulos, Athanasios; Andreadis, Dimitrios] Aristotle Univ Thessaloniki, Oral Med Pathol, Thessaloniki, Greece</t>
  </si>
  <si>
    <t>University of Wurzburg; Aristotle University of Thessaloniki</t>
  </si>
  <si>
    <t>Zisis, V (corresponding author), Julius Maximilians Univ, Prosthodont, Wurzburg, Germany.;Zisis, V (corresponding author), Aristotle Univ Thessaloniki, Oral Med Pathol, Thessaloniki, Greece.</t>
  </si>
  <si>
    <t>zisisdent@gmail.com</t>
  </si>
  <si>
    <t>Zisis, Vasileios/0000-0002-5687-4220</t>
  </si>
  <si>
    <t>e44278</t>
  </si>
  <si>
    <t>10.7759/cureus.44278</t>
  </si>
  <si>
    <t>R2YG3</t>
  </si>
  <si>
    <t>WOS:001063050600026</t>
  </si>
  <si>
    <t>Borokini, IT; Kortz, A; Anibaba, QA; Witt, A; Aigbokhan, EI; Hejda, M; Pysek, P</t>
  </si>
  <si>
    <t>Borokini, Israel T.; Kortz, Alessandra; Anibaba, Quadri A.; Witt, Arne; Aigbokhan, Emmanuel I.; Hejda, Martin; Pysek, Petr</t>
  </si>
  <si>
    <t>Alien flora of Nigeria: taxonomy, biogeography, habitats, and ecological impacts</t>
  </si>
  <si>
    <t>BIOLOGICAL INVASIONS</t>
  </si>
  <si>
    <t>Biological invasion; Naturalization; Life forms; Nigeria</t>
  </si>
  <si>
    <t>INVASIVE PLANTS; SPECIES RICHNESS; DIVERSITY; PATTERNS; INVADERS; AFRICA; TRAITS; METAANALYSIS; COMMUNITIES; EXCHANGE</t>
  </si>
  <si>
    <t>Biological invasions remain one of the greatest threats to biodiversity and livelihoods, and are predicted to increase due to climate change and globalization. In this study, we produced a comprehensive checklist of alien plants in Nigeria from online flora databases, herbarium records, published field surveys, and questionnaires administered to botanical gardens. The resulting alien flora was classified into naturalized, invasive, and cultivated plants. We then fitted a random forest model to identify the attributes which facilitate the naturalization of alien plants in Nigeria. We also used separate chi-squared tests to investigate if the frequency of these attributes is significantly different between the naturalized and invasive plants. The results include 1,381 alien plant taxa, comprising 238 naturalized, 190 invasive, and 953 cultivated species. The naturalized and invasive plants (428 species) are from 91 families, with Fabaceae and Poaceae having the highest representations. The random forest model showed that life forms and local economic uses were the most important drivers of alien plant naturalization in Nigeria. Chi-squared tests revealed a non-random distribution of life forms, higher frequencies of naturalized plants from the Indomalaya and the Neotropics, greater introductions during the British colonial rule, and that naturalized species are mostly used for medicinal, ornamental, food, or animal fodder purposes. Naturalized and invasive plants were recorded in all regions of Nigeria and are mostly found in urban and agricultural landscapes. This baseline information can support further ecological studies and conservation actions in Nigeria.</t>
  </si>
  <si>
    <t>[Borokini, Israel T.] Univ Calif Berkeley, Dept Integrat Biol, Univ &amp; Jepson Herbaria, Berkeley, CA 94720 USA; [Borokini, Israel T.] Montana State Univ, Dept Ecol, Bozeman, MT 59715 USA; [Kortz, Alessandra; Hejda, Martin; Pysek, Petr] Czech Acad Sci, Inst Bot, Dept Invas Ecol, Pruhonice 25243, Czech Republic; [Anibaba, Quadri A.] Polish Acad Sci, Inst Dendrol, Dept Ecol, Kornik, Poland; [Witt, Arne] CABI, 702 Hts Rd, ZA-6560 George, South Africa; [Aigbokhan, Emmanuel I.] Univ Benin, Fac Life Sci, Dept Plant Biol &amp; Biotechnol, Benin, Nigeria; [Pysek, Petr] Charles Univ Prague, Fac Sci, Dept Ecol, Vinicna 7, Prague 12844, Czech Republic</t>
  </si>
  <si>
    <t>University of California System; University of California Berkeley; Montana State University System; Montana State University Bozeman; Czech Academy of Sciences; Institute of Botany of the Czech Academy of Sciences; Polish Academy of Sciences; University of Benin; Charles University Prague</t>
  </si>
  <si>
    <t>Borokini, IT (corresponding author), Univ Calif Berkeley, Dept Integrat Biol, Univ &amp; Jepson Herbaria, Berkeley, CA 94720 USA.;Borokini, IT (corresponding author), Montana State Univ, Dept Ecol, Bozeman, MT 59715 USA.</t>
  </si>
  <si>
    <t>iborokini@berkeley.edu</t>
  </si>
  <si>
    <t>Kortz, Alessandra Rocha/B-2791-2017; Anibaba, Quadri Agbolade/ADH-7679-2022</t>
  </si>
  <si>
    <t>Kortz, Alessandra Rocha/0000-0002-7473-1987; Anibaba, Quadri Agbolade/0000-0002-5195-2920; Borokini, Temitope Israel/0000-0002-1258-7932</t>
  </si>
  <si>
    <t>ITB was supported by the Cedar Tree Foundation as part of his David Smith Conservation Research Fellowship. PP, AK, and MH were supported by EXPRO grant no. 19-28807X (Czech Science Foundation) and by long-term research development project RVO 67985939 (Cz; Cedar Tree Foundation [RVO 67985939]; EXPRO; (Czech Science Foundation); Undergraduate Research Apprenticeship Program (URAP), University of California Berkeley; [19-28807X]</t>
  </si>
  <si>
    <t>ITB was supported by the Cedar Tree Foundation as part of his David Smith Conservation Research Fellowship. PP, AK, and MH were supported by EXPRO grant no. 19-28807X (Czech Science Foundation) and by long-term research development project RVO 67985939 (Cz; Cedar Tree Foundation; EXPRO; (Czech Science Foundation)(Grant Agency of the Czech Republic); Undergraduate Research Apprenticeship Program (URAP), University of California Berkeley(University of California System);</t>
  </si>
  <si>
    <t>ITB was supported by the Cedar Tree Foundation as part of his David Smith Conservation Research Fellowship. PP, AK, and MH were supported by EXPRO grant no. 19-28807X (Czech Science Foundation) and by long-term research development project RVO 67985939 (Czech Academy of Sciences). The authors are grateful to Jessica Chan, Karen Chang, Hope Cummings, Can Karakoc, and Will Potratz who helped clean the final dataset for this study as part of their Undergraduate Research Apprenticeship Program (URAP), University of California Berkeley.</t>
  </si>
  <si>
    <t>1387-3547</t>
  </si>
  <si>
    <t>1573-1464</t>
  </si>
  <si>
    <t>BIOL INVASIONS</t>
  </si>
  <si>
    <t>Biol. Invasions</t>
  </si>
  <si>
    <t>2023 AUG 27</t>
  </si>
  <si>
    <t>10.1007/s10530-023-03140-1</t>
  </si>
  <si>
    <t>Q8NI9</t>
  </si>
  <si>
    <t>WOS:001060030700001</t>
  </si>
  <si>
    <t>Corli, A; Rocchetti, GA; Orsenigo, S; Possley, J; Abeli, T</t>
  </si>
  <si>
    <t>Corli, Anna; Rocchetti, Giulia Albani; Orsenigo, Simone; Possley, Jennifer; Abeli, Thomas</t>
  </si>
  <si>
    <t>The role of aftercare in plant translocation</t>
  </si>
  <si>
    <t>BIODIVERSITY AND CONSERVATION</t>
  </si>
  <si>
    <t>Adaptive management; Long-term monitoring; Plant protection; Competition reduction; Water irrigation; Post-release site management</t>
  </si>
  <si>
    <t>REINTRODUCTION SUCCESS; CONSERVATION; HABITAT; RESTORATION; AUSTRALIA; STRATEGY; RARE; TIME; TREE; KEY</t>
  </si>
  <si>
    <t>Plant translocation can increase the chances of long-term survival of threatened plant species; nevertheless, can be costly and challenging, with unknowns in the pre- and post-release phases, limiting success. Methodological advances have been made in the pre-release phase but long-term monitoring and post-release site management (i.e., aftercare) are not always applied and almost neglected in the literature despite being frequently effective for identifying and mitigating unexpected threats (e.g., interspecific competition, herbivory) to outplant survival. Aiming to fill this gap, we reviewed published and gray literature on 296 translocations to shed light on the importance of aftercare on translocation outcome. We identified the most common aftercare techniques, then we performed a meta-analysis on a subset of studies that were specifically designed to test the effect of aftercare against a control (i.e., no aftercare). The most common aftercare techniques were competition reduction, water irrigation and plant protection. Aftercare significantly increased the percentage of survival of plants when herbivory reduction and other understorey species were enhanced. Aftercare reported also a positive trend toward improved qualitative outcome when plants were protected or competition was mitigated. Nevertheless, more evidence is needed on the importance and effectiveness of aftercare techniques. Long-term monitoring and post-release site management should be the post-translocation standard in plant translocations when ethical and possible, with plant protection, competition limitation and water irrigation being applied when needed to reduce transplant mortality. To provide statistically supported data on the effect of aftercare on translocation outcome, aftercare should be tested against a control when feasible.</t>
  </si>
  <si>
    <t>[Corli, Anna; Orsenigo, Simone] Univ Pavia, Dept Earth &amp; Environm Sci, Via S Epifanio 14, I-27100 Pavia, Italy; [Corli, Anna; Rocchetti, Giulia Albani; Orsenigo, Simone; Abeli, Thomas] Natl Biodivers Future Ctr NBFC, I-90133 Palermo, Italy; [Rocchetti, Giulia Albani; Abeli, Thomas] Roma Tre Univ, Dept Sci, Viale Guglielmo Marconi 446, I-00146 Rome, Italy; [Possley, Jennifer] Fairchild Trop Bot Garden, 10901 Old Cutler Rd, Miami, FL 33156 USA</t>
  </si>
  <si>
    <t>University of Pavia; Roma Tre University; Italfarmaco</t>
  </si>
  <si>
    <t>Corli, A (corresponding author), Univ Pavia, Dept Earth &amp; Environm Sci, Via S Epifanio 14, I-27100 Pavia, Italy.;Corli, A (corresponding author), Natl Biodivers Future Ctr NBFC, I-90133 Palermo, Italy.</t>
  </si>
  <si>
    <t>anna.corli@unipv.it</t>
  </si>
  <si>
    <t>MIUR-Italy; National Biodiversity Future Center-NBFC-National Recovery and Resilience Plan (NRRP), Mission 4 Component 2 Investment 1.4-Call of Italian Ministry of University and Research - European Union-Next Generation EU [3138, 3175, CN_00000033]; Universita degli Studi di Pavia within the CRUI-CARE Agreement</t>
  </si>
  <si>
    <t>MIUR-Italy(Ministry of Education, Universities and Research (MIUR)); National Biodiversity Future Center-NBFC-National Recovery and Resilience Plan (NRRP), Mission 4 Component 2 Investment 1.4-Call of Italian Ministry of University and Research - European Union-Next Generation EU; Universita degli Studi di Pavia within the CRUI-CARE Agreement</t>
  </si>
  <si>
    <t>The Grant of Excellence Departments, MIUR-Italy (ARTICOLO 1, COMMI 314-337 LEGGE 232/2016) is gratefully acknowledged for the support to one of the authors (T. Abeli). The authors A. Corli and G. Albani Rocchetti were funded by the National Biodiversity Future Center-NBFC-National Recovery and Resilience Plan (NRRP), Mission 4 Component 2 Investment 1.4-Call for tender No. 3138 of 16 December 2021, rectified by Decree n.3175 of 18 December 2021 of Italian Ministry of University and Research funded by the European Union-Next Generation EU, Project code CN_00000033. Open access funding provided by Universita degli Studi di Pavia within the CRUI-CARE Agreement.</t>
  </si>
  <si>
    <t>0960-3115</t>
  </si>
  <si>
    <t>1572-9710</t>
  </si>
  <si>
    <t>BIODIVERS CONSERV</t>
  </si>
  <si>
    <t>Biodivers. Conserv.</t>
  </si>
  <si>
    <t>10.1007/s10531-023-02703-x</t>
  </si>
  <si>
    <t>Biodiversity Conservation; Ecology; Environmental Sciences</t>
  </si>
  <si>
    <t>R1KD8</t>
  </si>
  <si>
    <t>WOS:001061991300001</t>
  </si>
  <si>
    <t>Fang, XZ; Ghazali, S; Azadi, H; Skominas, R; Scheffran, J</t>
  </si>
  <si>
    <t>Fang, Xiangzi; Ghazali, Samane; Azadi, Hossein; Skominas, Rytis; Scheffran, Juergen</t>
  </si>
  <si>
    <t>Agricultural land conversion and ecosystem services loss: a meta-analysis</t>
  </si>
  <si>
    <t>ENVIRONMENT DEVELOPMENT AND SUSTAINABILITY</t>
  </si>
  <si>
    <t>Air pollution; Climate change; Economic development process; Land use; Soil erosion; Spatiotemporal effects</t>
  </si>
  <si>
    <t>USE/LAND-COVER DYNAMICS; ENVIRONMENTAL SCIENCE; URBAN EXPANSION; IMPACTS; CHINA; URBANIZATION; BIODIVERSITY; LANDSCAPE; SCENARIOS; MODEL</t>
  </si>
  <si>
    <t>This study aimed at investigating the harm from ecosystem services (ESs) according to agricultural land conversion (ALC) by using meta-analysis. The results of meta-regression showed that spatiotemporal effects had significant influences on some ES losses, and the maximum spatial impacts were relevant to Asia and Europe. Moreover, the results of ALC rate coefficients in meta-regression indicated that three large losses of ES were related to soil erosion (0.314), air pollution (0.202), and climate change (0.161). Therefore, the ALC should be done at a suitable conversion rate to reduce ES losses. Accordingly, administrators are suggested to consider careful research planning for the ALC in the process of economic development. Other strategies highlighted the importance of ALC-ES interactions for human well-being, such as measuring the pricing of goods and services based on land resources, continuously monitoring illegal ALC, and imposing taxes on unplanned ALC.</t>
  </si>
  <si>
    <t>[Fang, Xiangzi] Belarusian State Univ, Int Sakharov Environm Inst, Minsk 220070, BELARUS; [Ghazali, Samane] Shiraz Univ, Agr Econ, Shiraz, Iran; [Scheffran, Juergen] Univ Hamburg, Inst Geog, Res Grp Climate Change &amp; Secur, Hamburg, Germany; [Skominas, Rytis] Vytautas Magnus Univ, Bioecon Res Inst, LT-44248 Kaunas, Lithuania; [Azadi, Hossein] Univ Liege, Gembloux Agrobio Tech, Dept Econ &amp; Rural Dev, Gembloux, Belgium; [Azadi, Hossein] Czech Univ Life Sci Prague, Fac Environm Sci, Prague, Czech Republic; [Azadi, Hossein] Babes Bolyai Univ, Fac Environm Sci &amp; Engn, Cluj Napoca, Romania</t>
  </si>
  <si>
    <t>Belarusian State University; Shiraz University; University of Hamburg; Vytautas Magnus University; University of Liege; Czech University of Life Sciences Prague; Babes Bolyai University from Cluj</t>
  </si>
  <si>
    <t>Fang, XZ (corresponding author), Belarusian State Univ, Int Sakharov Environm Inst, Minsk 220070, BELARUS.</t>
  </si>
  <si>
    <t>fangxz7688@gmail.com</t>
  </si>
  <si>
    <t>1387-585X</t>
  </si>
  <si>
    <t>1573-2975</t>
  </si>
  <si>
    <t>ENVIRON DEV SUSTAIN</t>
  </si>
  <si>
    <t>Environ. Dev. Sustain.</t>
  </si>
  <si>
    <t>10.1007/s10668-023-03597</t>
  </si>
  <si>
    <t>Green &amp; Sustainable Science &amp; Technology; Environmental Sciences</t>
  </si>
  <si>
    <t>Science &amp; Technology - Other Topics; Environmental Sciences &amp; Ecology</t>
  </si>
  <si>
    <t>Q9CR0</t>
  </si>
  <si>
    <t>WOS:001060429300001</t>
  </si>
  <si>
    <t>Grajzl, P; Murrell, P</t>
  </si>
  <si>
    <t>Grajzl, Peter; Murrell, Peter</t>
  </si>
  <si>
    <t>Quiet revolutions in early-modern England</t>
  </si>
  <si>
    <t>PUBLIC CHOICE</t>
  </si>
  <si>
    <t>Quiet revolutions; Text-as-data; Machine-learning; Time series; Caselaw; Culture; Early-modern England; C80; C22; K00; Z10; N43; P10</t>
  </si>
  <si>
    <t>INSTITUTIONS; EVOLUTION; CULTURE</t>
  </si>
  <si>
    <t>Revolutions are invariably viewed as the violent replacement of an existing political order. However, many social innovations that result in fundamental institutional and cultural shifts do not occur via force nor have clear beginning and ending dates. Focusing on early-modern England, we provide the first-ever quantitative inquiry into such quiet revolutions. Using existing topic model estimates that leverage caselaw and print-culture corpora, we construct annual time series of attention to 100 legal and 110 cultural ideas between the mid-sixteenth and mid-eighteenth centuries. We estimate the timing of structural breaks in these series. Quiet revolutions begin when there are concurrent upturns in attention to several related topics. Early-modern England featured several quiet, but profound, revolutionary episodes. The financial revolution began by 1660. The Protectorate saw a revolution in land law. A revolution in caselaw relating to families was underway by the early eighteenth century. Elizabethan times saw an increased emphasis on basic skills and showed signs of a Puritan revolution affecting both theology and ideas on institutions. In the decade before the Civil War, a quiet revolution of dissent preceded the turmoil that led to a king's beheading.</t>
  </si>
  <si>
    <t>[Grajzl, Peter] Washington &amp; Lee Univ, Williams Sch Commerce Econ &amp; Polit, Dept Econ, Lexington, VA 24450 USA; [Grajzl, Peter] CESifo, Munich, Germany; [Murrell, Peter] Univ Maryland, Dept Econ, College Pk, MD 20742 USA</t>
  </si>
  <si>
    <t>Washington &amp; Lee University; Ifo Institut; University System of Maryland; University of Maryland College Park</t>
  </si>
  <si>
    <t>Murrell, P (corresponding author), Univ Maryland, Dept Econ, College Pk, MD 20742 USA.</t>
  </si>
  <si>
    <t>grajzlp@wlu.edu; pmurrell@umd.edu</t>
  </si>
  <si>
    <t>We thank Mehrdad Vahabi for support and encouragement, Paul Schaffner for many insights about the TCP project, Joel Mokyr and Mikki Brock for help with sources, and two anonymous reviewers and seminar participants at West Virginia University for valuable c</t>
  </si>
  <si>
    <t>We thank Mehrdad Vahabi for support and encouragement, Paul Schaffner for many insights about the TCP project, Joel Mokyr and Mikki Brock for help with sources, and two anonymous reviewers and seminar participants at West Virginia University for valuable comments.</t>
  </si>
  <si>
    <t>0048-5829</t>
  </si>
  <si>
    <t>1573-7101</t>
  </si>
  <si>
    <t>Public Choice</t>
  </si>
  <si>
    <t>10.1007/s11127-023-01093-6</t>
  </si>
  <si>
    <t>Economics; Political Science</t>
  </si>
  <si>
    <t>Q8LK3</t>
  </si>
  <si>
    <t>WOS:001059980000002</t>
  </si>
  <si>
    <t>Plotkin-Amrami, G; Fried, T</t>
  </si>
  <si>
    <t>Plotkin-Amrami, Galia; Fried, Talia</t>
  </si>
  <si>
    <t>Sensitive Child, Disturbed Kid: Stigma, Medicalization, and the Interpretive Work of Israeli Mothers of Children with ADHD</t>
  </si>
  <si>
    <t>CULTURE MEDICINE AND PSYCHIATRY</t>
  </si>
  <si>
    <t>Attention-deficit/hyperactivity disorder (ADHD); Stigma; Medicalization; Mothers; Children; Israel</t>
  </si>
  <si>
    <t>ATTENTION DEFICIT/HYPERACTIVITY DISORDER; DEFICIT HYPERACTIVITY DISORDER; PARENTS; KNOWLEDGE; EXPERIENCES; EVOLUTION; EXPANSION; AUTISM</t>
  </si>
  <si>
    <t>Attention-deficit/hyperactivity disorder (ADHD) is a rapidly globalizing medical category, and there is a need to attend to the on the-ground processes through which laypeople deploy the ADHD label in different local contexts. Based on in-depth interviews with Israeli mothers of children with ADHD, this article explores how mothers, as lay actors in the social field of diagnosis, interpreted the origins and meanings of their child's 'troubles'. The temporal perspective on mothers' meaning-making processes revealed a progression of four common phases through which mothers revisited their understanding of ADHD, and recast their own responsibilities and moral roles. We found that mothers' self-understanding was crucially impacted by the invisibility of the disability and the fact that diagnosis did not fully relieve them from blame for their children's stigmatizing behavior. While not all mothers accepted the validity of the diagnosis, participating in the medicalization of their child's condition allowed them to reach similar pragmatic and narrative goals. We discuss the cultural and institutional features of the Israeli ADHD landscape that shape mothers' narratives of their children, and their relations with expertise. We point to a culturally unique framing of children with ADHD in Israel as those characterized by emotional vulnerability and risk of social exclusion.</t>
  </si>
  <si>
    <t>[Plotkin-Amrami, Galia; Fried, Talia] Bengurion Univ Negev, Sch Educ, Beer Sheva, Israel</t>
  </si>
  <si>
    <t>Ben Gurion University</t>
  </si>
  <si>
    <t>Plotkin-Amrami, G (corresponding author), Bengurion Univ Negev, Sch Educ, Beer Sheva, Israel.</t>
  </si>
  <si>
    <t>plotking@bgu.ac.il; frita@post.bgu.ac.il</t>
  </si>
  <si>
    <t>Fried, Talia/0000-0002-8977-7419; Plotkin - Amrami, Galia/0000-0003-3523-001X</t>
  </si>
  <si>
    <t>The authors wish to thank Yam Umansky for her participation in the interviewing process, and the mothers who volunteered to be interviewed. We also thank anonymous reviewers for their careful reading and thoughtful and important comments to this article.</t>
  </si>
  <si>
    <t>0165-005X</t>
  </si>
  <si>
    <t>1573-076X</t>
  </si>
  <si>
    <t>CULT MED PSYCHIAT</t>
  </si>
  <si>
    <t>Cult. Med. Psychiatr.</t>
  </si>
  <si>
    <t>10.1007/s11013-023-09831-7</t>
  </si>
  <si>
    <t>Anthropology; Psychiatry; Social Sciences, Biomedical</t>
  </si>
  <si>
    <t>Anthropology; Psychiatry; Biomedical Social Sciences</t>
  </si>
  <si>
    <t>Q8NC5</t>
  </si>
  <si>
    <t>WOS:001060024300001</t>
  </si>
  <si>
    <t>Bastian, MB; Nadjiri, J; Wessendorf, J; Scheschenja, M; Konig, AM; Jedelska, J; Mahnken, AH</t>
  </si>
  <si>
    <t>Bastian, Moritz B.; Nadjiri, Jonathan; Wessendorf, Joel; Scheschenja, Michael; Konig, Alexander M.; Jedelska, Jarmila; Mahnken, Andreas H.</t>
  </si>
  <si>
    <t>Safety and efficacy of interventional treatment of acute limb ischemia in Germany 2021</t>
  </si>
  <si>
    <t>CVIR ENDOVASCULAR</t>
  </si>
  <si>
    <t>Lower limb ischemia; Mechanical thrombectomy; Pharmacological thrombolysis; Arterial thrombosis; Embolism</t>
  </si>
  <si>
    <t>HEMORRHAGIC COMPLICATIONS; GUIDELINES</t>
  </si>
  <si>
    <t>Purpose Interventional procedures have become a mainstay in the therapy of acute limb ischemia caused by embolism or arterial thrombosis. Treatment options include pharmacological thrombolysis (PT) and mechanical thrombectomy (MT). The aim of this study was to evaluate success and major complication rates of interventional radiological treatments of arterial embolism and thrombosis in Germany in 2021 and to compare their results with accepted international quality standards.Materials and methods Data for PT and MT for 2021 was obtained from the quality management system of the German interventional radiological society (DeGIR). 2431 PT and 1582 MT procedures were documented for 2021, with 459 combinations of PT and MT. Data was analysed for technical and clinical success rates, as well as major complication rates such as intracranial bleeding, major bleeding, distal embolization, aneurysm formation, organ-failure and cardiac-decompensation.Results PT alone had technical and clinical success rate of 90.21% and 81.08%, respectively. MT alone had technical and clinical success rates of 97.41% and 95.39%, respectively. MT &amp; PT had technical and clinical success rates of 91.07% and 84.75%, respectively. Major complications were: distal embolization (PT:2.02%; MT:1.74%; PT &amp; MT:2.61%), major bleeding (PT:0.94%; MT:1.14%; PT &amp; MT:0.87%), aneurysm formation (PT:0.33%;MT: 1.14%;PT &amp; MT: 0%), intracranial bleeding (PT:0.16%;MT:0%;PT &amp; MT:0.22%), cardiac-decompensation (PT:0.21%;MT: 0.06%;PT &amp; MT:0%) and organ-failure (PT:0%;MT:0.06%;PT &amp; MT:0.22%). Technical and clinical success rates were higher, while complication rates were lower than the corresponding threshold recommended by the Society of Interventional Radiology for percutaneous management of acute lower -extremity ischemia.Conclusion Treatment of arterial embolism and thrombosis performed by interventional radiologists in Germany is effective and safe with outcomes exceeding internationally accepted standards.</t>
  </si>
  <si>
    <t>[Bastian, Moritz B.; Wessendorf, Joel; Scheschenja, Michael; Konig, Alexander M.; Jedelska, Jarmila; Mahnken, Andreas H.] Philipps Univ Marburg, Radiol Univ Hosp Marburg, Dept Diagnost &amp; Intervent, Baldingerstr 1, D-35043 Marburg, DE, Germany; [Nadjiri, Jonathan] Tech Univ Munich, Dept Intervent Radiol, Klinikum rechts Isar, Munich, DE, Germany</t>
  </si>
  <si>
    <t>Philipps University Marburg; Technical University of Munich</t>
  </si>
  <si>
    <t>Bastian, MB (corresponding author), Philipps Univ Marburg, Radiol Univ Hosp Marburg, Dept Diagnost &amp; Intervent, Baldingerstr 1, D-35043 Marburg, DE, Germany.</t>
  </si>
  <si>
    <t>bmoritz@rocketmail.com</t>
  </si>
  <si>
    <t>2520-8934</t>
  </si>
  <si>
    <t>CVIR ENDOVASC</t>
  </si>
  <si>
    <t>CVIR Endovasc.</t>
  </si>
  <si>
    <t>AUG 26</t>
  </si>
  <si>
    <t>10.1186/s42155-023-00393-8</t>
  </si>
  <si>
    <t>Cardiac &amp; Cardiovascular Systems; Radiology, Nuclear Medicine &amp; Medical Imaging; Peripheral Vascular Disease</t>
  </si>
  <si>
    <t>Q0UB5</t>
  </si>
  <si>
    <t>WOS:001054741700001</t>
  </si>
  <si>
    <t>Choi, J; Kim, B; Lee, HS</t>
  </si>
  <si>
    <t>Choi, Jeongsub; Kim, Byunghoon; Lee, Ho-shin</t>
  </si>
  <si>
    <t>Competitor identification with memory in a dynamic financial transaction network</t>
  </si>
  <si>
    <t>ANNALS OF OPERATIONS RESEARCH</t>
  </si>
  <si>
    <t>Competitive analysis; Competitor identification; Financial transaction; Dynamic network; Multimarket competition</t>
  </si>
  <si>
    <t>MULTIMARKET CONTACT; MANAGERIAL IDENTIFICATION; STRATEGIC GROUPS; PERSPECTIVE; KNOWLEDGE; REVIEWS; RIVALRY</t>
  </si>
  <si>
    <t>Competitor identification (CI) is an essential step in establishing an effective competitive business strategy. For complex business environments, network-based CI methods have been studied in the literature, aiming to shed light on the blind spots in managers' radars. Typically, CI is based on networks without temporal information, despite the dynamic changes in business environments. Alternatively, the temporal information is considered in CI by simply accumulating the intensities of synchronous interfirm competition evaluated over time. As a result, competitors' actions in the past are overlooked in evaluations of interfirm competition, although such actions remain in managers' memories. In this study, we propose a new method for CI incorporating memories of the past transactions of competitors in a dynamic network. The proposed method measures the interfirm competition between firms based on their resource similarity and market commonality in a dynamic financial transaction network. The proposed method facilitates capturing the asynchronous competition from suppliers and demanders taken by competitors. We evaluate the proposed method on a toy network and on a case of interfirm transactions in Korea from 2011 to 2014. The results show that the temporal information in dynamic networks and memory about past transactions improves the predictive accuracy in CI with the proposed method.</t>
  </si>
  <si>
    <t>[Choi, Jeongsub] West Virginia Univ, Dept Management Informat Syst, Morgantown, WV USA; [Kim, Byunghoon] Hanyang Univ, Dept Ind &amp; Management Engn, Ansan, South Korea; [Lee, Ho-shin] Korea Inst Sci &amp; Technol Informat, Data Anal Div, Seoul, South Korea</t>
  </si>
  <si>
    <t>West Virginia University; Hanyang University; Korea Institute of Science &amp; Technology Information (KISTI)</t>
  </si>
  <si>
    <t>Kim, B (corresponding author), Hanyang Univ, Dept Ind &amp; Management Engn, Ansan, South Korea.</t>
  </si>
  <si>
    <t>byungkim@hanyang.ac.kr</t>
  </si>
  <si>
    <t>Kim, Byunghoon/0000-0002-4377-2292</t>
  </si>
  <si>
    <t>Super Computing System (Thorny Flat) at West Virginia University; National Science Foundation Major Research Instrumentation Program [1726534]; National Research Foundation of Korea [NRF 2022R1F1A1063273]</t>
  </si>
  <si>
    <t>Super Computing System (Thorny Flat) at West Virginia University; National Science Foundation Major Research Instrumentation Program(National Science Foundation (NSF)NSF - Directorate for Mathematical &amp; Physical Sciences (MPS)); National Research Foundation of Korea(National Research Foundation of Korea)</t>
  </si>
  <si>
    <t>The computation for this study was supported in part by the Super Computing System (Thorny Flat) at West Virginia University, which is funded in part by the National Science Foundation Major Research Instrumentation Program Award #1726534. Also, this work was supported by the National Research Foundation of Korea under Grant NRF 2022R1F1A1063273. Also, the authors greatly appreciate valuable and constructive comments of anonymous reviewers.</t>
  </si>
  <si>
    <t>0254-5330</t>
  </si>
  <si>
    <t>1572-9338</t>
  </si>
  <si>
    <t>ANN OPER RES</t>
  </si>
  <si>
    <t>Ann. Oper. Res.</t>
  </si>
  <si>
    <t>2023 AUG 26</t>
  </si>
  <si>
    <t>10.1007/s10479-023-05552-7</t>
  </si>
  <si>
    <t>Operations Research &amp; Management Science</t>
  </si>
  <si>
    <t>Q8KV1</t>
  </si>
  <si>
    <t>WOS:001059964800001</t>
  </si>
  <si>
    <t>Goldhaber, NH; O'Keefe, T; Kang, J; Douglas, S; Blair, SL</t>
  </si>
  <si>
    <t>Goldhaber, Nicole H.; O'Keefe, Thomas; Kang, Jessica; Douglas, Sasha; Blair, Sarah L.</t>
  </si>
  <si>
    <t>ASO Visual Abstract: Is Choosing Wisely Wise for Lobular Carcinoma in Patients Over 70? A National Cancer Database (NCDB) Analysis of Sentinel Node Practice Patterns</t>
  </si>
  <si>
    <t>[Goldhaber, Nicole H.; O'Keefe, Thomas; Douglas, Sasha; Blair, Sarah L.] Univ Calif San Diego Hlth, Moores Canc Ctr, Dept Surg, San Diego, CA 92093 USA; [Kang, Jessica] Univ Calif San Diego, Sch Med, San Diego, CA USA</t>
  </si>
  <si>
    <t>University of California System; University of California San Diego; University of California System; University of California San Diego</t>
  </si>
  <si>
    <t>Blair, SL (corresponding author), Univ Calif San Diego Hlth, Moores Canc Ctr, Dept Surg, San Diego, CA 92093 USA.</t>
  </si>
  <si>
    <t>slblair@health.ucsd.edu</t>
  </si>
  <si>
    <t>Goldhaber, Nicole/0000-0002-3847-3634</t>
  </si>
  <si>
    <t>10.1245/s10434-023-13992-5</t>
  </si>
  <si>
    <t>R5KX2</t>
  </si>
  <si>
    <t>WOS:001064749900001</t>
  </si>
  <si>
    <t>Gubenko, SI; Parusov, EV</t>
  </si>
  <si>
    <t>Gubenko, S. I.; Parusov, E. V.</t>
  </si>
  <si>
    <t>Influence of Eutectic-Type Inclusions on the Red Brittleness of Steels</t>
  </si>
  <si>
    <t>MATERIALS SCIENCE</t>
  </si>
  <si>
    <t>steel; deformation; non-metallic inclusions; cracks; cavities; inclusion-matrix interphase boundaries; red brittleness</t>
  </si>
  <si>
    <t>The behavior of heterophase of the eutectic type inclusions (ETI) under different conditions of plastic deformation of industrial steels is studied. It is established that metal near inclusions damages with the formation of cracks and deformational cavitites caused by their melting. The melting temperatures of different ETI, as well as the temperature intervals for the formation of microdamages of various types during their deformation, were established. The melting of eutectic inclusions at the initial stages of deformation causes a sharp growth of cracks and cavities in steels, which promotes their red brittleness.</t>
  </si>
  <si>
    <t>[Gubenko, S. I.; Parusov, E. V.] Natl Acad Sci, Nekrasov Iron &amp; Steel Inst, Dnipro, Ukraine; [Gubenko, S. I.] Minist Educ &amp; Sci, Prydniprovska State Acad Civil Engn &amp; Architecture, Dnipro, Ukraine</t>
  </si>
  <si>
    <t>National Academy of Sciences Ukraine; Ministry of Education &amp; Science of Ukraine; Prydniprovska State Academy of Civil Engineering &amp; Architecture</t>
  </si>
  <si>
    <t>Gubenko, SI (corresponding author), Natl Acad Sci, Nekrasov Iron &amp; Steel Inst, Dnipro, Ukraine.;Gubenko, SI (corresponding author), Minist Educ &amp; Sci, Prydniprovska State Acad Civil Engn &amp; Architecture, Dnipro, Ukraine.</t>
  </si>
  <si>
    <t>sigubenko@gmail.com</t>
  </si>
  <si>
    <t>1068-820X</t>
  </si>
  <si>
    <t>1573-885X</t>
  </si>
  <si>
    <t>MATER SCI+</t>
  </si>
  <si>
    <t>Mater. Sci.</t>
  </si>
  <si>
    <t>10.1007/s11003-023-00723-0</t>
  </si>
  <si>
    <t>Q8XC6</t>
  </si>
  <si>
    <t>WOS:001060284500009</t>
  </si>
  <si>
    <t>Hidalgo, SG; Kim, JJ; Tein, JY; Gonzales, NA</t>
  </si>
  <si>
    <t>Hidalgo, Sarah G.; Kim, Joanna J.; Tein, Jenn-Yun; Gonzales, Nancy A.</t>
  </si>
  <si>
    <t>Are Discrepancies Between Father and Adolescent Perceptions of Harsh Parenting and Conflict Associated with Adolescent Mental Health Symptoms?</t>
  </si>
  <si>
    <t>JOURNAL OF YOUTH AND ADOLESCENCE</t>
  </si>
  <si>
    <t>Parent-adolescent discrepancy; Harsh parenting; Parent-adolescent conflict; Fathers</t>
  </si>
  <si>
    <t>INTERNALIZING BEHAVIORS; INFORMANT DISCREPANCIES; CHILD DISCREPANCIES; MULTIPLE INFORMANTS; RISK-TAKING; SELF-ESTEEM; GENDER; PSYCHOPATHOLOGY; AGREEMENT; FAMILIES</t>
  </si>
  <si>
    <t>Though differences in informant perceptions of family processes are associated with poorer health, few studies have examined discrepancies between father- and adolescent-report of family phenomena and their impact on adolescent mental health. This study examined how father and adolescent-reported parenting and the differences in their perceptions is related to adolescent mental health. Participants were 326 father-adolescent dyads (Fathers: Mage = 41.2; Adolescents: 7th grade students, Mage = 12.0, 48.5% female). Overall, analyses revealed significant main effects of father and/or adolescent report of father-adolescent conflict and harsh parenting on adolescent internalizing and externalizing symptoms. Analyses revealed two instances in which discrepancies between father- and adolescent-report of family phenomena was related to adolescent mental health. Given the mixed nature of the findings based on the outcome reporter, the current study discusses implications for discrepancy research and future directions to better understand discrepant perceptions as useful information on their own. The parent clinical trial is registered at ClinicalTrials.gov (Identifier: NCT03125291, Registration date: 4/13/2017).</t>
  </si>
  <si>
    <t>[Hidalgo, Sarah G.; Kim, Joanna J.; Tein, Jenn-Yun; Gonzales, Nancy A.] Arizona State Univ, Dept Psychol, 900 S McAllister Ave, Tempe, AZ 85281 USA</t>
  </si>
  <si>
    <t>Arizona State University; Arizona State University-Tempe</t>
  </si>
  <si>
    <t>Kim, JJ (corresponding author), Arizona State Univ, Dept Psychol, 900 S McAllister Ave, Tempe, AZ 85281 USA.</t>
  </si>
  <si>
    <t>jjkim32@asu.edu</t>
  </si>
  <si>
    <t>National Institutes of Health [R01 DA035855, T32 DA039772, K01 DA055118]</t>
  </si>
  <si>
    <t>This study was funded by the National Institutes of Health (R01 DA035855, T32 DA039772, K01 DA055118).</t>
  </si>
  <si>
    <t>0047-2891</t>
  </si>
  <si>
    <t>1573-6601</t>
  </si>
  <si>
    <t>J YOUTH ADOLESCENCE</t>
  </si>
  <si>
    <t>J. Youth Adolesc.</t>
  </si>
  <si>
    <t>10.1007/s10964-023-01842-2</t>
  </si>
  <si>
    <t>Q8XB7</t>
  </si>
  <si>
    <t>WOS:001060283600001</t>
  </si>
  <si>
    <t>Lachmann, T; Bergstrom, K</t>
  </si>
  <si>
    <t>Lachmann, Thomas; Bergstroem, Kirstin</t>
  </si>
  <si>
    <t>Developmental dyslexia and culture: the impact of writing system and orthography</t>
  </si>
  <si>
    <t>JOURNAL OF CULTURAL COGNITIVE SCIENCE</t>
  </si>
  <si>
    <t>Alphabetic; Syllabic; Logographic; Writing; Environmental factors; Second language</t>
  </si>
  <si>
    <t>Developmental dyslexia is recognized worldwide. However, there are cultural differences between countries in dyslexia-related issues, including assessment practices and intervention. Language and orthography are essential cultural factors that influence both literacy acquisition and the possible manifestation of developmental dyslexia. These differences in orthographies impose different culturally specific demands on cognitive processes involved in reading acquisition and performance. This special issue focuses on the current research on different writing systems and orthographies and on the theoretical perspectives arising from findings from different orthographies. Thereby, the impact of writing systems and orthographies (e.g., English, Italian, Japanese, Portuguese, Chinese, Bahasa Melayu/Malaysian and braille script) on unimpaired and impaired reading acquisition is considered with regard to the following literacy-relevant issues: (1) the assessment of reading skills and reading-relevant cognitive functions, (2) neurobiological findings and (3) intervention. The findings and theoretical perspectives are discussed within the Multiple-level Framework of Developmental Dyslexia, which is described in detail in a contribution of the special issue.</t>
  </si>
  <si>
    <t>[Lachmann, Thomas; Bergstroem, Kirstin] Univ Kaiserslautern Landau RPTU, Ctr Cognit Sci, Cognit &amp; Dev Psychol Unit, Kaiserslautern, Germany; [Lachmann, Thomas] Univ Nebrija, Ctr Invest Nebrija Cogn CINC, Madrid, Spain</t>
  </si>
  <si>
    <t>Universidad Antonio de Nebrija</t>
  </si>
  <si>
    <t>Lachmann, T (corresponding author), Univ Nebrija, Ctr Invest Nebrija Cogn CINC, Madrid, Spain.</t>
  </si>
  <si>
    <t>lachmann@rptu.de; k.bergstroem@rptu.de</t>
  </si>
  <si>
    <t>The authors would like to thank Christopher Allison for valuable comments and remarks.</t>
  </si>
  <si>
    <t>2520-100X</t>
  </si>
  <si>
    <t>2520-1018</t>
  </si>
  <si>
    <t>J CULT COGN SCI</t>
  </si>
  <si>
    <t>J. Cult. Cogn. Sci.</t>
  </si>
  <si>
    <t>10.1007/s41809-023-00129</t>
  </si>
  <si>
    <t>S2MT7</t>
  </si>
  <si>
    <t>WOS:001069569700001</t>
  </si>
  <si>
    <t>Li, SF; Huang, A; Yang, S; Gu, HZ</t>
  </si>
  <si>
    <t>Li, Shaofei; Huang, Ao; Yang, Shuang; Gu, Huazhi</t>
  </si>
  <si>
    <t>Reduction behavior and microstructure evolution of iron oxides under hydrogen atmosphere</t>
  </si>
  <si>
    <t>Hydrogen metallurgy; Reduction behavior; Microstructure evolution; Magnetite; Hematite</t>
  </si>
  <si>
    <t>GASEOUS REDUCTION; STICKING BEHAVIOR; KINETICS; H-2; PARTICLES; MECHANISM; FURNACE; WUSTITE</t>
  </si>
  <si>
    <t>Owing to the importance of hydrogen metallurgy for the low-carbon and green iron and steel industries, the reduction behavior and microstructure evolution of two iron oxides (hematite and magnetite) at various temperatures were investigated in a pure hydrogen environment (99.999%). The weight loss ratio, total oxygen content, reduction degree, and phase composition of the iron oxides were also discussed. The hematite shows a better reducibility compared to magnetite. It is indicated that hematite and magnetite transform into iron metal with total oxygen contents below 6790 and 25,200 ppm, respectively, when the reduction temperature exceeds 800 &amp; DEG;C. Simultaneously, a porous iron skeleton was formed at 800 &amp; DEG;C, and the densification of the porous iron occurred with increasing temperature. The impurities in iron oxides significantly affect the microstructure evolution, weight loss ratio, and total oxygen content.</t>
  </si>
  <si>
    <t>[Li, Shaofei; Huang, Ao; Yang, Shuang; Gu, Huazhi] Wuhan Univ Sci &amp; Technol, State Key Lab Refractories &amp; Met, Wuhan 430081, Hubei, Peoples R China</t>
  </si>
  <si>
    <t>Wuhan University of Science &amp; Technology</t>
  </si>
  <si>
    <t>Yang, S; Gu, HZ (corresponding author), Wuhan Univ Sci &amp; Technol, State Key Lab Refractories &amp; Met, Wuhan 430081, Hubei, Peoples R China.</t>
  </si>
  <si>
    <t>shuang_yang@yeah.net; guhuazhi@163.com</t>
  </si>
  <si>
    <t>Li, Shaofei/JFB-2113-2023</t>
  </si>
  <si>
    <t>Li, Shaofei/0000-0002-4335-5931</t>
  </si>
  <si>
    <t>Special Project of Central Government for Local Science and Technology Development of Hubei Province [2019ZYYD076]; National Key Ramp;D Program of China [2017YFB0310701]</t>
  </si>
  <si>
    <t>Special Project of Central Government for Local Science and Technology Development of Hubei Province; National Key Ramp;D Program of China</t>
  </si>
  <si>
    <t>&amp; nbsp;This work was financially supported by the Special Project of Central Government for Local Science and Technology Development of Hubei Province (2019ZYYD076) and National Key R &amp; amp;D Program of China (Grant No. 2017YFB0310701).</t>
  </si>
  <si>
    <t>10.1007/s41779-023-00938</t>
  </si>
  <si>
    <t>Q8WZ3</t>
  </si>
  <si>
    <t>WOS:001060281200001</t>
  </si>
  <si>
    <t>Mao, HM; Huang, SG; Yang, Y; Cai, TN; Fang, L; Guo, WL</t>
  </si>
  <si>
    <t>Mao, Hui-min; Huang, Shun-gen; Yang, Yang; Cai, Tian-na; Fang, Lin; Guo, Wan-liang</t>
  </si>
  <si>
    <t>Clinical presentations and outcomes of pancreaticobiliary maljunction in different pediatric age groups</t>
  </si>
  <si>
    <t>Age; Children; Clinical presentation; Outcomes; Pancreaticobiliary maljunction</t>
  </si>
  <si>
    <t>CHOLEDOCHAL CYSTS; DIAGNOSTIC-CRITERIA; CHILDREN</t>
  </si>
  <si>
    <t>Background Pancreaticobiliary maljunction (PBM) is a congenital defect, with risk of developing various pancreaticobiliary and hepatic complications. The presentations of PBM in children and adults are believed to be different, but studies on PBM children of different age groups are limited. This study was to evaluate clinicopathologic characteristics and outcomes in PBM children of different ages.Methods A total of 166 pediatric patients with PBM were reviewed retrospectively. Clinicopathological, imaging, laboratory, surgical, and follow-up data were collected and analyzed. The patients were divided into three age groups, namely, group A (&lt; 1 year, n = 31), group B (1-3 years, n = 63), and group C (&gt; 3 years, n = 72).Results The major clinical manifestation was jaundice in group A and abdominal pain and vomiting in groups B and C. Acute pancreatitis was more often seen in group C than group A. The length of common channel was significantly longer in group C than group A, while the maximum diameter of common bile duct in group C was smaller than that in group A. Cholangitis and cholecystitis were more commonly performed in groups B and C, while hepatic fibrosis in group A. Whether preoperatively or postoperatively, group C was more likely to have elevated serum amylase, while groups A and B were more likely to present with abnormal liver function indicators, including the increase of aspartate transaminase, alanine transaminase, and gamma-glutamyl transpeptidase.Conclusion Presentation of PBM varies among different pediatric age groups, thus suggesting that targeted management should be carried out according to these differences.</t>
  </si>
  <si>
    <t>[Mao, Hui-min; Yang, Yang; Cai, Tian-na; Fang, Lin; Guo, Wan-liang] Childrens Hosp Soochow Univ, Dept Radiol, 92 Zhongnan St, Suzhou, Peoples R China; [Huang, Shun-gen] Childrens Hosp Soochow Univ, Pediat Surg, Suzhou, Peoples R China</t>
  </si>
  <si>
    <t>Fang, L; Guo, WL (corresponding author), Childrens Hosp Soochow Univ, Dept Radiol, 92 Zhongnan St, Suzhou, Peoples R China.</t>
  </si>
  <si>
    <t>cowboy086@139.com; gwlsuzhou@163.com</t>
  </si>
  <si>
    <t>We would like to acknowledge Dr. Ying Zhan for his valuable advice and guidance on this study.</t>
  </si>
  <si>
    <t>10.1186/s12887-023-04248-y</t>
  </si>
  <si>
    <t>Q0UN6</t>
  </si>
  <si>
    <t>WOS:001054753800001</t>
  </si>
  <si>
    <t>Ming, RC; Liu, XX; Li, Y; Yin, Y; Zhang, WG</t>
  </si>
  <si>
    <t>Ming, Ruichen; Liu, Xiaoxiong; Li, Yu; Yin, Yi; Zhang, WeiGuo</t>
  </si>
  <si>
    <t>Morphing aircraft acceleration and deceleration task morphing strategy using a reinforcement learning method</t>
  </si>
  <si>
    <t>Morphing aircraft; Morphing strategy; Incremental backstepping; Reinforcement learning; Generalization ability</t>
  </si>
  <si>
    <t>OPTIMIZATION; UAV</t>
  </si>
  <si>
    <t>This paper proposes a design scheme for a whole morphing strategy based on the reinforcement learning (RL) method. A novel morphing aircraft is designed, and its nonlinear dynamic equations are established based on the calculated aerodynamic data. Further, a soft actor critic (SAC) approach is utilized to design the scheme, whose structure consists of the environment, the agent, and the reward function. In the environment design part, the incremental backstepping approach is employed to design the morphing aircraft controller. The safety and feasibility of deployment are verified. In the agent design part, in addition to using the entropy regularization RL algorithm, the generalization ability of the agent is enhanced in three ways: adding environmental noise, adding control command randomness, and adding output momentum terms. For the reward function, a structure with dynamic and steady-state performance is designed to accurately describe the aircraft dynamics. Finally, the designed SAC strategy is verified under the acceleration and deceleration tasks and compared with a GA and PPO strategy. Simulation results validate the effectiveness and superiority of the designed SAC scheme.</t>
  </si>
  <si>
    <t>[Ming, Ruichen; Liu, Xiaoxiong; Li, Yu; Yin, Yi; Zhang, WeiGuo] Northwestern Polytech Univ, Xian, Shaanxi, Peoples R China</t>
  </si>
  <si>
    <t>Northwestern Polytechnical University</t>
  </si>
  <si>
    <t>Liu, XX (corresponding author), Northwestern Polytech Univ, Xian, Shaanxi, Peoples R China.</t>
  </si>
  <si>
    <t>nwpulxx@outlook.com</t>
  </si>
  <si>
    <t>National Natural Science Foundation of China [62073266]; Aeronautical Science Foundation of China [201905053003]</t>
  </si>
  <si>
    <t>National Natural Science Foundation of China(National Natural Science Foundation of China (NSFC)); Aeronautical Science Foundation of China</t>
  </si>
  <si>
    <t>The authors would like to express their gratitude to the Shaanxi Province Key Laboratory of Flight Control and Simulation Technology for supporting this research. This research work is funded by the National Natural Science Foundation of China (No. 62073266) and the Aeronautical Science Foundation of China (No. 201905053003).</t>
  </si>
  <si>
    <t>10.1007/s10489-023-04876</t>
  </si>
  <si>
    <t>Q8UN8</t>
  </si>
  <si>
    <t>WOS:001060217700002</t>
  </si>
  <si>
    <t>Moussa, AS; Ashour, AA; Soliman, MI; Taha, HA; Al-Herrawy, AZ; Gad, M</t>
  </si>
  <si>
    <t>Moussa, Ahmed S.; Ashour, Ameen A.; Soliman, Mohammad I.; Taha, Hoda A.; Al-Herrawy, Ahmad Z.; Gad, Mahmoud</t>
  </si>
  <si>
    <t>Fate of Cryptosporidium and Giardia through conventional and compact drinking water treatment plants</t>
  </si>
  <si>
    <t>PARASITOLOGY RESEARCH</t>
  </si>
  <si>
    <t>Enteric protozoa parasites; Drinking water treatment plants; Modern techniques</t>
  </si>
  <si>
    <t>REAL-TIME PCR; PROTOZOAN PARASITES; SURFACE-WATER; TRANSMISSION; OUTBREAKS; EGYPT; SPP.</t>
  </si>
  <si>
    <t>Over the past three decades, a notable rise in the occurrence of enteric protozoan pathogens, especially Giardia and Crypto-sporidium spp., in drinking water sources has been observed. This rise could be attributed not only to an actual increase in water contamination but also to improvements in detection methods. These waterborne pathogens have played a pivotal role in disease outbreaks and the overall escalation of disease rates in both developed and developing nations worldwide. Conse-quently, the control of waterborne diseases has become a vital component of public health policies and a primary objective of drinking water treatment plants (DWTPs). Limited studies applied real-time PCR (qPCR) and/or immunofluorescence assay (IFA) for monitoring Giardia and Cryptosporidium spp., particularly in developing countries like Egypt. Water sam-ples from two conventional drinking water treatment plants and two compact units (CUs) were analyzed using both IFA and qPCR methods to detect Giardia and Cryptosporidium. Using qPCR and IFA, the conventional DWTPs showed complete removal of Giardia and Cryptosporidium, whereas Mansheyat Alqanater and Niklah CUs achieved only partial removal. Specifically, Cryptosporidium gene copies removal rates were 33.33% and 60% for Mansheyat Alqanater and Niklah CUs, respectively. Niklah CU also removed 50% of Giardia gene copies, but no Giardia gene copies were removed by Mansheyat Alqanater CU. Using IFA, both Mansheyat Alqanater and Niklah CUs showed a similar removal rate of 50% for Giardia cysts. Additionally, Niklah CU achieved a 50% removal of Cryptosporidium oocysts, whereas Mansheyat Alqanater CU did not show any removal of Cryptosporidium oocysts. Conventional DWTPs were more effective than CUs in removing enteric protozoa. The contamination of drinking water by enteric pathogenic protozoa remains a significant issue globally, leading to increased disease rates. Infectious disease surveillance in drinking water is an important epidemiological tool to monitor the health of a population.</t>
  </si>
  <si>
    <t>[Moussa, Ahmed S.] Drinking Water &amp; Wastewater Holding Co, Reference Lab, Cairo, Egypt; [Ashour, Ameen A.; Soliman, Mohammad I.; Taha, Hoda A.] Ain Shams Univ, Fac Sci, Zool Dept, Cairo, Egypt; [Al-Herrawy, Ahmad Z.; Gad, Mahmoud] Natl Res Ctr, Water Pollut Res Dept, Environm Parasitol Lab, Giza 12622, Egypt</t>
  </si>
  <si>
    <t>Egyptian Knowledge Bank (EKB); Ain Shams University; Egyptian Knowledge Bank (EKB); National Research Centre (NRC)</t>
  </si>
  <si>
    <t>Gad, M (corresponding author), Natl Res Ctr, Water Pollut Res Dept, Environm Parasitol Lab, Giza 12622, Egypt.</t>
  </si>
  <si>
    <t>mi.saleh@nrc.sci.eg</t>
  </si>
  <si>
    <t>Science, Technology amp; Innovation Funding Authority (STDF); Egyptian Knowledge Bank (EKB); Holding Company for Drinking Water and Wastewater, Egypt</t>
  </si>
  <si>
    <t>Science, Technology amp; Innovation Funding Authority (STDF)(Science and Technology Development Fund (STDF)); Egyptian Knowledge Bank (EKB); Holding Company for Drinking Water and Wastewater, Egypt</t>
  </si>
  <si>
    <t>&amp; nbsp;Open access funding provided by The Science, Technology &amp; amp; Innovation Funding Authority (STDF) in cooperation with The Egyptian Knowledge Bank (EKB). This study was funded by the Holding Company for Drinking Water and Wastewater, Egypt and performed with technical assistance from Environmental Parasitology Laboratory, Water Pollution Research Department, National Research Centre, Egypt.</t>
  </si>
  <si>
    <t>0932-0113</t>
  </si>
  <si>
    <t>1432-1955</t>
  </si>
  <si>
    <t>PARASITOL RES</t>
  </si>
  <si>
    <t>Parasitol. Res.</t>
  </si>
  <si>
    <t>10.1007/s00436-023-07947-8</t>
  </si>
  <si>
    <t>Parasitology</t>
  </si>
  <si>
    <t>R3UZ6</t>
  </si>
  <si>
    <t>WOS:001063648200001</t>
  </si>
  <si>
    <t>Olson, WK; Maddocks, JH; Dans, PD; Cheatham, TH; Harris, S; Laughton, C; Orozco, M; Pollack, L</t>
  </si>
  <si>
    <t>Olson, Wilma K.; Maddocks, John H.; Dans, Pablo D.; Cheatham, Thomas H.; Harris, Sarah; Laughton, Charlie; Orozco, Modesto; Pollack, Lois</t>
  </si>
  <si>
    <t>An open call for contributions to a special issue of Biophysical Reviews focused on multiscale simulations of DNA from electrons to nucleosomes</t>
  </si>
  <si>
    <t>[Olson, Wilma K.; Maddocks, John H.; Dans, Pablo D.; Cheatham, Thomas H.; Harris, Sarah; Laughton, Charlie; Orozco, Modesto; Pollack, Lois] Rutgers State Univ, Dept Chem &amp; Chem Biol, New Brunswick, NJ 08854 USA</t>
  </si>
  <si>
    <t>Olson, WK (corresponding author), Rutgers State Univ, Dept Chem &amp; Chem Biol, New Brunswick, NJ 08854 USA.</t>
  </si>
  <si>
    <t>wilma.olson@rutgers.edu</t>
  </si>
  <si>
    <t>10.1007/s12551-023-01118</t>
  </si>
  <si>
    <t>R3XB0</t>
  </si>
  <si>
    <t>WOS:001063701600001</t>
  </si>
  <si>
    <t>Sadeghpour, M; Abdolizadeh, A; Yousefi, P; Rastegar-Kashkouli, A; Chitsaz, A</t>
  </si>
  <si>
    <t>Sadeghpour, Majid; Abdolizadeh, Ali; Yousefi, Pourya; Rastegar-Kashkouli, Ali; Chitsaz, Ahmad</t>
  </si>
  <si>
    <t>New Daily Persistent Headache (NDPH): Unraveling the Complexities of Diagnosis, Pathophysiology, and Treatment</t>
  </si>
  <si>
    <t>CURRENT PAIN AND HEADACHE REPORTS</t>
  </si>
  <si>
    <t>NDPH; CDH; Headache; Pathophysiology; Evaluation; Treatment</t>
  </si>
  <si>
    <t>PEDIATRIC HEADACHE; REFRACTORY HEADACHE; CLINICAL-FEATURES; SLEEP DISTURBANCE; ADOLESCENTS; INJECTIONS; MIGRAINE; CHILDREN; ETIOLOGY</t>
  </si>
  <si>
    <t>Purpose of ReviewThe current article aims to provide an overview of new daily persistent headache (NDPH), with a particular emphasis on its pathophysiology, evaluation, and current treatment options.Recent FindingsNDPH is an uncommon and heterogeneous condition associated with various comorbidities and is of great significance due to its prolonged duration and high severity. Variable causes and clinical aspects of NDPH may reflect differences in its underlying pathophysiological mechanisms, including genetics, environmental triggers, neuroinflammation, and brain changes. When assessing a patient with NDPH, potential triggers, past medical history, and differential diagnosis should be carefully considered. Non-pharmacological interventions aimed to improve diet, sleep patterns, and reduce consumption of caffeine and alcohol are recommended for all patients. Nerve blockade and nerve stimulation seem to be more efficacious in children than adults. Antiviral medications and neuroinflammation-targeting treatments may be helpful, particularly, when an infectious disease or severe inflammation is suspected. NDPH patients with concurrent affective disorders may benefit from treatment with serotonin reuptake inhibitors, serotonin/norepinephrine reuptake inhibitors, or benzodiazepines. Cerebrospinal-fluid-lowering medications may be useful for headaches started with a thunderclap or a Valsalva maneuver. Possible treatments for refractory NDPH include intravenous ketamine or lidocaine, onabotulinumtoxinA, and calcitonin gene-related peptide antibodies.SummaryConsidering the variety of NDPH, it is critical to properly screen patients for correct diagnosis. Proper identification of potential mimics may enable precise therapy opportunities, yet there is no gold standard treatment for NDPH. Further well-designed studies are needed to elucidate the underlying mechanisms and develop effective treatment strategies for NDPH.</t>
  </si>
  <si>
    <t>[Sadeghpour, Majid; Yousefi, Pourya; Rastegar-Kashkouli, Ali] Isfahan Univ Med Sci, Sch Med, Esfahan, Iran; [Abdolizadeh, Ali] Ctr Addict &amp; Mental Hlth, Res Imaging Ctr, Multimodal Imaging Grp, Toronto, ON, Canada; [Abdolizadeh, Ali] Univ Toronto, Inst Med Sci, Temerty Fac Med, Toronto, ON, Canada; [Chitsaz, Ahmad] Isfahan Univ Med Sci, Isfahan Neurosci Res Ctr, Dept Neurol, Esfahan, Iran</t>
  </si>
  <si>
    <t>Isfahan University Medical Science; University of Toronto; Centre for Addiction &amp; Mental Health - Canada; University of Toronto; Isfahan University Medical Science</t>
  </si>
  <si>
    <t>Chitsaz, A (corresponding author), Isfahan Univ Med Sci, Isfahan Neurosci Res Ctr, Dept Neurol, Esfahan, Iran.</t>
  </si>
  <si>
    <t>chitsaz@med.mui.ac.ir</t>
  </si>
  <si>
    <t>1531-3433</t>
  </si>
  <si>
    <t>1534-3081</t>
  </si>
  <si>
    <t>CURR PAIN HEADACHE R</t>
  </si>
  <si>
    <t>Curr. Pain Headache Rep.</t>
  </si>
  <si>
    <t>10.1007/s11916-023-01161</t>
  </si>
  <si>
    <t>Q8XQ0</t>
  </si>
  <si>
    <t>WOS:001060297900001</t>
  </si>
  <si>
    <t>Santo, G; Miceli, A; Lazzarato, A; Gorica, J; Nappi, AG; Jonghi-Lavarini, L; Dondi, F; La Torre, F; Filice, A; De Rimini, ML; Evangelista, L; Panareo, S</t>
  </si>
  <si>
    <t>Santo, Giulia; Miceli, Alberto; Lazzarato, Achille; Gorica, Joana; Nappi, Anna Giulia; Jonghi-Lavarini, Lorenzo; Dondi, Francesco; La Torre, Flavia; Filice, Angelina; De Rimini, Maria Luisa; Evangelista, Laura; Panareo, Stefano</t>
  </si>
  <si>
    <t>Young Italian Assoc Nucl Med AIMN</t>
  </si>
  <si>
    <t>Clinicians' perspectives on PET/CT in oncological patients: an Italian National Survey</t>
  </si>
  <si>
    <t>PET/CT; Oncology; Indication; Survey; Reporting; Clinical routine</t>
  </si>
  <si>
    <t>POSITRON-EMISSION-TOMOGRAPHY; NUCLEAR-MEDICINE; APPROPRIATE; IMPACT</t>
  </si>
  <si>
    <t>IntroductionThe present web-based national survey aims to assess the clinician's perspective toward (1) the indications to perform positron emission tomography/computed tomography (PET/CT) in cancer patients, (2) the utility of the interaction with the referring nuclear medicine physician, and (3) their perception of the clarity, usefulness, and the impact of the PET/CT report.MethodsWe conducted a prospective web-based survey consisting of 31 multiple-choice questions and an open-text field. The questionnaire was administered to Italian clinicians or surgeons who managed oncological patients. Data were analyzed using standard diagrams and the values were expressed as numbers (percentages).ResultsA total of 373 physicians completed the questionnaire. Among the 360 responses finally included in the analysis, the majority came from radiation oncologists (46%), followed by oncologists. For half of the respondents (53%), indications to perform PET/CT examination were often clear and easily accessible, but only 16% considered them absolutely clear and accessible. Additionally, most respondents (43%) considered absolutely necessary to facilitate access to PET/CT indications and their update. The interaction with the referring nuclear medicine physician was generally useful and satisfying. Regarding the nuclear medicine report, 74% considered absolutely useful to standardize the report structure, and the presence of semi-quantitative parameters was considered of great importance. Finally, in about half of the cases (53%), PET/CT report impacts patient management with major changes.ConclusionTo sum up, a still not complete confidence with PET/CT indications and the need to facilitate access to indications and their update emerged from our results. Moreover, a structured PET/CT report with a clarification on essential PET features is warranted. In this scenario, the participation of nuclear medicine physicians in guideline oncological committees, national and international oncological conferences as well as continuous training among all specialists involved in cancer patients' management could be effective strategies to resolve clinicians' concerns about PET/CT, thereby improving the management of cancer patients.</t>
  </si>
  <si>
    <t>[Santo, Giulia] Magna Graecia Univ Catanzaro, Dept Expt &amp; Clin Med, I-88100 Catanzaro, Italy; [Miceli, Alberto] Azienda Osped SS Antonio &amp; Biagio &amp; Cesare Arrigo, Nucl Med Unit, Alessandria, Italy; [Lazzarato, Achille] ARNAS G Brotzu, Nucl Med Unit, Cagliari, Italy; [Gorica, Joana] Sapienza Univ Rome, Dept Radiol Sci Oncol &amp; Anatomopathol, I-00161 Rome, Italy; [Nappi, Anna Giulia] Univ Bari Aldo Moro, Interdisciplinary Dept Med, Sect Nucl Med, Piazza Giulio Cesare 11, I-70124 Bari, Italy; [Jonghi-Lavarini, Lorenzo] IRRCS San Gerardo Dei Tintori Monza, Nucl Med Dept, I-20900 Monza, Italy; [Dondi, Francesco] ASST Spedali Civili Brescia, Nucl Med, I-25123 Brescia, Italy; [La Torre, Flavia] Univ Messina, Dept Biomed &amp; Dent Sci &amp; Morphofunct Imaging, Nucl Med Unit, I-98125 Messina, Italy; [Filice, Angelina] Azienda USL IRCCS Reggio Emilia, Nucl Med Unit, I-42122 Reggio Emilia, Italy; [De Rimini, Maria Luisa] AORN Ospedali Colli, Dept Hlth Serv, Nucl Med Unit, Naples, Italy; [Evangelista, Laura] Humanitas Univ, Dept Biomed Sci, Via Rita Levi Montalcini 4, I-20072 Milan, Italy; [Evangelista, Laura] IRCCS Humanitas Res Hosp, Via Manzoni 56, I-20089 Milan, Italy; [Panareo, Stefano] Univ Hosp Modena, Oncol &amp; Haematol Dept, Nucl Med Unit, Modena, Italy</t>
  </si>
  <si>
    <t>Magna Graecia University of Catanzaro; Azienda Ospedaliera SS Antonio Biagio Cesare Arrigo; Sapienza University Rome; Universita degli Studi di Bari Aldo Moro; Hospital Spedali Civili Brescia; University of Messina; Humanitas University; Universita di Modena e Reggio Emilia; Universita di Modena e Reggio Emilia Hospital</t>
  </si>
  <si>
    <t>Santo, G (corresponding author), Magna Graecia Univ Catanzaro, Dept Expt &amp; Clin Med, I-88100 Catanzaro, Italy.</t>
  </si>
  <si>
    <t>giuliasanto92@gmail.com</t>
  </si>
  <si>
    <t>Dondi, Francesco/HJI-5537-2023</t>
  </si>
  <si>
    <t>Dondi, Francesco/0000-0003-4839-9033</t>
  </si>
  <si>
    <t>We would like to thank Domenico Albano, Andrea Bianchi, Mohsen Farsad, Luca Guerra, Cristina Nanni, and Luca Urso, members of the AIMN Oncology Working Group, for their critical review of the survey questions and their constructive suggestions. We would al</t>
  </si>
  <si>
    <t>We would like to thank Domenico Albano, Andrea Bianchi, Mohsen Farsad, Luca Guerra, Cristina Nanni, and Luca Urso, members of the AIMN Oncology Working Group, for their critical review of the survey questions and their constructive suggestions. We would also like to thank all AIMN members who contributed to the spread of the survey.</t>
  </si>
  <si>
    <t>10.1007/s40336-023-00591-3</t>
  </si>
  <si>
    <t>Q8LI7</t>
  </si>
  <si>
    <t>WOS:001059978400001</t>
  </si>
  <si>
    <t>Sharma, NK; Dewangan, SK; Gupta, PK</t>
  </si>
  <si>
    <t>Sharma, Nilesh Kumar; Dewangan, Satish Kumar; Gupta, Pankaj Kumar</t>
  </si>
  <si>
    <t>CFD analysis of turbulent free high-speed water jet issuing from circular and non-circular nozzle geometry in context of abrasive slurry jet machining</t>
  </si>
  <si>
    <t>CFD; Free turbulence; Nozzle geometry; High-speed water jet applications</t>
  </si>
  <si>
    <t>HEAT-TRANSFER; NEAR-FIELD; SIMULATION; FLOWS</t>
  </si>
  <si>
    <t>In most engineering applications where a high-speed water jet is used, its nozzle outlet geometry has a significant role in studying the effect of jet performance and its flow dynamics. In the present work, a free turbulent jet used in various engineering applications like high-speed water jet machining is examined with its nozzle geometry effect on jet behavior. Presently a circular-shaped nozzle and noncircular nozzle geometry (square, equilateral triangle, and rectangular) of equal surface area or equivalent diameter (De) are used for comparative study. Water is considered as the working fluid. In this numerical study, to check the coherency of the high-speed jet the average centerline velocity, radial velocity, and turbulent intensity profile have been studied at distant axial distances for circular and non-circular nozzle configurations. A 3D Computational model is adopted with standard k-&amp; epsilon; turbulence models to check the performance of an unsteady turbulence jet. CFD simulation results for circular nozzle geometry are first validated with the existing experimental results with the same inlet boundary conditions and then the model is again simulated for noncircular nozzle geometry, from the results the jet maintains its diameter up to a particular distance (i.e., 6 De) from nozzle exit and then it diverges radially for all shape of the nozzle. For the same inlet boundary conditions, the circular jet shows the most promising results for turbulent free jet simulations, as the region of potential core length for the circular nozzle is extended more in the case of the circular nozzle as compared to the noncircular nozzle jet.</t>
  </si>
  <si>
    <t>[Sharma, Nilesh Kumar; Dewangan, Satish Kumar] Natl Inst Technol, Dept Mech Engn, Raipur, CG, India; [Gupta, Pankaj Kumar] Guru Ghasidas Vishwavidyalaya, Dept Mech Engn, Bilaspur 495009, CG, India</t>
  </si>
  <si>
    <t>National Institute of Technology (NIT System); National Institute of Technology Raipur; Guru Ghasidas Vishwavidyalaya</t>
  </si>
  <si>
    <t>Sharma, NK (corresponding author), Natl Inst Technol, Dept Mech Engn, Raipur, CG, India.</t>
  </si>
  <si>
    <t>nilesh_sharma87@rediffmail.com</t>
  </si>
  <si>
    <t>10.1007/s12008-023-01497-0</t>
  </si>
  <si>
    <t>Q8XY3</t>
  </si>
  <si>
    <t>WOS:001060306200002</t>
  </si>
  <si>
    <t>Stich, AE; Spencer, G; Johnson, B; Baser, S</t>
  </si>
  <si>
    <t>Stich, Amy E.; Spencer, George; Johnson, Brionna; Baser, Sean</t>
  </si>
  <si>
    <t>Is Option B a Viable Plan B? School Counselors' Sensemaking of a Dual Enrollment Policy in Georgia</t>
  </si>
  <si>
    <t>INNOVATIVE HIGHER EDUCATION</t>
  </si>
  <si>
    <t>Dual enrollment; Career and technical education; State policies; Postsecondary degree completion; Inequality</t>
  </si>
  <si>
    <t>INEQUALITY; EDUCATION; TRACKING; CAREER</t>
  </si>
  <si>
    <t>Leveraging the state's dual enrollment program, Georgia policymakers introduced a novel postsecondary pathway called Option B that allows students to bypass many traditional high school graduation requirements by completing sub-baccalaureate credentials for career and technical education instead. Given the distinctiveness of this policy, high school counselors play an important role in its implementation as street-level bureaucrats. Drawing on sensemaking theory, this qualitative study examines how counselors consider the feasibility of the new pathway and for whom it serves best. Results suggest that there is disagreement between policymakers and street-level bureaucrats regarding the appropriate extent of postsecondary expansion for high school students.</t>
  </si>
  <si>
    <t>[Stich, Amy E.; Spencer, George; Johnson, Brionna; Baser, Sean] Univ Georgia, Meigs Hall,106 Herty Dr, Athens, GA 30602 USA</t>
  </si>
  <si>
    <t>University System of Georgia; University of Georgia</t>
  </si>
  <si>
    <t>Stich, AE (corresponding author), Univ Georgia, Meigs Hall,106 Herty Dr, Athens, GA 30602 USA.</t>
  </si>
  <si>
    <t>astich@uga.edu</t>
  </si>
  <si>
    <t>Louise McBee Institute of Higher Education</t>
  </si>
  <si>
    <t>This research was generously funded by a seed grant from the Louise McBee Institute of Higher Education</t>
  </si>
  <si>
    <t>0742-5627</t>
  </si>
  <si>
    <t>1573-1758</t>
  </si>
  <si>
    <t>INNOV HIGH EDUC</t>
  </si>
  <si>
    <t>Innov. High. Educ.</t>
  </si>
  <si>
    <t>10.1007/s10755-023-09669-2</t>
  </si>
  <si>
    <t>Q8YV3</t>
  </si>
  <si>
    <t>WOS:001060329200001</t>
  </si>
  <si>
    <t>Tavassoli, M; Ghandehari, M</t>
  </si>
  <si>
    <t>Tavassoli, Mohammad; Ghandehari, Mahsa</t>
  </si>
  <si>
    <t>Classification and forecasting of sustainable-resilience suppliers via developing a novel fuzzy MIP model and DEA in the presence of zero data</t>
  </si>
  <si>
    <t>OPERATIONS MANAGEMENT RESEARCH</t>
  </si>
  <si>
    <t>Data envelopment analysis (DEA); Mixed integer programming; Infeasibility; Fuzzy data</t>
  </si>
  <si>
    <t>DATA ENVELOPMENT ANALYSIS; SUPER-EFFICIENCY DEA; PREDICTING GROUP MEMBERSHIP; DISCRIMINANT-ANALYSIS; DEVELOPMENT EXPENDITURE; SELECTION; PERFORMANCE; CHAIN; INFEASIBILITY; ALLOCATION</t>
  </si>
  <si>
    <t>This study suggests a novel fuzzy super-efficiency data envelopment analysis (FS-DEA) and fuzzy mixed integer programming (F-MIP) for suppliers' complete ranking and classification regarding sustainability and resilience paradigms. The introduced approach applies FS-DEA to estimate efficiency scores and classify suppliers into efficient and inefficient groups, given their efficiency scores. Then, it employs a two-step F-MIP model to forecast the group membership of the new supplier. The computational process of the two-step F-MIP involves identifying the misclassification and overlap in the first step and managing the overlap in the second step. The suggested approach has the following features, which cannot be found in the traditional use of DEA in the supplier selection context. First, the proposed FS-DEA model can evaluate the performance of suppliers and then yield a full ranking given the zero data. Second, the proposed FS-DEA can classify suppliers into efficient and inefficient groups given deterministic and fuzzy criteria for any level alpha is an element of(01]. Third, the proposed FS-DEA uses input saving index and output surplus index to have a feasible solution even when there are non-negative data. Fourth, the proposed F-MIP model minimizes the number of wrong-classified suppliers in the fuzzy context. The developed models rank and classify suppliers of the largest automobile companies in Iran Finally, a sensitivity analysis verifies the validity of the proposed F-MIP model.</t>
  </si>
  <si>
    <t>[Tavassoli, Mohammad] Univ Isfahan, Fac Adm Sci &amp; Econ, Dept Management, Esfahan, Iran; [Ghandehari, Mahsa] Univ Isfahan, Fac Adm Sci &amp; Econ, Dept Management, Esfahan, Iran</t>
  </si>
  <si>
    <t>University of Isfahan; University of Isfahan</t>
  </si>
  <si>
    <t>Tavassoli, M (corresponding author), Univ Isfahan, Fac Adm Sci &amp; Econ, Dept Management, Esfahan, Iran.</t>
  </si>
  <si>
    <t>M_Tavassoli2004@yahoo.com; m.ghandehari@ase.ui.ac.ir</t>
  </si>
  <si>
    <t>The authors would like to appreciate two anonymous Reviewers for their constructive comments.</t>
  </si>
  <si>
    <t>1936-9735</t>
  </si>
  <si>
    <t>1936-9743</t>
  </si>
  <si>
    <t>OPER MANAGE RES</t>
  </si>
  <si>
    <t>Oper. Manag. Res.</t>
  </si>
  <si>
    <t>s12063-023-00401-z</t>
  </si>
  <si>
    <t>10.1007/s12063-023-00401</t>
  </si>
  <si>
    <t>Q5TR6</t>
  </si>
  <si>
    <t>WOS:001058151700002</t>
  </si>
  <si>
    <t>Tschare, L; Ennemoser, A; Carli, L; Vaccari, E; Feichtinger, M</t>
  </si>
  <si>
    <t>Tschare, L.; Ennemoser, A.; Carli, L.; Vaccari, E.; Feichtinger, M.</t>
  </si>
  <si>
    <t>Impact of maternally derived meiotic aneuploidies on early embryonic development in vitro</t>
  </si>
  <si>
    <t>PGT-A; Polar bodies; Aneuploidies; IVF; Embryo quality</t>
  </si>
  <si>
    <t>Purpose To assess early embryonic developmental potential of embryos affected by maternally inherited meiotic aneuploidies.Methods This observational, descriptive study includes 930 oocytes from 151 patients which were retrospectively analyzed by combining the morphological assessment with the genetic results from polar body diagnosis.Results Of 930 oocytes examined, 566 (60.9%) were tested aneuploid. Developmental potential until cleavage stage was not affected by trisomies or monosomies (69.6% vs. 77.1%, p = 0.75). However, trisomies significantly more often resulted in top quality cleavage stage embryos compared to monosomies (20% vs. 17.6%, p = &lt; 0.01). Top quality blastocysts were more likely to be euploid than aneuploid (52.4% vs. 47.6%, p = 0.032). Additionally, significantly more aneuploid embryos resulted in developmental arrest compared to euploid embryos (15.3% vs. 6.7%, p = 0.003). Overall, there was no significant difference in the frequency of trisomies and monosomies in blastocyst stage embryos. (28.3% vs. 28.2%; p = 0.81). In contrast to earlier developmental stages, distribution of trisomies and monosomies did not differ in top quality blastocysts (8.3% vs. 5.3%, p = 0.32). However, certain chromosomal abnormalities showed a higher potential to develop into a top-rated blastocyst. These included monosomies 2, 5, 8, 10, 16, 17, 20, 21, and 22 and trisomies 2, 4, 5, 8, 9, 10, 11, 12, 13, 16, 17, 18 and 20.Conclusion Meiotically induced maternal aneuploidies have different effects on early embryonic development. While no difference in developmental potential between monosomies and trisomies could be observed in blastocysts, cleavage stage quality was significantly affected by chromosomal aneuploidies.</t>
  </si>
  <si>
    <t>[Tschare, L.] Karl Landsteiner Univ Hlth Sci, Krems An Der Donau, Austria; [Tschare, L.; Ennemoser, A.; Carli, L.; Vaccari, E.; Feichtinger, M.] Wunschbaby Inst Feichtinger, Vienna, Austria</t>
  </si>
  <si>
    <t>Feichtinger, M (corresponding author), Wunschbaby Inst Feichtinger, Vienna, Austria.</t>
  </si>
  <si>
    <t>Michael.Feichtinger@wunschbaby.at</t>
  </si>
  <si>
    <t>Feichtinger, Michael/ABD-1214-2020</t>
  </si>
  <si>
    <t>Feichtinger, Michael/0000-0001-6453-9281</t>
  </si>
  <si>
    <t>10.1007/s10815-023-02922-9</t>
  </si>
  <si>
    <t>R3VQ0</t>
  </si>
  <si>
    <t>WOS:001063664600001</t>
  </si>
  <si>
    <t>Zhai, PH; Li, NZ</t>
  </si>
  <si>
    <t>Zhai, Peihe; Li, Nianzheng</t>
  </si>
  <si>
    <t>Predicting the Height of the Hydraulic Fracture Zone Using a Convolutional Neural Network</t>
  </si>
  <si>
    <t>MINE WATER AND THE ENVIRONMENT</t>
  </si>
  <si>
    <t>Coal mine; BP neural network; Multiple linear regression; Regression prediction</t>
  </si>
  <si>
    <t>After analyzing a large amount of related data, five indicators, such as mining thickness and mining depth, were selected as the main factors influencing the height of the hydraulic fissure zone. On this basis, first the convolutional neural network was trained and tested based on the measured hydraulic fracture zone development height in 40 mining areas to obtain the best convolutional neural network model. Next, the trained network model was used to predict the height of the hydraulic fracture zone of the 1301N working face in the Longgu coal mine. The predicted results were compared with the measured results and the value calculated using the gauge formula and the absolute and relative errors of the model-predicted results were less than the regulatory values. Finally, the convolutional neural network prediction results of the five test cases were compared with back-propagation (BP) neural network and multiple linear regression predicted results, and the absolute error and relative error of the convolutional neural network model prediction results were better than those of the other two predictive models. Thus, the convolutional neural network prediction model is suitable for predicting the height of the hydraulic fracture zone and can predict the developed height of the hydraulic fracture zone more accurately than other predictive methods.</t>
  </si>
  <si>
    <t>[Zhai, Peihe; Li, Nianzheng] Shandong Univ Sci &amp; Technol, Coll Earth Sci &amp; Engn, Qingdao 266590, Peoples R China</t>
  </si>
  <si>
    <t>Shandong University of Science &amp; Technology</t>
  </si>
  <si>
    <t>Li, NZ (corresponding author), Shandong Univ Sci &amp; Technol, Coll Earth Sci &amp; Engn, Qingdao 266590, Peoples R China.</t>
  </si>
  <si>
    <t>1822525558@qq.com</t>
  </si>
  <si>
    <t>Nature Science Foundation of Shandong Province [ZR2020KE023, ZR2021MD057]</t>
  </si>
  <si>
    <t>Nature Science Foundation of Shandong Province(Natural Science Foundation of Shandong Province)</t>
  </si>
  <si>
    <t>Nature Science Foundation of Shandong Province (ZR2020KE023, ZR2021MD057).</t>
  </si>
  <si>
    <t>1025-9112</t>
  </si>
  <si>
    <t>1616-1068</t>
  </si>
  <si>
    <t>MINE WATER ENVIRON</t>
  </si>
  <si>
    <t>Mine Water Environ.</t>
  </si>
  <si>
    <t>10.1007/s10230-023-00950-6</t>
  </si>
  <si>
    <t>Water Resources</t>
  </si>
  <si>
    <t>S6HM0</t>
  </si>
  <si>
    <t>WOS:001063690400001</t>
  </si>
  <si>
    <t>Chen, YQ; Pedrycz, W; Yang, J</t>
  </si>
  <si>
    <t>Chen, Yueqi; Pedrycz, Witold; Yang, Jie</t>
  </si>
  <si>
    <t>A new boundary-degree-based oversampling method for imbalanced data</t>
  </si>
  <si>
    <t>Imbalanced learning; Information entropy; Gradient; Gaussian probability distribution function; Oversampling</t>
  </si>
  <si>
    <t>SMOTE; CLASSIFICATION; ALGORITHM; FRAMEWORK</t>
  </si>
  <si>
    <t>Imbalanced data constitute a significant challenge in practical applications, as standard classifiers are usually designed to work on data with balanced class label distributions. One of effective methods to solve the imbalanced problem is boundary oversampling method, which only focuses on the classification of boundary samples. However, most boundary oversampling methods roughly select boundary samples for oversampling without considering the potentially useful boundary characteristics inherent in majority (negative) class. To overcome this limitation, we propose a novel boundary-degree-based oversampling method (BDO) in this paper. The originality of BDO stemps from quantifying the degree to which each negative sample can be regarded as a boundary sample in terms of probability using information entropy. Applying the sigma rule on the quantified boundary degree, negative boundary samples are determined to indirectly select minority (positive) boundary samples for oversampling. In this way, a substantial amount of information hidden in the negative class can be mined. To further transfer the mined information to help oversample, BDO iteratively synthesizes aided boundary points along a fraudulent gradient. Oversampling finally is performed on both positive boundary samples and the aided boundary points. Experimental results completed on 15 benchmark imbalanced datasets, two multi-label datasets and one large-scale dataset in terms of G-mean, F-measure, AUC, accuracy, TPR and TNR show that BDO exhibits better performance, which is competitive with some commonly considered methods.</t>
  </si>
  <si>
    <t>[Chen, Yueqi; Yang, Jie] Dalian Univ Technol, Sch Math Sci, Dalian 116024, Liaoning, Peoples R China; [Chen, Yueqi; Yang, Jie] Key Lab Computat Math &amp; Data Intelligence Liaoning, Dalian 116024, Peoples R China; [Pedrycz, Witold] Univ Alberta, Dept Elect &amp; Comp Engn, Edmonton, AB T6G 2R3, Canada; [Pedrycz, Witold] Polish Acad Sci, Syst Res Inst, Warsaw PL-00901, Mazowieckie, Poland; [Pedrycz, Witold] Istinye Univ, Fac Engn &amp; Nat Sci, Dept Comp Engn, TR-34460 Istanbul, Turkiye</t>
  </si>
  <si>
    <t>Dalian University of Technology; University of Alberta; Polish Academy of Sciences; Systems Research Institute of the Polish Academy of Sciences; Istinye University</t>
  </si>
  <si>
    <t>Yang, J (corresponding author), Dalian Univ Technol, Sch Math Sci, Dalian 116024, Liaoning, Peoples R China.;Yang, J (corresponding author), Key Lab Computat Math &amp; Data Intelligence Liaoning, Dalian 116024, Peoples R China.</t>
  </si>
  <si>
    <t>chenyq485@mail.dlut.edu.cn; wpedrycz@ualberta.ca; yangjiee@dlut.edu.cn</t>
  </si>
  <si>
    <t>National Key R&amp;D Program of China [2018AAA0100300]; Fundamental Research Funds for the Central Universities [DUT22YG236]; National Natural Science Foundation of China [62172073, 62076182, 62176040]</t>
  </si>
  <si>
    <t>National Key R&amp;D Program of China; Fundamental Research Funds for the Central Universities(Fundamental Research Funds for the Central Universities); National Natural Science Foundation of China(National Natural Science Foundation of China (NSFC))</t>
  </si>
  <si>
    <t>This work was supported by the National Key R&amp;D Program of China under Grant 2018AAA0100300, the Fundamental Research Funds for the Central Universities under Grant DUT22YG236, and the National Natural Science Foundation of China under Grant 62172073, 62076182, 62176040.</t>
  </si>
  <si>
    <t>2023 AUG 25</t>
  </si>
  <si>
    <t>10.1007/s10489-023-04846-4</t>
  </si>
  <si>
    <t>R3SN9</t>
  </si>
  <si>
    <t>WOS:001063584500005</t>
  </si>
  <si>
    <t>Cheslack-Postava, K; Forthal, S; Musa, GJ; Ryan, M; Bresnahan, M; Sapigao, RG; Lin, SS; Fan, B; Svob, C; Geronazzo-Alman, L; Hsu, YJ; Skokauskas, N; Hoven, CW</t>
  </si>
  <si>
    <t>Cheslack-Postava, Keely; Forthal, Sarah; Musa, George J.; Ryan, Megan; Bresnahan, Michaeline; Sapigao, Rosemarie G.; Lin, Susan; Fan, Bin; Svob, Connie; Geronazzo-Alman, Lupo; Hsu, Yi-ju; Skokauskas, Norbert; Hoven, Christina W.</t>
  </si>
  <si>
    <t>Persistence of anxiety among Asian Americans: racial and ethnic heterogeneity in the longitudinal trends in mental well-being during the COVID-19 pandemic</t>
  </si>
  <si>
    <t>SOCIAL PSYCHIATRY AND PSYCHIATRIC EPIDEMIOLOGY</t>
  </si>
  <si>
    <t>Anxiety; Depression; COVID-19; Time trends; Racial disparities</t>
  </si>
  <si>
    <t>HEALTH; POPULATION; SYMPTOMS</t>
  </si>
  <si>
    <t>Purpose To examine within-individual time trends in mental well-being and factors influencing heterogeneity of these trends.Methods Longitudinal telephone survey of adults over 3 waves from the New York City (NYC) Metropolitan area during the COVID-19 Pandemic. Participants reported depression using the Patient Health Questionnaire (PHQ)-8, anxiety using the Generalized Anxiety Disorder (GAD)-7, and past 30-day increases in tobacco or alcohol use at each wave. Adjusted mixed effects logistic regression models assessed time trends in mental well-being.Results There were 1227 respondents. Over 3 study waves, there were statistically significant decreasing time trends in the odds of each outcome (adjusted OR (95% CI) 0.47 (0.37, 0.60); p &lt; 0.001 for depression; aOR (95% CI) 0.55 (0.45, 0.66); p &lt; 0.001 for anxiety; aOR (95% CI) 0.50 (0.35, 0.71); p &lt; 0.001 for past 30-day increased tobacco use; aOR (95% CI) 0.31 (0.24, 0.40); p &lt; 0.001 for past 30-day increased alcohol use). Time trends for anxiety varied by race and ethnicity (p value for interaction = 0.05, 4 df); anxiety declined over time among white, Black, Hispanic, and Other race and ethnicity but not among Asian participants.Conclusions In a demographically varied population from the NYC Metropolitan area, depression, anxiety and increased substance use were common during the first months of the pandemic, but decreased over the following year. While this was consistently the case across most demographic groups, the odds of anxiety among Asian participants did not decrease over time.</t>
  </si>
  <si>
    <t>[Cheslack-Postava, Keely; Forthal, Sarah; Musa, George J.; Ryan, Megan; Bresnahan, Michaeline; Sapigao, Rosemarie G.; Lin, Susan; Fan, Bin; Svob, Connie; Geronazzo-Alman, Lupo; Hsu, Yi-ju; Hoven, Christina W.] Columbia Univ, New York State Psychiat Inst, Dept Psychiat, Div Child &amp; Adolescent Psychiat, 1051 Riverside Dr Unit 23, New York, NY 10032 USA; [Forthal, Sarah; Musa, George J.; Bresnahan, Michaeline; Svob, Connie; Hoven, Christina W.] Columbia Univ, Mailman Sch Publ Hlth, Dept Epidemiol, New York, NY USA; [Sapigao, Rosemarie G.] CUNY, Grad Sch Publ Hlth &amp; Hlth Policy, New York, NY USA; [Skokauskas, Norbert] Norwegian Univ Sci &amp; Technol NTNU, Reg Ctr Child &amp; Youth Mental Hlth &amp; Child Welf RKB, Dept Mental Hlth, Trondheim, Norway</t>
  </si>
  <si>
    <t>Columbia University; Columbia University; City University of New York (CUNY) System; Norwegian University of Science &amp; Technology (NTNU)</t>
  </si>
  <si>
    <t>Cheslack-Postava, K (corresponding author), Columbia Univ, New York State Psychiat Inst, Dept Psychiat, Div Child &amp; Adolescent Psychiat, 1051 Riverside Dr Unit 23, New York, NY 10032 USA.</t>
  </si>
  <si>
    <t>Keely.Cheslack@nyspi.columbia.edu</t>
  </si>
  <si>
    <t>NIH Social, Behavioral, and Economic (SBE) Health Impacts of COVID-19 Supplement [R01 DA038154-05S3]</t>
  </si>
  <si>
    <t>NIH Social, Behavioral, and Economic (SBE) Health Impacts of COVID-19 Supplement</t>
  </si>
  <si>
    <t>This work was supported by an NIH Social, Behavioral, and Economic (SBE) Health Impacts of COVID-19 Supplement (R01 DA038154-05S3; PI: C.W. Hoven).</t>
  </si>
  <si>
    <t>0933-7954</t>
  </si>
  <si>
    <t>1433-9285</t>
  </si>
  <si>
    <t>SOC PSYCH PSYCH EPID</t>
  </si>
  <si>
    <t>Soc. Psychiatry Psychiatr. Epidemiol.</t>
  </si>
  <si>
    <t>10.1007/s00127-023-02553-6</t>
  </si>
  <si>
    <t>R3QJ6</t>
  </si>
  <si>
    <t>WOS:001063528200001</t>
  </si>
  <si>
    <t>dos Santos, LL; Codogno, JS; Turi-Lynch, BC; Araujo, MYC; Fernandes, RA; Gomes, GAD; Crankson, S; Anokye, N</t>
  </si>
  <si>
    <t>dos Santos, Lionai Lima; Codogno, Jamile Sanches; Turi-Lynch, Bruna Camilo; Araujo, Monique Yndawe Castanho; Fernandes, Romulo Araujo; Gomes, Grace Angelica de Oliveira; Crankson, Shirley; Anokye, Nana</t>
  </si>
  <si>
    <t>Interrelationship between arterial hypertension, health service costs, therapeutic treatment and physical activity</t>
  </si>
  <si>
    <t>BMC PRIMARY CARE</t>
  </si>
  <si>
    <t>Cardiovascular disease; Health expenditures; Physical exercise; Treatment adherence</t>
  </si>
  <si>
    <t>ADHERENCE; EXPENDITURES; CARE; QUESTIONNAIRE; US</t>
  </si>
  <si>
    <t>Background Arterial hypertension is a high prevalence disease that increase healthcare costs and affects physical activity level. This study aimed to analyse the interrelationship between arterial hypertension, health service costs, therapeutic treatment, and physical activity in patients with cardiovascular diseases.Method Cross-sectional study that evaluated 306 patients from a hospital in Presidente Prudente-Brazil. Based on their medical diagnosis, they were classified into multiple groups to access primary care and hospital-related costs variations. Then, using data from medical records and face to face interviews, they were examined on their treatment adherence and physical activity practice. Healthcare costs were accessed using medical records. Finally, the generalised linear model was used to analyse the interrelationship between treatment adherence, physical activity, health care costs and arterial hypertension. The data were analysed with Stata/MP4 16, and a p-value of less than 5% was used to determine statistical significance.Results The group that adhered to the arterial hypertension treatments but were physically inactive presented higher costs with consultation (US$=24.1, 95%CI = 1.90;46,3) medication (US$=56.60, 95%CI = 1.65; 111.5) and total primary health care costs (US$=71.60, 95%CI = 19.2; 123.9) even after adjusting for confounding variables, meanwhile those participants that adhered to the treatments and were physical active did not present difference in healthcare cost when compared to normotensive and physical active participants.Conclusion To be adherent to hypertension treatment were related to higher health care costs meanwhile been physical activity were related to lower health care costs and the combination of both showed that be adherent and physical activity represent the same cost with health than those normotensive and active emphasizing the importance of adherence and physical activity in the hypertensive treatment.</t>
  </si>
  <si>
    <t>[dos Santos, Lionai Lima; Codogno, Jamile Sanches; Araujo, Monique Yndawe Castanho; Fernandes, Romulo Araujo] Sao Paulo State Univ UNESP, Dept Phys Educ, Presidente Prudente, SP, Brazil; [Turi-Lynch, Bruna Camilo] Lander Univ, Dept Phys Educ &amp; Exercise Sci, 320 Stanley Ave, Greenwood, SC 29649 USA; [Gomes, Grace Angelica de Oliveira] Univ Fed Sao Carlos, Dept Gerontol, Sao Carlos, SP, Brazil; [Crankson, Shirley; Anokye, Nana] Brunel Univ London, Coll Hlth &amp; Life Sci, Dept Clin Sci, London, England</t>
  </si>
  <si>
    <t>Universidade Estadual Paulista; Universidade Federal de Sao Carlos; Brunel University</t>
  </si>
  <si>
    <t>Anokye, N (corresponding author), Brunel Univ London, Coll Hlth &amp; Life Sci, Dept Clin Sci, London, England.</t>
  </si>
  <si>
    <t>Nana.Anokye@brunel.ac.uk</t>
  </si>
  <si>
    <t>2731-4553</t>
  </si>
  <si>
    <t>BMC PRIM CARE</t>
  </si>
  <si>
    <t>BMC Prim. Care</t>
  </si>
  <si>
    <t>AUG 25</t>
  </si>
  <si>
    <t>10.1186/s12875-023-02120-7</t>
  </si>
  <si>
    <t>Primary Health Care; Medicine, General &amp; Internal</t>
  </si>
  <si>
    <t>Q0SB3</t>
  </si>
  <si>
    <t>WOS:001054688800003</t>
  </si>
  <si>
    <t>Huang, KQ; Du, JL; Dai, JW</t>
  </si>
  <si>
    <t>Huang, Keqi; Du, Julan; Dai, Jiawu</t>
  </si>
  <si>
    <t>Higher education expansion and robot imports: evidence from China</t>
  </si>
  <si>
    <t>ECONOMIC CHANGE AND RESTRUCTURING</t>
  </si>
  <si>
    <t>Industrial robots; Higher education expansion policy; Low human capital intensity sector; High human capital intensity sector; Difference-in-differences; A22; F16; I23; J21; O33</t>
  </si>
  <si>
    <t>CAPITAL-SKILL COMPLEMENTARITY; ADOPTION</t>
  </si>
  <si>
    <t>We investigate the impact of higher education expansion policy (HEEP) on robot imports in a developing open economy such as China. First, we treat the HEEP as a quasi-natural experiment and adopt a difference-in-differences strategy to undertake detailed empirical analysis after conducting the common trends tests. Second, we find that the HEEP significantly increases robot imports of firms by both extensive and intensive margins; the impact is mainly concentrated in industries with medium human capital intensity. Specifically, firms in the low (high) human capital intensity sector tend to increase (decrease) robot imports. Third, we explore the underlying mechanism and conduct a series of empirical tests to check robustness; these include adopting a non-linear relationship with the quadratic form, using alternative measures of human capital intensity, excluding observations after 2007, excluding possible distributors, teasing out the potential effects engendered by China's World Trade Organization accession, as well as excluding the confounding effects of 3-year graduates. We obtain similar results. Our findings shed light on the impact of the higher education expansion policy on robot imports in developing and transition countries.</t>
  </si>
  <si>
    <t>[Huang, Keqi] Xian Univ Finance &amp; Econ, Sch Econ, Xian, Shaanxi, Peoples R China; [Du, Julan] Chinese Univ Hong Kong, Dept Econ, Hong Kong, Peoples R China; [Dai, Jiawu] Hunan Normal Univ, Sch Business, Changsha, Hunan, Peoples R China</t>
  </si>
  <si>
    <t>Xi'an University of Finance &amp; Economics; Chinese University of Hong Kong; Hunan Normal University</t>
  </si>
  <si>
    <t>Dai, JW (corresponding author), Hunan Normal Univ, Sch Business, Changsha, Hunan, Peoples R China.</t>
  </si>
  <si>
    <t>keqihuang@126.com; julandu@cuhk.edu.hk; daijiawu@hunnu.edu.cn</t>
  </si>
  <si>
    <t>DAI, JIAWU/0000-0002-8657-6267</t>
  </si>
  <si>
    <t>China's Humanities &amp; Social Sciences Research Project of Ministry of Education [22YJC790019]; Natural Science Foundation of Hunan Province [2023JJ30417]</t>
  </si>
  <si>
    <t>China's Humanities &amp; Social Sciences Research Project of Ministry of Education; Natural Science Foundation of Hunan Province(Natural Science Foundation of Hunan Province)</t>
  </si>
  <si>
    <t>This work was supported by [China's Humanities &amp; Social Sciences Research Project of Ministry of Education] (Grant number [22YJC790019]) and [Natural Science Foundation of Hunan Province] (Grant number [2023JJ30417]).</t>
  </si>
  <si>
    <t>1573-9414</t>
  </si>
  <si>
    <t>1574-0277</t>
  </si>
  <si>
    <t>ECON CHANG RESTRUCT</t>
  </si>
  <si>
    <t>Econ. Chang. Restruct.</t>
  </si>
  <si>
    <t>10.1007/s10644-023-09550-4</t>
  </si>
  <si>
    <t>R3QI2</t>
  </si>
  <si>
    <t>WOS:001063526800002</t>
  </si>
  <si>
    <t>Huang, WY; Xu, P; Fu, XX; Yang, JX; Jing, WH; Cai, YC; Zhou, YJ; Tao, R; Yang, ZY</t>
  </si>
  <si>
    <t>Huang, Wenyan; Xu, Ping; Fu, Xiaoxue; Yang, Jiaxin; Jing, Weihong; Cai, Yucen; Zhou, Yingjuan; Tao, Rui; Yang, Zhangyou</t>
  </si>
  <si>
    <t>Functional molecule-mediated assembled copper nanozymes for diabetic wound healing</t>
  </si>
  <si>
    <t>Diabetic wound healing; Nanozymes; Multicatalytic activity; Angiogenesis effect; Photothermal response</t>
  </si>
  <si>
    <t>FOOT ULCERS; OXYGEN; NANOPARTICLES; METABOLISM; THERAPIES; POLYMER; LEVEL; THIOL; ACID</t>
  </si>
  <si>
    <t>BackgroundThe complex hyperglycemic, hypoxic, and reactive oxygen species microenvironment of diabetic wound leads to vascular defects and bacterial growth and current treatment options are relatively limited by their poor efficacy.ResultsHerein, a functional molecule-mediated copper ions co-assembled strategy was constructed for collaborative treatment of diabetic wounds. Firstly, a functional small molecule 2,5-dimercaptoterephthalic acid (DCA) which has symmetrical carboxyl and sulfhydryl structure, was selected for the first time to assisted co-assembly of copper ions to produce multifunctional nanozymes (Cu-DCA NZs). Secondly, the Cu-DCA NZs have excellent multicatalytic activity, and photothermal response under 808 nm irradiation. In vitro and in vivo experiments showed that it not only could efficiently inhibit bacterial growth though photothermal therapy, but also could catalyze the conversion of intracellular hydrogen peroxide to oxygen which relieves wound hypoxia and improving inflammatory accumulation. More importantly, the slow release of copper ions could accelerate cellular proliferation, migration and angiogenesis, synergistically promote the healing of diabetic wound furtherly.ConclusionsThe above results indicate that this multifunctional nanozymes Cu-DCA NZs may be a potential nanotherapeutic strategy for diabetic wound healing.</t>
  </si>
  <si>
    <t>[Huang, Wenyan; Xu, Ping; Fu, Xiaoxue; Yang, Jiaxin; Jing, Weihong; Cai, Yucen; Zhou, Yingjuan; Yang, Zhangyou] Chongqing Med Univ, Coll Pharm, Chongqing Pharmacodynam Evaluat Engn Technol Res C, Chongqing Key Lab Pharmaceut Metab Res, Chongqing 400016, Peoples R China; [Tao, Rui] Chongqing Med Univ, Bishan Hosp, Dept Hepatobiliary Surg, Chongqing 402760, Peoples R China</t>
  </si>
  <si>
    <t>Chongqing Medical University; Chongqing Medical University</t>
  </si>
  <si>
    <t>Yang, ZY (corresponding author), Chongqing Med Univ, Coll Pharm, Chongqing Pharmacodynam Evaluat Engn Technol Res C, Chongqing Key Lab Pharmaceut Metab Res, Chongqing 400016, Peoples R China.;Tao, R (corresponding author), Chongqing Med Univ, Bishan Hosp, Dept Hepatobiliary Surg, Chongqing 402760, Peoples R China.</t>
  </si>
  <si>
    <t>taorui@vip.126.com; yangzhangyou@cqmu.edu.cn</t>
  </si>
  <si>
    <t>黄, 雯艳/JDW-5699-2023</t>
  </si>
  <si>
    <t>10.1186/s12951-023-02048-1</t>
  </si>
  <si>
    <t>R4JW7</t>
  </si>
  <si>
    <t>WOS:001064035600001</t>
  </si>
  <si>
    <t>Huang, XC; Zhao, B; Yang, YX; Yuan, HM; Yao, PP; Carlini, R; Huang, Y</t>
  </si>
  <si>
    <t>Huang, Xiaocui; Zhao, Bo; Yang, Yuxiang; Yuan, Hongming; Yao, Pingping; Carlini, Riccardo; Huang, Yan</t>
  </si>
  <si>
    <t>Studies on Re-188 Labeling and In Vivo Distribution of Magnetic Nanoparticles with Different Morphologies and Sizes</t>
  </si>
  <si>
    <t>JOURNAL OF INORGANIC AND ORGANOMETALLIC POLYMERS AND MATERIALS</t>
  </si>
  <si>
    <t>Magnetic core-shell nanoparticle materials; Re-188 radionuclide; Shape and size of nanoparticles; Biodistribution; Magnetic properties</t>
  </si>
  <si>
    <t>MESOPOROUS SILICA NANOPARTICLES; PARTICLE-SIZE; STOBER METHOD; BIODISTRIBUTION; DELIVERY; SURFACE; SHAPE</t>
  </si>
  <si>
    <t>There has been few research on the affect and distribution of different shapes of nanoparticles inside an organism during extraction and drug targeting. In order to obtain the distribution of magnetic nanoparticles with different morphology and size in vivo, a general method of Re-188 labeled Magnetic Core-Shell Nanoparticles (MNPs) Materials was developed. Based on the prepared magnetic particles with three different morphologies and sizes, including 230 nm spherical Fe3O4@SiO2 particles (S-230), 100 nm spherical Fe3O4@SiO2 particles (S-100) and peanut shaped Fe3O4@SiO2 particles (P-180, the length of the short axis is about 100 nm and the length of the long axis is about 180 nm), the aminated MNPs were labeled with radionuclide Re-188 through the coupling of diethylenetriamine pentaacetic anhydride. The nuclide Re-188 was labeled to investigate their distribution behavior in mice. Most of the small-size particles S-100 can be separated from the capture of the endothelial reticular system and removed by renal metabolism. Most of the larger particles, S-230 and P-180, will be captured by the endothelial reticular system, and the nanoparticles P-180 with large aspect ratio are easier to be captured by the tissue in the spleen and enter the cells through endocytosis.</t>
  </si>
  <si>
    <t>[Huang, Xiaocui; Yang, Yuxiang; Yao, Pingping; Huang, Yan] East China Univ Sci &amp; Technol, Sch Chem &amp; Mol Engn, Shanghai 200237, Peoples R China; [Zhao, Bo] Navy Mil Med Univ, Changhai Hosp, Dept Nucl Med, Shanghai, Peoples R China; [Yuan, Hongming] Jilin Univ, State Key Lab Inorgan Synth &amp; Preparat Chem, Changchun 130012, Peoples R China; [Carlini, Riccardo] LAS Klee Barabino, Chem &amp; Mat Chem Dept, I-16146 Genoa, Italy</t>
  </si>
  <si>
    <t>East China University of Science &amp; Technology; Naval Medical University; Jilin University</t>
  </si>
  <si>
    <t>Yang, YX (corresponding author), East China Univ Sci &amp; Technol, Sch Chem &amp; Mol Engn, Shanghai 200237, Peoples R China.;Carlini, R (corresponding author), LAS Klee Barabino, Chem &amp; Mat Chem Dept, I-16146 Genoa, Italy.</t>
  </si>
  <si>
    <t>yxyang@ecust.edu.cn; riccardocarlini1@gmail.com</t>
  </si>
  <si>
    <t>National Natural Science Foundation of China [20577010, 20971043]; Open Project Program of State Key Laboratory of Inorganic Synthesis and Preparative Chemistry, Jilin University</t>
  </si>
  <si>
    <t>National Natural Science Foundation of China(National Natural Science Foundation of China (NSFC)); Open Project Program of State Key Laboratory of Inorganic Synthesis and Preparative Chemistry, Jilin University(Jilin University)</t>
  </si>
  <si>
    <t>This work was supported by the National Natural Science Foundation of China (Grant Nos. 20577010, 20971043), and the Open Project Program of State Key Laboratory of Inorganic Synthesis and Preparative Chemistry, Jilin University.</t>
  </si>
  <si>
    <t>1574-1443</t>
  </si>
  <si>
    <t>1574-1451</t>
  </si>
  <si>
    <t>J INORG ORGANOMET P</t>
  </si>
  <si>
    <t>J. Inorg. Organomet. Polym. Mater.</t>
  </si>
  <si>
    <t>10.1007/s10904-023-02830-6</t>
  </si>
  <si>
    <t>Q8SB2</t>
  </si>
  <si>
    <t>WOS:001060153000001</t>
  </si>
  <si>
    <t>Kasamatsu, H; Chino, T; Hasegawa, T; Utsunomiya, N; Utsunomiya, A; Yamada, M; Oyama, N; Hasegawa, M</t>
  </si>
  <si>
    <t>Kasamatsu, Hiroshi; Chino, Takenao; Hasegawa, Takumi; Utsunomiya, Natsuko; Utsunomiya, Akira; Yamada, Masami; Oyama, Noritaka; Hasegawa, Minoru</t>
  </si>
  <si>
    <t>A cysteine proteinase inhibitor ALLN alleviates bleomycin-induced skin and lung fibrosis</t>
  </si>
  <si>
    <t>ARTHRITIS RESEARCH &amp; THERAPY</t>
  </si>
  <si>
    <t>Systemic sclerosis; Skin; Lung; Calpain; Cysteine proteinase inhibitor; TGF-&amp; beta;; Fibrosis; Endothelial-mesenchymal transition</t>
  </si>
  <si>
    <t>MESENCHYMAL TRANSITION; SYSTEMIC-SCLEROSIS; DOUBLE-BLIND; CALPAIN; ACTIVATION; EXPRESSION; TGF-BETA-1; CELLS; MODEL</t>
  </si>
  <si>
    <t>Background Systemic sclerosis (SSc) is a connective tissue disease that is characterized by fibrosis in the skin and internal organs, such as the lungs. Activated differentiation of progenitor cells, which are mainly resident fibroblasts, into myofibroblasts is considered a key mechanism underlying the overproduction of extracellular matrix and the resultant tissue fibrosis in SSc. Calpains are members of theCa(2+)- dependent cysteine protease family, whose enzymatic activities participate in signal transduction and tissue remodeling, potentially contributing to fibrosis in various organs. However, the roles of calpain in the pathogenesis of SSc remain unknown. This study aimed to examine the anti-fibrotic properties of N-acetyl-Leu-Leu-norleucinal (ALLN), one of the cysteine proteinase inhibitors that primarily inhibit calpain, in vitro and in vivo, to optimally translate into the therapeutic utility in human SSc. Methods Normal human dermal and lung fibroblasts pretreated with ALLN were stimulated with recombinant transforming growth factor beta 1 (TGF-beta 1), followed by assessment of TGF-beta 1/Smad signaling and fibrogenic molecules. Results ALLN treatment significantly inhibited TGF-beta 1-induced phosphorylation and nuclear transport of Smad2/3 in skin and lung fibroblasts. TGF-beta 1-dependent increases in a-smooth muscle actin (aSMA), collagen type I, fibronectin 1, and some mesenchymal transcription markers were attenuated by ALLN. Moreover, our findings suggest that ALLN inhibits TGF-beta 1-induced mesenchymal transition in human lung epithelial cells. Consistent with these in vitro findings, administering ALLN (3 mg/kg/day) three times a week intraperitoneally remarkably suppressed the development of skin and lung fibrosis in a SSc mouse model induced by daily subcutaneous bleomycin injection. The number of skin- and lung-infiltrating CD3+ T cells decreased in ALLN-treated mice compared with that in control-treated mice. Phosphorylation of Smad3 and/or an increase in aSMA-positive myofibroblasts was significantly inhibited by ALLN treatment on the skin and lungs. However, no adverse effects were observed. Conclusions Our results prove that calpains can be a novel therapeutic target for skin and lung fibrosis in SSc, considering its inhibitor ALLN.</t>
  </si>
  <si>
    <t>[Kasamatsu, Hiroshi; Chino, Takenao; Hasegawa, Takumi; Utsunomiya, Natsuko; Utsunomiya, Akira; Oyama, Noritaka; Hasegawa, Minoru] Univ Fukui, Fac Med Sci, Dept Dermatol, Div Med, 23-3 Matsuoka Shimoaizuki, Eiheiji, Fukui 9101193, Japan; [Yamada, Masami] Univ Fukui, Fac Med Sci, Dept Cell Biol &amp; Biochem, Div Med, 23-3 Matsuoka Shimoaizuki, Eiheiji, Fukui 9101193, Japan</t>
  </si>
  <si>
    <t>University of Fukui; University of Fukui</t>
  </si>
  <si>
    <t>Hasegawa, M (corresponding author), Univ Fukui, Fac Med Sci, Dept Dermatol, Div Med, 23-3 Matsuoka Shimoaizuki, Eiheiji, Fukui 9101193, Japan.</t>
  </si>
  <si>
    <t>minoruha@u-fukui.ac.jp</t>
  </si>
  <si>
    <t>The authors thank Dr. Yasuko Ono (Department of Basic Medical Sciences, Tokyo Metropolitan Institute of Medical Science) for her valuable instructions and Tomomi Shimizu and Asuka Matsuura for their technical assistance.</t>
  </si>
  <si>
    <t>1478-6354</t>
  </si>
  <si>
    <t>1478-6362</t>
  </si>
  <si>
    <t>ARTHRITIS RES THER</t>
  </si>
  <si>
    <t>Arthritis Res. Ther.</t>
  </si>
  <si>
    <t>10.1186/s13075-023-03130-7</t>
  </si>
  <si>
    <t>Q0JT2</t>
  </si>
  <si>
    <t>WOS:001054466300001</t>
  </si>
  <si>
    <t>Khan, I</t>
  </si>
  <si>
    <t>Khan, I.</t>
  </si>
  <si>
    <t>Anterior epistaxis and sedation</t>
  </si>
  <si>
    <t>BRITISH DENTAL JOURNAL</t>
  </si>
  <si>
    <t>0007-0610</t>
  </si>
  <si>
    <t>1476-5373</t>
  </si>
  <si>
    <t>BRIT DENT J</t>
  </si>
  <si>
    <t>Br. Dent. J.</t>
  </si>
  <si>
    <t>10.1038/s41415-023-6239-1</t>
  </si>
  <si>
    <t>R2TS6</t>
  </si>
  <si>
    <t>WOS:001062932300006</t>
  </si>
  <si>
    <t>Kirimli, GU; Hassan, M; Onghanseng, N; Or, C; Yasar, C; Park, S; Akhavanrezayat, A; Mobasserian, A; Yavari, N; Bazojoo, V; Khojasteh, H; Ghoraba, H; Karaca, I; Than, NTT; Zaidi, M; Nguyen, QD</t>
  </si>
  <si>
    <t>Kirimli, Gunay Uludag; Hassan, Muhammad; Onghanseng, Neil; Or, Chris; Yasar, Cigdem; Park, Sungwho; Akhavanrezayat, Amir; Mobasserian, Azadeh; Yavari, Negin; Bazojoo, Vahid; Khojasteh, Hassan; Ghoraba, Hashem; Karaca, Irmak; Than, Ngoc Trong Tuong; Zaidi, Moosa; Nguyen, Quan Dong</t>
  </si>
  <si>
    <t>Ocular manifestations and clinical outcomes in Tubulointerstitial Nephritis and Uveitis Syndrome (TINU)</t>
  </si>
  <si>
    <t>EYE</t>
  </si>
  <si>
    <t>HLA-DR; NEURORETINITIS; FEATURES; DQ</t>
  </si>
  <si>
    <t>PurposeTo describe the various ocular clinical features and visual outcomes in Tubulointerstitial Nephritis and Uveitis Syndrome (TINU).MethodsThe medical records of 13 patients (26 eyes) diagnosed with TINU were reviewed.ResultsTwenty-six (26) eyes of 13 patients with TINU were reviewed in this study. The median age at onset of uveitis was 14 (range, 9-45). Eight (61.5%) subjects were female. The median follow-up of patients was 30 months (range, 6-89 months). Posterior segment findings were seen in 18 eyes of 9 patients (69.2%). The most common posterior findings were optic nerve head inflammation (16 eyes, 88.8%) and retinal vasculitis (13 eyes, 72.2%). Other posterior findings included vitritis (8 eyes, 44.4%), macular edema (6 eyes, 33.3%), snowball (4 eyes, 22.2%), and chorioretinal lesions (2 eye, 11.1%). Eight patients had fluorescein angiography (FA) data available and most eyes had retinal capillary leakage (13 eyes, 81.2%) followed by optic disc staining/leakage (12 eyes, 75%). Twelve (12) patients (92.3%) were treated with immunomodulatory treatment (IMT) and/or biologics. Five patients (%38.4) required biologics to control intraocular inflammation.ConclusionPosterior segment involvement may be common in patients with TINU syndrome. FA provides significant information for detecting posterior segment involvement and disease activity in TINU. The majority of patients required systemic treatment in order to control intraocular inflammation and prevent relapses.</t>
  </si>
  <si>
    <t>[Kirimli, Gunay Uludag; Hassan, Muhammad; Onghanseng, Neil; Or, Chris; Yasar, Cigdem; Park, Sungwho; Akhavanrezayat, Amir; Mobasserian, Azadeh; Yavari, Negin; Bazojoo, Vahid; Khojasteh, Hassan; Ghoraba, Hashem; Karaca, Irmak; Than, Ngoc Trong Tuong; Zaidi, Moosa; Nguyen, Quan Dong] Stanford Univ, Byers Eye Inst, Spencer Ctr Vis Res, Palo Alto, CA 94303 USA</t>
  </si>
  <si>
    <t>Stanford University</t>
  </si>
  <si>
    <t>Nguyen, QD (corresponding author), Stanford Univ, Byers Eye Inst, Spencer Ctr Vis Res, Palo Alto, CA 94303 USA.</t>
  </si>
  <si>
    <t>ndquan@stanford.edu</t>
  </si>
  <si>
    <t>Than, Ngoc/0000-0002-6123-675X; Park, Sung Who/0000-0002-9186-2081</t>
  </si>
  <si>
    <t>0950-222X</t>
  </si>
  <si>
    <t>1476-5454</t>
  </si>
  <si>
    <t>Eye</t>
  </si>
  <si>
    <t>10.1038/s41433-023-02695-6</t>
  </si>
  <si>
    <t>Q8SL4</t>
  </si>
  <si>
    <t>WOS:001060163200001</t>
  </si>
  <si>
    <t>Li, P; Wang, S; Chen, YW</t>
  </si>
  <si>
    <t>Li, Pei; Wang, Su; Chen, Yuwen</t>
  </si>
  <si>
    <t>Use of Real-World Evidence for Drug Regulatory Decisions in China: Current Status and Future Directions</t>
  </si>
  <si>
    <t>Real-world data (RWD); Real-world evidence (RWE); China's regulatory decision-making; Methods and guidelines; Opportunities and challenges</t>
  </si>
  <si>
    <t>Real-world data (RWD) and real-world evidence (RWE) have garnered great interest for supporting drug research and development (R &amp; D) by medical researchers and regulators in recent years. The application and development of RWD/E in drug regulatory decision-making have been vigorously promoted in China. This study seeks to provide a broad overview of how RWE has been contributing to drug regulatory decisions in China. In this paper, we review the development of RWD and RWE, summarize key elements that promote application of RWE, introduce relevant methods and guidelines, elaborate on the opportunities and challenges of RWE in regulatory decision-making in China, and put forward suggestions to promote the application of RWE in China's regulatory decision-making and to further facilitate innovative drug evaluation and regulation.</t>
  </si>
  <si>
    <t>[Li, Pei; Wang, Su; Chen, Yuwen] Shenyang Pharmaceut Univ, Sch Business Adm, Shenyang 110016, Peoples R China; [Wang, Su; Chen, Yuwen] Shenyang Pharmaceut Univ, Res Inst Drug Regulatory Sci, Drug Regulatory Res Base NMPA, Shenyang 110016, Peoples R China</t>
  </si>
  <si>
    <t>Shenyang Pharmaceutical University; Shenyang Pharmaceutical University</t>
  </si>
  <si>
    <t>Chen, YW (corresponding author), Shenyang Pharmaceut Univ, Sch Business Adm, Shenyang 110016, Peoples R China.;Chen, YW (corresponding author), Shenyang Pharmaceut Univ, Res Inst Drug Regulatory Sci, Drug Regulatory Res Base NMPA, Shenyang 110016, Peoples R China.</t>
  </si>
  <si>
    <t>chenyuwen@syphu.edu.cn</t>
  </si>
  <si>
    <t>10.1007/s43441-023-00555-9</t>
  </si>
  <si>
    <t>Q8US6</t>
  </si>
  <si>
    <t>WOS:001060222500001</t>
  </si>
  <si>
    <t>Liu, WB; Zhang, SG</t>
  </si>
  <si>
    <t>Liu, Wenbo; Zhang, Shuguang</t>
  </si>
  <si>
    <t>Accelerated creep model based on the law of energy conservation and analysis of creep parameters</t>
  </si>
  <si>
    <t>MECHANICS OF TIME-DEPENDENT MATERIALS</t>
  </si>
  <si>
    <t>Creep parameter; Nishihara model; Energy conservation; Time; Correlation coefficient</t>
  </si>
  <si>
    <t>This study presents a model to accurately describe the nonlinear deformation pattern of rock creep damage process by incorporating energy principles. The model captures the accelerated creep deformation pattern by considering the relationship between time and creep parameters at each stage of rock creep. A nonlinear creep model based on energy conservation is developed by integrating the time-dependent creep parameters into the model. The identified parameters of the model are compared to validate its feasibility and accuracy. The correlation coefficient between the fitted curve and the test curve exceeds 0.90, confirming the validity of the nonlinear creep energy damage model. Utilizing the energy conservation law, the model effectively characterizes the damage evolution throughout the whole creep process and accurately represents the nonlinear deformation behavior during the accelerated creep stage of rocks. Compared with the Nishihara model, the model presented in this study demonstrates a better fit with the test curve, serving as a novel approach for creep modeling.</t>
  </si>
  <si>
    <t>[Liu, Wenbo; Zhang, Shuguang] Guangxi Key Lab Geomech &amp; Geotech Engn, Guilin 541004, Peoples R China; [Liu, Wenbo; Zhang, Shuguang] Guilin Univ Technol, Sch Civil Engn, Guilin 541004, Peoples R China; [Liu, Wenbo] Chinese Acad Sci, Inst Rock &amp; Soil Mech, State Key Lab Geomech &amp; Geotech Engn, Wuhan 430071, Hubei, Peoples R China</t>
  </si>
  <si>
    <t>Guilin University of Technology; Chinese Academy of Sciences; Wuhan Institute of Rock &amp; Soil Mechanics, CAS</t>
  </si>
  <si>
    <t>Zhang, SG (corresponding author), Guangxi Key Lab Geomech &amp; Geotech Engn, Guilin 541004, Peoples R China.;Zhang, SG (corresponding author), Guilin Univ Technol, Sch Civil Engn, Guilin 541004, Peoples R China.</t>
  </si>
  <si>
    <t>guilinligong753@163.com</t>
  </si>
  <si>
    <t>National Natural Science Foundation of China [42067041]; Guangxi Natural Science Foundation [2020GXNSFAA159125]</t>
  </si>
  <si>
    <t>National Natural Science Foundation of China(National Natural Science Foundation of China (NSFC)); Guangxi Natural Science Foundation(National Natural Science Foundation of Guangxi Province)</t>
  </si>
  <si>
    <t>This work was supported by the National Natural Science Foundation of China (Grant No. 42067041) and the Guangxi Natural Science Foundation (Grant No. 2020GXNSFAA159125).</t>
  </si>
  <si>
    <t>1385-2000</t>
  </si>
  <si>
    <t>1573-2738</t>
  </si>
  <si>
    <t>MECH TIME-DEPEND MAT</t>
  </si>
  <si>
    <t>Mech. Time-Depend. Mater.</t>
  </si>
  <si>
    <t>10.1007/s11043-023-09628-6</t>
  </si>
  <si>
    <t>Mechanics; Materials Science, Characterization &amp; Testing</t>
  </si>
  <si>
    <t>Mechanics; Materials Science</t>
  </si>
  <si>
    <t>Q8UO7</t>
  </si>
  <si>
    <t>WOS:001060218600001</t>
  </si>
  <si>
    <t>Natesan, G; Manikandan, N; Pradeep, K; Annabel, LSP</t>
  </si>
  <si>
    <t>Natesan, Gobalakrishnan; Manikandan, N.; Pradeep, K.; Sherly Puspha Annabel, L.</t>
  </si>
  <si>
    <t>Task scheduling based on minimization of makespan and energy consumption using binary GWO algorithm in cloud environment</t>
  </si>
  <si>
    <t>PEER-TO-PEER NETWORKING AND APPLICATIONS</t>
  </si>
  <si>
    <t>Cloud Computing; Optimization; Meta-heuristics; Scheduling; QoS; Binary-GWO; Degree of Imbalance; Makespan</t>
  </si>
  <si>
    <t>OPTIMIZATION; COST</t>
  </si>
  <si>
    <t>The Cloud environment had been the go-to for many users recently. Once request from users get submitted, cloud resources are put into action to fulfill the request. Scheduling is the primary task in cloud that needs to be up-to the mark for completing the requests swiftly. Multiple dynamic requests are submitted simultaneously by cloud users that necessitates precise and prompt scheduling in cloud. Scheduling in cloud may be hampered by various constraints, take for example the various QoS parameters that needs to be upheld. Though many researchers had proposed solutions for scheduling in cloud, improvisations can still be made by combining several QoS parameters that help attain optimized scheduling in cloud to boost the overall cloud performance. In this paper, we had proposed a Binary Grey Wolf Optimization (BGWO) algorithm to optimize the scheduling activity in cloud computing environment. The BGWO is a multi-heuristic algorithm where tasks are scheduled based on a fitness function, explicitly designed for achieving optimization goal. The fitness function that had been designed comprises of three prime parameters namely, the degree of imbalance (DoI), energy consumption and makespan. The performance efficiency of the proposed BGWO had been ascertained by comparing it with Oppositional based Grey Wolf Optimization algorithm (OGWO) and Mean Grey Wolf Optimization algorithm (Mean GWO) with respect to imbalance, energy and makespan parameters. The proposed algorithm had produced a cumulative improvement of 10.13% and 17.4% for makespan, 30.18% and 41.96% for DoI, 8.94% and 14.95% for energy consumption parameters. Detailed comparative results obtained had been described in the Results part of this research article.</t>
  </si>
  <si>
    <t>[Natesan, Gobalakrishnan] Sri Venkateswara Coll Engn, Dept Informat Technol, Sriperumbudur, India; [Manikandan, N.] SRM Inst Sci &amp; Technol, Dept Data Sci &amp; Business Syst, Kattankulathur, India; [Pradeep, K.] Vellore Inst Technol, Sch Comp Sci &amp; Engn, Chennai, India; [Sherly Puspha Annabel, L.] St Josephs Coll Engn, Dept Informat Technol, Chennai, India</t>
  </si>
  <si>
    <t>SRM Institute of Science &amp; Technology Chennai; Vellore Institute of Technology (VIT); VIT Chennai; St. Joseph's College of Engineering, Chennai</t>
  </si>
  <si>
    <t>Natesan, G (corresponding author), Sri Venkateswara Coll Engn, Dept Informat Technol, Sriperumbudur, India.</t>
  </si>
  <si>
    <t>gobalakrishnanse@gmail.com; macs2005ciet@gmail.com; pradeepkrishnadoss@gmail.com; sherlyannabel@gmail.com</t>
  </si>
  <si>
    <t>Annabel, L. Sherly Puspha/AAH-8218-2020</t>
  </si>
  <si>
    <t>1936-6442</t>
  </si>
  <si>
    <t>1936-6450</t>
  </si>
  <si>
    <t>PEER PEER NETW APPL</t>
  </si>
  <si>
    <t>Peer Peer Netw. Appl.</t>
  </si>
  <si>
    <t>10.1007/s12083-023-01536-3</t>
  </si>
  <si>
    <t>Q8VA7</t>
  </si>
  <si>
    <t>WOS:001060230600001</t>
  </si>
  <si>
    <t>Pajand, O; Rahimi, H; Badmasti, F; Gholami, F; Alipour, T; Darabi, N; Aarestrup, FM; Leekitcharoenphon, P</t>
  </si>
  <si>
    <t>Pajand, Omid; Rahimi, Hamzeh; Badmasti, Farzad; Gholami, Faeze; Alipour, Tahereh; Darabi, Narges; Aarestrup, Frank M.; Leekitcharoenphon, Pimlapas</t>
  </si>
  <si>
    <t>Various arrangements of mobile genetic elements among CC147 subpopulations of Klebsiella pneumoniae harboring bla(NDM-1): a comparative genomic analysis of carbapenem resistant strains</t>
  </si>
  <si>
    <t>JOURNAL OF BIOMEDICAL SCIENCE</t>
  </si>
  <si>
    <t>Klebsiella pneumoniae; Iran; MGEs; OXA-48; High-risk clones; ST147; armA; Whole genome sequencing; Phylogeny</t>
  </si>
  <si>
    <t>ENTEROBACTERIACEAE; PERFORMANCE</t>
  </si>
  <si>
    <t>Background Certain clonal complexes (CCs) of Klebsiella pneumoniae such as CC147 (ST147 and ST392) are major drivers of bla(NDM) dissemination across the world. ST147 has repeatedly reported from our geographical region, but its population dynamics and evolutionary trajectories need to be further studied. Methods Comparative genomic analysis of 51 carbapenem-nonsusceptible strains as well as three hypervirulent K. pneumoniae (hvKp) recovered during 16-months of surveillance was performed using various bioinformatics tools. We investigated the genetic proximity of our ST147 strains with publicly available corresponding genomes deposited globally and from neighbor countries in our geographic region. Results While IncL/M plasmid harboring bla(OXA-48) was distributed among divergent clones, bla(NDM-1) was circulated by twenty of the 25 CC147 dominant clone and were mostly recovered from the ICU. The NDM-1 core structure was bracketed by a single isoform of mobile genetic elements (MGEs) [Delta ISKpn26-NDM-TnAs3-Delta IS3000-Tn5403] and was located on Col440I plasmid in 68.7% of ST392. However, various arrangements of MGEs including MITESen1/MITESen1 composite transposon or combination of MITESen1/ISSen4/IS903B/IS5/ISEhe3 on IncFIb (pB171) were identified in ST147. It seems that ST392 circulated bla(NDM-1) in 2018 before being gradually replaced by ST147 from the middle to the end of sample collection in 2019. ST147 strains possessed the highest number of resistance markers and showed high genetic similarity with four public genomes that harbored bla(NDM-1) on the same replicon type. Mainly, there was a convergence between clusters and isolated neighboring countries in the minimum-spanning tree. A conserved arrangement of resistance markers/MGEs was linked to methyltransferase armA which was embedded in class 1 integron in 8 isolates of ST147/ST48 high-risk clones. Conclusion Our findings highlight the dynamic nature of bla(NDM-1) transmission among K. pneumoniae in Iran that occurs both clonally and horizontally via various combinations of MGEs. This is the first analysis of Iranian ST147/NDM + clone in the global context.</t>
  </si>
  <si>
    <t>[Pajand, Omid; Aarestrup, Frank M.; Leekitcharoenphon, Pimlapas] Tech Univ Denmark, Natl Food Inst, Res Grp Genom Epidemiol, Lyngby, Denmark; [Pajand, Omid] Semnan Univ Med Sci, Kowsar Educ Res &amp; Therapeut Hosp, Clin Res Dev Unit, Semnan, Iran; [Pajand, Omid] Semnan Univ Med Sci, Abnormal Uterine Bleeding Res Ctr, Semnan, Iran; [Rahimi, Hamzeh; Badmasti, Farzad] Pasteur Inst Iran, Dept Bacteriol, Tehran, Iran; [Gholami, Faeze] Semnan Univ Med Sci, Social Determinants Hlth Res Ctr, Semnan, Iran; [Alipour, Tahereh; Darabi, Narges] Semnan Univ Med Sci, Fac Med, Microbiol Dept, Semnan, Iran</t>
  </si>
  <si>
    <t>Technical University of Denmark; Semnan University of Medical Sciences; Semnan University of Medical Sciences; Le Reseau International des Instituts Pasteur (RIIP); Pasteur Institute of Iran; Semnan University of Medical Sciences; Semnan University of Medical Sciences</t>
  </si>
  <si>
    <t>Aarestrup, FM (corresponding author), Tech Univ Denmark, Natl Food Inst, Res Grp Genom Epidemiol, Lyngby, Denmark.</t>
  </si>
  <si>
    <t>fmaa@food.dtu.dk</t>
  </si>
  <si>
    <t>Pajand, Omid/0000-0002-1000-0448; Aarestrup, Frank/0000-0002-7116-2723; Leekitcharoenphon, Pimlapas/0000-0002-5674-0142</t>
  </si>
  <si>
    <t>We would like to thank the Clinical Research Development Unit of Kowsar Educational and Research and Therapeutic Center of Semnan University of Medical Sciences for providing facilities to this work. In memory of our deceased colleague, Prof. Zoya Hojabri.; Clinical Research Development Unit of Kowsar Educational and Research and Therapeutic Center of Semnan University of Medical Sciences</t>
  </si>
  <si>
    <t>We would like to thank the Clinical Research Development Unit of Kowsar Educational and Research and Therapeutic Center of Semnan University of Medical Sciences for providing facilities to this work. In memory of our deceased colleague, Prof. Zoya Hojabri. Rest in peace, ESHGH.</t>
  </si>
  <si>
    <t>1021-7770</t>
  </si>
  <si>
    <t>1423-0127</t>
  </si>
  <si>
    <t>J BIOMED SCI</t>
  </si>
  <si>
    <t>J. Biomed. Sci.</t>
  </si>
  <si>
    <t>10.1186/s12929-023-00960-0</t>
  </si>
  <si>
    <t>Cell Biology; Medicine, Research &amp; Experimental</t>
  </si>
  <si>
    <t>Q0HV6</t>
  </si>
  <si>
    <t>WOS:001054415200001</t>
  </si>
  <si>
    <t>Ranjbar, H; Farajollahi, A; Rostami, M</t>
  </si>
  <si>
    <t>Ranjbar, Hamed; Farajollahi, Amirhamzeh; Rostami, Mohsen</t>
  </si>
  <si>
    <t>Targeted drug delivery in pulmonary therapy based on adhesion and transmission of nanocarriers designed with a metal-organic framework</t>
  </si>
  <si>
    <t>BIOMECHANICS AND MODELING IN MECHANOBIOLOGY</t>
  </si>
  <si>
    <t>Metal-organic frameworks; Targeted drug delivery; Nanocarriers; Magnetic field; Pulmonary</t>
  </si>
  <si>
    <t>SIMULATION; DEPOSITION; PARTICLES; FLOW; MICROBUBBLES; NANOPARTICLES; SYSTEM; MOTION; TUMOR; MODEL</t>
  </si>
  <si>
    <t>With the recent increase in lung diseases, especially with the onset of the coronavirus pandemic, the design of a highly efficient and optimal targeted drug delivery system for the lungs is crucial in inhaler-based delivery systems. This study aimed to design a magnetic field-assisted targeted drug delivery system to the lungs using three types of metal-organic frameworks (MOFs) and nanoliposomes. The optimization of the system was based on three main parameters: the surface density of the nanocarriers' (NCs) adherence to each of the lung branches, the amount of drug transferred to each branch, and the toxicity based on the rate of nanocarrier delivery to the branches. The study investigated the effect of increasing the diameter of the drug carriers and the amount of drug loaded onto the NCs in improving drug delivery to targeted areas of the lung. Results showed that the presence of a magnetic field significantly increased the adhesion of NCs to the targeted branches. The application of a magnetic field and the type of drug carrier had a significant effect on drug delivery downstream of the lung and reduced drug toxicity. The study found that Fe3O4@UiO-66 (iron-oxide nanoparticle attached to the surface of UiO-66, a type of MOF) and Fe3O4@PAA/AuNCs/ZIF-8 carriers, (iron-oxide nanoparticle attached to a hybrid structure composed of three different materials: poly (acrylic acid) (PAA), gold nanoclusters (AuNCs), and zeolitic imidazolate framework-8 (ZIF-8)), had the greatest drug delivery rate in diameters above 200 nm and less than 200 nm, respectively.</t>
  </si>
  <si>
    <t>[Ranjbar, Hamed] Univ Tabriz, Sch Mech Engn, Tabriz, Iran; [Farajollahi, Amirhamzeh; Rostami, Mohsen] Univ Imam Ali, Dept Engn, Tehran, Iran</t>
  </si>
  <si>
    <t>University of Tabriz</t>
  </si>
  <si>
    <t>Farajollahi, A (corresponding author), Univ Imam Ali, Dept Engn, Tehran, Iran.</t>
  </si>
  <si>
    <t>a.farajollahi@sharif.edu</t>
  </si>
  <si>
    <t>Farajollahi, Amir hamzeh/0000-0001-9201-1871</t>
  </si>
  <si>
    <t>The authors declare that they have no known competing for financial interests or personal relationships that could have influenced the work reported in this paper.</t>
  </si>
  <si>
    <t>1617-7959</t>
  </si>
  <si>
    <t>1617-7940</t>
  </si>
  <si>
    <t>BIOMECH MODEL MECHAN</t>
  </si>
  <si>
    <t>Biomech. Model. Mechanobiol.</t>
  </si>
  <si>
    <t>10.1007/s10237-023-01756-9</t>
  </si>
  <si>
    <t>Biophysics; Engineering, Biomedical</t>
  </si>
  <si>
    <t>Biophysics; Engineering</t>
  </si>
  <si>
    <t>Q8JO7</t>
  </si>
  <si>
    <t>WOS:001059932200001</t>
  </si>
  <si>
    <t>Safa, MA; Sheykholmoluki, H</t>
  </si>
  <si>
    <t>Safa, Mohammad Ahmadi; Sheykholmoluki, Hamidreza</t>
  </si>
  <si>
    <t>An impact study of the Iranian National University Entrance Exam from students and parents' perspectives</t>
  </si>
  <si>
    <t>LANGUAGE TESTING IN ASIA</t>
  </si>
  <si>
    <t>Consequential validity; High-stakes test; INUEE; Test fairness</t>
  </si>
  <si>
    <t>STAKES; CONSEQUENCES; VALIDATION; TEACHERS; VALIDITY</t>
  </si>
  <si>
    <t>As a part of a larger project, this study reports a large-scale investigation of the impacts of the Iranian National University Entrance Examination (INUEE) on Iranian high school students and their parents. For this purpose, in a mixed methods research design, 1350 high school students selected based on convenience sampling from three western provinces of Iran were given a researcher-made Likert scale questionnaire; moreover, 27 parents sat for a semi-structured interview. The quantitative data obtained from the questionnaire were subject to inferential statistical analyses, and the qualitative interview data were first transcribed, and then the transcriptions were subjected to content analysis to extract common patterns and recurring themes. The integrated results obtained from the quantitative and qualitative data analyses indicated that from most of the participants' points of view, INUEE had detrimental impacts on students' and their parents' educational, personal, and social life. From students' perspective, INUEE had the most harmful impact on their physical and psychological well-being, and from parents' vantage point, the most negative impacts of INUEE were on the economy of the family and their social activities and entertainments. The findings of the study provide further evidence of the consequential invalidity of such large-scale high-stakes tests and the negative consequences following them. Furthermore, the attested negative impacts of high-stakes large-scale testing on the test takers, their family members, and the educational systems jeopardize educational justice in general and the usefulness and fairness of such tests in particular.</t>
  </si>
  <si>
    <t>[Safa, Mohammad Ahmadi; Sheykholmoluki, Hamidreza] Bu Ali Sina Univ, Dept English Language, Hamadan, Iran</t>
  </si>
  <si>
    <t>Bu Ali Sina University</t>
  </si>
  <si>
    <t>Safa, MA (corresponding author), Bu Ali Sina Univ, Dept English Language, Hamadan, Iran.</t>
  </si>
  <si>
    <t>m.ahmadisafa@basu.ac.ir</t>
  </si>
  <si>
    <t>2229-0443</t>
  </si>
  <si>
    <t>LANG TEST ASIA</t>
  </si>
  <si>
    <t>Lang. Test. Asia</t>
  </si>
  <si>
    <t>10.1186/s40468-023-00254-0</t>
  </si>
  <si>
    <t>Education &amp; Educational Research; Linguistics; Language &amp; Linguistics</t>
  </si>
  <si>
    <t>Education &amp; Educational Research; Linguistics</t>
  </si>
  <si>
    <t>Q0BX8</t>
  </si>
  <si>
    <t>WOS:001054257800001</t>
  </si>
  <si>
    <t>Schlogl, C; Boric, S; Reichmann, G</t>
  </si>
  <si>
    <t>Schloegl, Christian; Boric, Sandra; Reichmann, Gerhard</t>
  </si>
  <si>
    <t>Publication and citation patterns of Austrian researchers in operations research and other sub-disciplines of business administration as indexed in Web of Science and Scopus</t>
  </si>
  <si>
    <t>CENTRAL EUROPEAN JOURNAL OF OPERATIONS RESEARCH</t>
  </si>
  <si>
    <t>Business Administration sub-disciplines; Operations Research; Publication analysis; Citation analysis; Web of Science; Scopus; Austria</t>
  </si>
  <si>
    <t>GOOGLE SCHOLAR; INFORMATION; MANAGEMENT; COVERAGE; FIELDS</t>
  </si>
  <si>
    <t>There are many studies which compared the publication and citation patterns among different research disciplines. However, one level below, potential differences within disciplines are not as well researched. Our article contributes to the research of said level by investigating the publication and citation behaviours of ten sub-disciplines of business administration and the potential differences between them. Of particular interest is a comparison of Operations Research with the other nine sub-disciplines. As research method, we conducted a scientometric analysis covering 283 professors at Austrian universities that offer a business administration program. Their publications over a ten-years period and the citations they have accumulated were retrieved from Web of Science (WoS) and Scopus. The results unveil strong differences between the analysed ten sub-disciplines, which are partially even greater than those between overall disciplines. Due to its interdisciplinary nature, we expected to see some peculiarities in the results for Operations Research. Authors from this sub-discipline are very present in WoS and Scopus. This sub-discipline achieves the highest average number of publications per researcher, and the highest self-citation rate. Apart from Operations Research, some other sub-disciplines also showed particular characteristics. This concerns especially Accounting, where publications often appear in German and in practitioner journals due to their national legalistic content. As was expected, Scopus overall has a higher coverage than WoS. However, the extent varies strongly among sub-disciplines.</t>
  </si>
  <si>
    <t>[Schloegl, Christian; Boric, Sandra; Reichmann, Gerhard] Karl Franzens Univ Graz, Inst Operat &amp; Informat Syst, Univ Str 15-F3, A-8010 Graz, Austria</t>
  </si>
  <si>
    <t>University of Graz</t>
  </si>
  <si>
    <t>Schlogl, C (corresponding author), Karl Franzens Univ Graz, Inst Operat &amp; Informat Syst, Univ Str 15-F3, A-8010 Graz, Austria.</t>
  </si>
  <si>
    <t>christian.schloegl@uni-graz.at; sandra.boric@uni-graz.at; gerhard.reichmann@uni-graz.at</t>
  </si>
  <si>
    <t>The authors thank the reviewers for their helpful comments.</t>
  </si>
  <si>
    <t>1435-246X</t>
  </si>
  <si>
    <t>1613-9178</t>
  </si>
  <si>
    <t>CENT EUR J OPER RES</t>
  </si>
  <si>
    <t>Cent. Europ. J. Oper. Res.</t>
  </si>
  <si>
    <t>10.1007/s10100-023-00877</t>
  </si>
  <si>
    <t>Q8JQ1</t>
  </si>
  <si>
    <t>WOS:001059933800001</t>
  </si>
  <si>
    <t>Shady, MM; Abd El-Rahman, RM; Saied, AMM; Taman, SE</t>
  </si>
  <si>
    <t>Shady, Magda Mohammed; Abd El-Rahman, Rehab Mostafa; Saied, Ahmed Mostafa Mohamed; Taman, Saher Ebrahim</t>
  </si>
  <si>
    <t>Role of magnetic resonance diffusion tensor imaging in assessment of back muscles in young adults with chronic low back pain</t>
  </si>
  <si>
    <t>EGYPTIAN JOURNAL OF RADIOLOGY AND NUCLEAR MEDICINE</t>
  </si>
  <si>
    <t>Back muscles; Diffusion tensor imaging; Fractional anisotropy; Low back pain; Mean diffusivity</t>
  </si>
  <si>
    <t>CROSS-SECTIONAL AREA; OLDER-ADULTS; AGE; INFILTRATION; MULTIFIDI; TIME</t>
  </si>
  <si>
    <t>BackgroundLow back pain (LBP) is one of the most common musculoskeletal complaints and considered as the most disabling condition among general population. Magnetic resonance imaging (MRI) is the preferred modality in imaging of LBP. Diffusion tensor imaging (DTI) is a version of MRI that can detect tissue microstructure changes occurring in different pathologies. The commonly used parameters are fractional anisotropy (FA) and mean diffusivity (MD). We aimed in this study to evaluate the role of DTI in the assessment of back muscles in young adults with chronic LBP with no major neurological or orthopedic disorders.ResultsThere was a statistically significant difference in MD values of back muscles between patients and control groups. At the ROC curve, for psoas muscle, the AUC was 0.906 with a cutoff point of 0.951. Sensitivity and specificity were 89.2% and 90.9% with accuracy 89.8%. For multifidus muscle, the AUC was 0.919 with a cutoff point of 1.29. Sensitivity and specificity were 91.9% and 90.9% with accuracy 91.4%. For erector spinae muscle, the AUC was 0.834 with a cutoff point of 1.224. Sensitivity and specificity were 81.1% and 72.7% with accuracy 77.9%. There was a statistically significant difference in FA values of back muscles between the patients and control groups. At the ROC curve, for psoas muscle, the AUC was 0.840 with a cutoff point of 0.546. Sensitivity and specificity were 81.1% and 72.7% with accuracy 77.97%. For multifidus muscle, the AUC was 0.875 with a cutoff point of 0.415. Sensitivity and specificity were 81.1% and 90.9% with accuracy 84.7%. For erector spinae muscle, the AUC was 0.805 with a cutoff point of 0.437. Sensitivity and specificity were 81.1% and 77.3% with accuracy 79.7%.ConclusionsDTI is a valuable promising noninvasive tool in the assessment of back muscles quality in patient with chronic low back pain, with no detected neurological or orthopedic pathologies. This is due to its sensitivity to microscopic intracellular changes that could not be detected on conventional imaging, allowing better tissue characterization.</t>
  </si>
  <si>
    <t>[Shady, Magda Mohammed; Abd El-Rahman, Rehab Mostafa; Taman, Saher Ebrahim] Mansoura Univ, Mansoura Fac Med, Dept Diagnost Radiol, 72 Gomhorya St, Mansoura 35516, Dakahlia, Egypt; [Saied, Ahmed Mostafa Mohamed] Mansoura Univ, Mansoura Fac Med, Dept Orthoped, 72 Gomhorya St, Mansoura 35516, Dakahlia, Egypt</t>
  </si>
  <si>
    <t>Egyptian Knowledge Bank (EKB); Mansoura University; Egyptian Knowledge Bank (EKB); Mansoura University</t>
  </si>
  <si>
    <t>Taman, SE (corresponding author), Mansoura Univ, Mansoura Fac Med, Dept Diagnost Radiol, 72 Gomhorya St, Mansoura 35516, Dakahlia, Egypt.</t>
  </si>
  <si>
    <t>sahertaman@mans.edu.eg</t>
  </si>
  <si>
    <t>2090-4762</t>
  </si>
  <si>
    <t>EGYPT J RADIOL NUC M</t>
  </si>
  <si>
    <t>Egypt. J. Radiol. Nucl. Med.</t>
  </si>
  <si>
    <t>10.1186/s43055-023-01090-1</t>
  </si>
  <si>
    <t>Q5PC6</t>
  </si>
  <si>
    <t>WOS:001058031700002</t>
  </si>
  <si>
    <t>Vasudeva, A; Tripathi, R</t>
  </si>
  <si>
    <t>Vasudeva, Abhimanyu; Tripathi, Richa</t>
  </si>
  <si>
    <t>Pregabalin Dependence and Management in a 55-Year-Old Female with Chronic Low Back Pain</t>
  </si>
  <si>
    <t>dependence; tapering; chronic pain; pain; pregabalin</t>
  </si>
  <si>
    <t>This case report explores the complexities of managing chronic pain and the subsequent development of pregabalin dependence in a 55-year-old female patient with a prior history of vertebral fracture. Over a period of 10 years, the patient relied on a combination of Aceclofenac and pregabalin to alleviate her pain. An alternative treatment approach was implemented, involving adjustments to medication dosages and gradual tapering. Throughout the treatment process, interdisciplinary collaboration played a pivotal role in addressing unexpected symptoms such as facial movements and neck swelling. This case report highlights the significance of recognizing and addressing pregabalin dependence in patients with chronic pain.</t>
  </si>
  <si>
    <t>[Vasudeva, Abhimanyu] All India Inst Med Sci, Phys Med &amp; Rehabil, Gorakhpur, India; [Tripathi, Richa] All India Inst Med Sci, Psychiat, Gorakhpur, India</t>
  </si>
  <si>
    <t>Tripathi, R (corresponding author), All India Inst Med Sci, Psychiat, Gorakhpur, India.</t>
  </si>
  <si>
    <t>drricha12@gmail.com</t>
  </si>
  <si>
    <t>Vasudeva, Abhimanyu/0000-0001-5037-6936</t>
  </si>
  <si>
    <t>e44085</t>
  </si>
  <si>
    <t>10.7759/cureus.44085</t>
  </si>
  <si>
    <t>R1VX3</t>
  </si>
  <si>
    <t>WOS:001062298600014</t>
  </si>
  <si>
    <t>Wang, CX; Liu, QL; Zhou, HP; Wu, T; Liu, HW; Huang, J; Zhuo, YX; Li, ZL; Li, K</t>
  </si>
  <si>
    <t>Wang, Changxi; Liu, Qilin; Zhou, Haopeng; Wu, Tong; Liu, Haowen; Huang, Jin; Zhuo, Yixuan; Li, Zhenlin; Li, Kang</t>
  </si>
  <si>
    <t>Anomaly prediction of CT equipment based on IoMT data</t>
  </si>
  <si>
    <t>BMC MEDICAL INFORMATICS AND DECISION MAKING</t>
  </si>
  <si>
    <t>Anomaly prediction; CT equipment; Internet of Medical Things; Multivariate time series Classification; Maintenance strategy</t>
  </si>
  <si>
    <t>PREVENTIVE MAINTENANCE; SYSTEM</t>
  </si>
  <si>
    <t>Background Large-scale medical equipment, which is extensively implemented in medical services, is of vital importance for diagnosis but vulnerable to various anomalies and failures. Most hospitals that conduct regular maintenance have been suffering from medical equipment-related incidents for years. Currently, the Internet of Medical Things (IoMT) has emerged as a crucial tool in monitoring the real-time status of the medical equipment. In this paper, we develop an IoMT system of Computed Tomography (CT) equipment in the West China Hospital, Sichuan University and collected the system status time-series data. Novel multivariate time-series classification models and frameworks are proposed to predict the anomalies of CT equipment. The important features that are closely related to the equipment anomalies are identified with the model. Methods We extracted the real-time CT equipment status time-series data of 11 equipment between May 19, 2020 and May 19, 2021 from the IoMT, which includes the equipment oil temperature, anode voltage, etc. The arcs are identified as labels of anomalies due to their relationship with decreased imaging quality and CT equipment failures. To improve prediction accuracy, the statistics and transformations of the raw historical time-series data segment in the sliding time window are used to construct new features. Due to the particularity of time-series data, two frameworks are proposed for splitting the training and test sets. Then the Decision Tree, Support Vector Machine, Logistic Regression, Naive Bayesian, and K-Nearest Neighbor classification models are used to classify the system status. We also compare our model to state-of-the-art models. Results The results show that the anomaly prediction accuracy and recall of our method are 79% and 77%, respectively. The oil temperature and anode voltage are identified as the decisive features that may lead to anomalies. The proposed model outperforms the others when predicting the anomalies of the CT equipment based on our dataset. Conclusions The proposed method could predict the state of CT equipment and be used as a reference for practical maintenance, where unexpected anomalies of medical equipment could be reduced. It also brings new insights into how to handle non-uniform and imbalanced time series data in practical cases.</t>
  </si>
  <si>
    <t>[Wang, Changxi; Liu, Qilin; Wu, Tong; Liu, Haowen; Huang, Jin; Zhuo, Yixuan; Li, Kang] Sichuan Univ, West China Hosp, Med Equipment Innovat Res Ctr, Biomed Big Data Ctr,MedX Ctr Informat, Chengdu 610041, Peoples R China; [Wang, Changxi] Sichuan Univ, Pittsburgh Inst, Chengdu 610207, Peoples R China; [Zhou, Haopeng] Sichuan Univ, Coll Elect Engn, Chengdu 610065, Peoples R China; [Li, Zhenlin] Sichuan Univ, West China Hosp, Dept Radiol, Chengdu 610041, Peoples R China</t>
  </si>
  <si>
    <t>Sichuan University; Sichuan University; Sichuan University; Sichuan University</t>
  </si>
  <si>
    <t>Huang, J; Li, K (corresponding author), Sichuan Univ, West China Hosp, Med Equipment Innovat Res Ctr, Biomed Big Data Ctr,MedX Ctr Informat, Chengdu 610041, Peoples R China.</t>
  </si>
  <si>
    <t>michael_huangjin@163.com; likang@wchscu.cn</t>
  </si>
  <si>
    <t>1472-6947</t>
  </si>
  <si>
    <t>BMC MED INFORM DECIS</t>
  </si>
  <si>
    <t>BMC Med. Inform. Decis. Mak.</t>
  </si>
  <si>
    <t>10.1186/s12911-023-02267-4</t>
  </si>
  <si>
    <t>Medical Informatics</t>
  </si>
  <si>
    <t>Q0HY9</t>
  </si>
  <si>
    <t>WOS:001054418500001</t>
  </si>
  <si>
    <t>Xue, S; Pan, CH; Wang, CS; Lian, PY; Yan, YF; Xu, Q; Wang, N; Li, N; Wang, XJ; Zhao, WL; Howard, I</t>
  </si>
  <si>
    <t>Xue, Song; Pan, Chenghui; Wang, Congsi; Lian, Peiyuan; Yan, Yuefei; Xu, Qian; Wang, Na; Li, Ning; Wang, Xiaojie; Zhao, Wulin; Howard, Ian</t>
  </si>
  <si>
    <t>Mathematical Modeling of the Elastic Ring Time-Varying Transmission Path for Planetary Gear Condition Monitoring</t>
  </si>
  <si>
    <t>JOURNAL OF VIBRATION ENGINEERING &amp; TECHNOLOGIES</t>
  </si>
  <si>
    <t>Planetary gear; Modulation effect; Moving load problem; Window function; Condition monitoring</t>
  </si>
  <si>
    <t>VIBRATION SIGNAL MODELS; FAULT-DIAGNOSIS; DYNAMIC-MODEL; SIDE-BAND; SET; SIMULATION; FREQUENCY</t>
  </si>
  <si>
    <t>PurposeThe mounted stationary sensor on the ring casing has become a widely accepted way to monitor the planetary gear condition and one challenging aspect of this method is the modulation effect caused by the moving planet gears. It is valuable to study the modulation effect caused by the moving planet gears.MethodDifferent window functions have been proposed to model this modulation phenomenon and there are several drawbacks: the selection of the window function parameters is often arbitrary and subjective instead of basing on the planetary gear physical parameter; the current window function is hard to reflect the impact from the ring gear boundary conditions. Therefore, this paper simulated this modulation phenomenon as moving load dynamic problem to overcome these drawbacks, where the ring casing has been modelled as an axisymmetric flexible structure and the internal meshing forces have been modelled as spatially varying moving loads. Based on the improved hamming window function, this paper related the window function parameters with the planetary gear physical properties and operation conditions and then, quantified the modulation effect with the consideration of moving load speed as well as the ring gear boundary condition.ResultsFor the planetary gear carrier arm rotation speed, the result suggested that the moving speed mainly affect the parameter &amp; beta; and the corresponding value showed a nonlinear decreasing trend when the moving speed increased. For the ring gear rim thickness, similarly, parameter &amp; beta; increased significantly with the increase of the rim value. For the radial support stiffness, parameter &amp; beta; has also been affected most and it shows a decreasing trend when the support stiffness increased. For the sensor location, both parameter &amp; alpha; and &amp; beta; shows a periodical change around the ring casing.ConclusionThe results suggested that both parameters have been impacted by the rotation speed and boundary conditions, among which parameter &amp; beta; has been impacted most.</t>
  </si>
  <si>
    <t>[Xue, Song; Pan, Chenghui; Lian, Peiyuan] Xidian Univ, Sch Mechanoelect Engn, Xian, Shaanxi, Peoples R China; [Wang, Congsi; Yan, Yuefei] Xidian Univ, Guangzhou Inst Technol, Guangzhou, Guangdong, Peoples R China; [Xu, Qian; Wang, Na] Chinese Acad Sci, Xinjiang Astron Observ, Urumqi, Peoples R China; [Li, Ning; Wang, Xiaojie] Xian Microelect Technol Inst, Xian, Shaanxi, Peoples R China; [Zhao, Wulin] 39th Res Inst China Elect Technol Grp Corp, Xian, Shaanxi, Peoples R China; [Howard, Ian] Curtin Univ, Dept Mech Engn, Bentley, WA, Australia</t>
  </si>
  <si>
    <t>Xidian University; Xidian University; Chinese Academy of Sciences; Xinjiang Astronomy Observatory, NACO, CAS; Curtin University</t>
  </si>
  <si>
    <t>Wang, CS (corresponding author), Xidian Univ, Guangzhou Inst Technol, Guangzhou, Guangdong, Peoples R China.</t>
  </si>
  <si>
    <t>sxue@xidian.edu.cn; chpan1997@163.com; congsiwang@163.com; lian100fen@126.com; yfyan530@163.com; xuqian@xao.ac.cn; na.wang@xao.ac.cn; xwidz66@163.com; xiaojie_263@sina.com; zhaowulin5678@163.com; I.Howard@exchange.curtin.edu.au</t>
  </si>
  <si>
    <t>Pan, Chenghui/HGU-6567-2022</t>
  </si>
  <si>
    <t>National Natural Science Foundation of China [52005377, 52275269]; National Key Research and Development Program of China [2021YFC2203600]; Natural Science Foundation of Shaanxi Province [2020JQ290]; Youth Innovation Team of Shaanxi Universities [201926]; Fundamental Research Funds for the Central Universities [JB210404, JB210403]</t>
  </si>
  <si>
    <t>National Natural Science Foundation of China(National Natural Science Foundation of China (NSFC)); National Key Research and Development Program of China; Natural Science Foundation of Shaanxi Province(Natural Science Foundation of Shaanxi Province); Youth Innovation Team of Shaanxi Universities; Fundamental Research Funds for the Central Universities(Fundamental Research Funds for the Central Universities)</t>
  </si>
  <si>
    <t>This work was supported by the National Natural Science Foundation of China under No. 52005377, 52275269, National Key Research and Development Program of China under No. 2021YFC2203600, Natural Science Foundation of Shaanxi Province &amp; nbsp;under No. 2020JQ290, Youth Innovation Team of Shaanxi Universities under No. 201926, Fundamental Research Funds for the Central Universities (Grant No. JB210404 and JB210403).</t>
  </si>
  <si>
    <t>2523-3920</t>
  </si>
  <si>
    <t>2523-3939</t>
  </si>
  <si>
    <t>J VIB ENG TECHNOL</t>
  </si>
  <si>
    <t>J. Vib. Eng. Technol.</t>
  </si>
  <si>
    <t>10.1007/s42417-023-01115</t>
  </si>
  <si>
    <t>Q8UG5</t>
  </si>
  <si>
    <t>WOS:001060210400002</t>
  </si>
  <si>
    <t>Yang, CS; Zhang, C; Shen, HZ; Peng, T; Wang, C; Deng, LJ; Chen, HM; He, LT</t>
  </si>
  <si>
    <t>Yang, Chuansheng; Zhang, Chao; Shen, Haozhen; Peng, Tong; Wang, Chao; Deng, Liangjian; Chen, Hongming; He, Liangtian</t>
  </si>
  <si>
    <t>HFAN: High-Frequency Attention Network for hyperspectral image denoising</t>
  </si>
  <si>
    <t>INTERNATIONAL JOURNAL OF MACHINE LEARNING AND CYBERNETICS</t>
  </si>
  <si>
    <t>Hyperspectral image denoising; High-frequency information; Convolutional neural network (CNN); Spatial-spectral information</t>
  </si>
  <si>
    <t>SPARSE REPRESENTATION; NOISE REMOVAL</t>
  </si>
  <si>
    <t>During the last decades, learning-based deep neural network (DNN) has shown its advantages on hyperspectral image (HSI) denoising. Compared to classical prior-based methods, DNN-based algorithms employ a larger scale of training samples for learning to simulate the complex image generation process with higher accuracy. However, most DNN-based HSI denoising methods are designed by a superposition convolution layer, which cannot fully use the frequency information in the image itself, especially the information containing a strong response to noise in high-frequency domain. Thus, we propose a high-frequency attention network (HFAN) assisted by both spectral and spatial high-frequency information to achieve accurate HSIs denoising in this paper. Our proposed HFAN comprises a high-frequency and denoising branch, and the auxiliary function of high-frequency information is realized by transmitting the characteristic information of the high-frequency component to the denoising branch. Specifically, the spatial-spectral attention (SSA) module is presented to recover more detail in space and spectra. Experiments on synthetic and real HSI data show that our proposed HFAN achieves better denoising results compare to the other advanced methods.</t>
  </si>
  <si>
    <t>[Yang, Chuansheng; Zhang, Chao; Shen, Haozhen; Peng, Tong; Wang, Chao; Chen, Hongming] Zhejiang Ocean Univ, Sch Informat Engn, Zhoushan 316022, Peoples R China; [Yang, Chuansheng; Peng, Tong; Wang, Chao; Chen, Hongming] Zhejiang Ocean Univ, Key Lab Oceanog Big Data Min &amp; Applicat Zhejiang P, Zhoushan 316022, Peoples R China; [Deng, Liangjian] Univ Elect Sci &amp; Technol China, Sch Math Sci, Chengdu 611731, Peoples R China; [Chen, Hongming] Nankai Univ, Inst Intelligent Mat &amp; Sensing Engn, Shenzhen Res Inst, Shenzhen 518083, Peoples R China; [He, Liangtian] Anhui Univ, Sch Math Sci, Hefei 230601, Peoples R China</t>
  </si>
  <si>
    <t>Zhejiang Ocean University; Zhejiang Ocean University; University of Electronic Science &amp; Technology of China; Nankai University; Anhui University</t>
  </si>
  <si>
    <t>Wang, C (corresponding author), Zhejiang Ocean Univ, Sch Informat Engn, Zhoushan 316022, Peoples R China.;Wang, C (corresponding author), Zhejiang Ocean Univ, Key Lab Oceanog Big Data Min &amp; Applicat Zhejiang P, Zhoushan 316022, Peoples R China.</t>
  </si>
  <si>
    <t>cshyang@163.com; zhangchao@zjou.edu.cn; 3160102561@zju.edu.cn; pengtong@zjou.edu.cn; wangchao1321654@163.com; liangjian.deng@uestc.edu.cn; 2022048@zjou.edu.cn; helt@ahu.edu.cn</t>
  </si>
  <si>
    <t>Basic Public Welfare Research Program of Zhejiang Province [2008085QF286]; Natural Science Research Project of Anhui Universities [2021YFF0700203]; Natural Science Foundation of Anhui Province; National key research and development program of China; [LGG22F020036]</t>
  </si>
  <si>
    <t>Basic Public Welfare Research Program of Zhejiang Province; Natural Science Research Project of Anhui Universities; Natural Science Foundation of Anhui Province(Natural Science Foundation of Anhui Province); National key research and development program of China;</t>
  </si>
  <si>
    <t>This work is supported by the Basic Public Welfare Research Program of Zhejiang Province (LGG22F020036), Natural Science Research Project of Anhui Universities (KJ2019A0032), Natural Science Foundation of Anhui Province (2008085QF286), National key research and development program of China (2021YFF0700203).</t>
  </si>
  <si>
    <t>1868-8071</t>
  </si>
  <si>
    <t>1868-808X</t>
  </si>
  <si>
    <t>INT J MACH LEARN CYB</t>
  </si>
  <si>
    <t>Int. J. Mach. Learn. Cybern.</t>
  </si>
  <si>
    <t>10.1007/s13042-023-01942-2</t>
  </si>
  <si>
    <t>Q8JG8</t>
  </si>
  <si>
    <t>WOS:001059924000001</t>
  </si>
  <si>
    <t>Zhang, RT; Wei, JG; Lu, XG; Lu, WH; Jin, D; Zhang, L; Xu, JH; Dang, JW</t>
  </si>
  <si>
    <t>Zhang, Ruiteng; Wei, Jianguo; Lu, Xugang; Lu, Wenhuan; Jin, Di; Zhang, Lin; Xu, Junhai; Dang, Jianwu</t>
  </si>
  <si>
    <t>TMS: Temporal multi-scale in time-delay neural network for speaker verification</t>
  </si>
  <si>
    <t>Speaker verification; Temporal multi-scale feature; Effective backbone; Re-parameterization</t>
  </si>
  <si>
    <t>The speaker encoder is an important front-end module that explores discriminative speaker features for many speech applications requiring speaker information. Current speaker encoders aggregate multi-scale features from utterances using multi-branch network architectures. However, naively adding many branches through a fully convolutional operation cannot efficiently improve its capability to capture multi-scale features due to the problem of rapid increase of model parameters and computational complexity. Therefore, in current network architectures, only a few branches corresponding to a limited number of temporal scales are designed for capturing speaker features. To address this problem, this paper proposes an effective temporal multi-scale (TMS) model where multi-scale branches could be efficiently designed in a speaker encoder while negligibly increasing computational costs. The TMS model is based on a time-delay neural network (TDNN), where the network architecture is separated into channel-modeling and temporal multi-branch modeling operators. In the TMS model, adding temporal multi-scale elements in the temporal multi-branch operator only slightly increases the model's parameters, thus saving more of the computational budget to add branches with large temporal scales. After model training, we further develop a systemic re-parameterization method to convert the multi-branch network topology into a single-path-based topology to increase the inference speed.We conducted automatic speaker verification (ASV) experiments under in-domain (VoxCeleb) and out-of-domain (CNCeleb) conditions to investigate the proposed TMS model's performance.Experimental results show that the TMS-method-based model outperformed state-of-the-art ASV models (e.g., ECAPA-TDNN) and improved robustness. Moreover, the proposed model achieved a 29%-46% increase in the inference speed compared to ECAPA-TDNN.</t>
  </si>
  <si>
    <t>[Zhang, Ruiteng; Wei, Jianguo; Lu, Wenhuan; Jin, Di; Xu, Junhai; Dang, Jianwu] Tianjin Univ, Coll Intelligence &amp; Comp, Tianjin, Peoples R China; [Wei, Jianguo] Qinghai Univ Nationalities, Coll Comp, Xining, Peoples R China; [Lu, Xugang] Natl Inst Informat &amp; Commun Technol, Kyoto, Japan; [Zhang, Lin] Natl Inst Informat, Tokyo, Japan</t>
  </si>
  <si>
    <t>Tianjin University; Qinghai Nationalities University; National Institute of Information &amp; Communications Technology (NICT) - Japan; Research Organization of Information &amp; Systems (ROIS); National Institute of Informatics (NII) - Japan</t>
  </si>
  <si>
    <t>Xu, JH (corresponding author), Tianjin Univ, Coll Intelligence &amp; Comp, Tianjin, Peoples R China.</t>
  </si>
  <si>
    <t>rtz@tju.edu.cn; jhxu@tju.edu.cn</t>
  </si>
  <si>
    <t>National Key R&amp;D Program of China [2020YFC2004103]; Qinghai science and technology program [2022-ZJ-T05]; project of Tianjin science and technology program [21JCZXJC00190]; National Natural Science Foundation of China [62176181]</t>
  </si>
  <si>
    <t>National Key R&amp;D Program of China; Qinghai science and technology program; project of Tianjin science and technology program; National Natural Science Foundation of China(National Natural Science Foundation of China (NSFC))</t>
  </si>
  <si>
    <t>This work was supported by National Key R&amp;D Program of China (No. 2020YFC2004103), Qinghai science and technology program (No.2022-ZJ-T05), the project of Tianjin science and technology program (No.21JCZXJC00190), and the National Natural Science Foundation of China (No. 62176181).</t>
  </si>
  <si>
    <t>10.1007/s10489-023-04953-2</t>
  </si>
  <si>
    <t>WOS:001063584500002</t>
  </si>
  <si>
    <t>Allen, R; Rehbeck, J</t>
  </si>
  <si>
    <t>Allen, Roy; Rehbeck, John</t>
  </si>
  <si>
    <t>Obstacles to redistribution through markets and one solution</t>
  </si>
  <si>
    <t>ECONOMIC THEORY BULLETIN</t>
  </si>
  <si>
    <t>Demand; Identification; Revealed preference; C00; D01; D11</t>
  </si>
  <si>
    <t>Dworczak et al. (Econometrica 89:1665-1698, 2021) study when certain market structures are optimal for agents with linear preferences and bivariate preference heterogeneity. The optimal market structure requires the social planner to know the joint distribution of the value of the good and marginal value of money. We show that the features of the distribution needed to characterize optimal market structure cannot be identified from standard demand data where probability of purchase depends only on observed price. While this is a negative result, we show that the distribution for the value of the good and marginal utility of money can be fully identified when there is an observed measure of quality that can serve as a benchmark to make utility comparisons.</t>
  </si>
  <si>
    <t>[Allen, Roy] Univ Western Ontario, Dept Econ, London, ON, Canada; [Rehbeck, John] Ohio State Univ, Dept Econ, Columbus, OH 43210 USA</t>
  </si>
  <si>
    <t>Western University (University of Western Ontario); University System of Ohio; Ohio State University</t>
  </si>
  <si>
    <t>Rehbeck, J (corresponding author), Ohio State Univ, Dept Econ, Columbus, OH 43210 USA.</t>
  </si>
  <si>
    <t>rallen46@uwo.ca; rehbeck.7@osu.edu</t>
  </si>
  <si>
    <t>2196-1085</t>
  </si>
  <si>
    <t>2196-1093</t>
  </si>
  <si>
    <t>ECON THEOR B</t>
  </si>
  <si>
    <t>Econ. Theory Bull.</t>
  </si>
  <si>
    <t>10.1007/s40505-023-00255-5</t>
  </si>
  <si>
    <t>S6HB1</t>
  </si>
  <si>
    <t>WOS:001060151600001</t>
  </si>
  <si>
    <t>Alyusuf, Z; Hassan, A; Maki, R; Hasan, W; Alhamar, R</t>
  </si>
  <si>
    <t>Alyusuf, Zahra; Hassan, Ali; Maki, Reem; Hasan, Wafa; Alhamar, Roaa</t>
  </si>
  <si>
    <t>Intravesical urachal cyst masquerading as a bladder malignancy: a case report</t>
  </si>
  <si>
    <t>Bladder malignancy; Congenital urachal anomaly; Intravesical urachal cyst; Magnetic resonance imaging; Rhabdomyosarcoma; Ultrasound</t>
  </si>
  <si>
    <t>PEDIATRIC URINARY-BLADDER; ANOMALIES; CHILDREN; TUMORS</t>
  </si>
  <si>
    <t>Background Urinary bladder masses in children are extremely rare. Certain benign conditions (e.g., ureterocele) can mimic malignant bladder masses. In this report, we present a unique case of a urachal cyst masquerading as a bladder malignancy. Unlike the typical location of urachal cysts along the course of the urachal tract, the cyst in this case was unexpectedly situated within the urinary bladder, leading to diagnostic difficulties.Case presentation A 2-year-old Bahraini boy presented with hematuria and dysuria for 2 weeks. There was no history of fever, abdominal pain, or vomiting. Physical examination yielded normal findings. Urinalysis showed numerous red blood cells and revealed positive results for nitrites and leukocyte esterase. Abdominal ultrasound showed a well-defined soft tissue lesion with internal vascularity located at the apex of the urinary bladder. Subsequently, magnetic resonance imaging demonstrated a thick-walled cystic structure arising from the anterosuperior wall of the bladder and protruding into its lumen. The patient underwent complete excision of the bladder lesion for the presumed diagnosis of rhabdomyosarcoma. Histopathological examination showed a fluid-filled space lined by stratified squamous epithelium with areas of intestinal metaplasia, revealing an unexpected diagnosis of a urachal cyst. The patient was discharged with complete resolution of symptoms.Conclusions Intravesical urachal cysts are a rare type of congenital urachal anomaly that may simulate a bladder malignancy, particularly if associated with infection. This case emphasizes the importance of considering urachal cysts in the differential diagnosis of bladder masses, especially in children, and specifically when the lesion is midline in the anterosuperior wall of the bladder.</t>
  </si>
  <si>
    <t>[Alyusuf, Zahra; Hassan, Ali; Maki, Reem; Hasan, Wafa; Alhamar, Roaa] Salmaniya Med Complex, Radiol Dept, Manama, Bahrain</t>
  </si>
  <si>
    <t>Hassan, A (corresponding author), Salmaniya Med Complex, Radiol Dept, Manama, Bahrain.</t>
  </si>
  <si>
    <t>alihy8@gmail.com</t>
  </si>
  <si>
    <t>Hassan, Ali/JGE-5064-2023</t>
  </si>
  <si>
    <t>We extend our gratitude to Dr. Saeed Al-Hindi, the treating physician of the patient, for his invaluable expertise and dedication in providing quality healthcare to our patient.</t>
  </si>
  <si>
    <t>AUG 24</t>
  </si>
  <si>
    <t>10.1186/s13256-023-04110-w</t>
  </si>
  <si>
    <t>P9KV7</t>
  </si>
  <si>
    <t>WOS:001053801900001</t>
  </si>
  <si>
    <t>Beasley, R; Carbone, C; Brooker, A; Rowcliffe, M; Waage, J</t>
  </si>
  <si>
    <t>Beasley, Rachael; Carbone, Chris; Brooker, Adrian; Rowcliffe, Marcus; Waage, Jeff</t>
  </si>
  <si>
    <t>Investigating the impacts of humans and dogs on the spatial and temporal activity of wildlife in urban woodlands</t>
  </si>
  <si>
    <t>URBAN ECOSYSTEMS</t>
  </si>
  <si>
    <t>Urban ecology; Camera traps; Woodland species; Human disturbance; Temporal activity; Spatial activity</t>
  </si>
  <si>
    <t>HUMAN DISTURBANCE; VULPES-VULPES; CAMERA TRAPS; DENSITIES; BEHAVIOR; BIRDS; DIET</t>
  </si>
  <si>
    <t>Humans can derive enormous benefit from the natural environment and the wildlife they see there, but increasing human use of natural environments may negatively impact wildlife, particularly in urban green spaces. Few studies have focused on the trade-offs between intensive human use and wildlife use of shared green spaces in urban areas. In this paper, we investigate the impacts of humans and their dogs on wildlife within an urban green space using camera trap data from Hampstead Heath, London. Spatial and temporal activity of common woodland bird and mammal species were compared between sites with low and high frequency of visits by humans and dogs. There was no significant difference in the spatial or temporal activity of wildlife species between sites with lower and higher visitation rates of humans and dogs, except with European hedgehogs (Erinaceus europaeus) which showed extended activity in the mornings and early evenings in sites with lower visitation rates. This may have implications for the survival and reproductive success of European hedgehogs. Our results suggest that adaptation to human and dog activity deserves greater study in urban green spaces, as would a broader approach to measuring possible anthropogenic effects.</t>
  </si>
  <si>
    <t>[Beasley, Rachael] Imperial Coll London, Silwood Pk Campus, Ascot SL5 7PY, England; [Carbone, Chris; Rowcliffe, Marcus] Zool Soc London, Inst Zool, Regents Pk, London NW1 4RY, England; [Brooker, Adrian] City London Corp, POB 270, London EC2P 2EJ, England; [Waage, Jeff] London Sch Hyg &amp; Trop Med, Keppel St, London WC1E 7HT, England</t>
  </si>
  <si>
    <t>Imperial College London; Zoological Society of London; University of London; London School of Hygiene &amp; Tropical Medicine</t>
  </si>
  <si>
    <t>Beasley, R (corresponding author), Imperial Coll London, Silwood Pk Campus, Ascot SL5 7PY, England.</t>
  </si>
  <si>
    <t>beasley.r@hotmail.co.uk</t>
  </si>
  <si>
    <t>Staff from the Zoological Society of London, City of London and volunteers from Heath Hands set up and managed the camera traps used in the data collection.; Zoological Society of London</t>
  </si>
  <si>
    <t>Staff from the Zoological Society of London, City of London and volunteers from Heath Hands set up and managed the camera traps used in the data collection.</t>
  </si>
  <si>
    <t>1083-8155</t>
  </si>
  <si>
    <t>1573-1642</t>
  </si>
  <si>
    <t>URBAN ECOSYST</t>
  </si>
  <si>
    <t>Urban Ecosyst.</t>
  </si>
  <si>
    <t>2023 AUG 24</t>
  </si>
  <si>
    <t>10.1007/s11252-023-01414</t>
  </si>
  <si>
    <t>Biodiversity Conservation; Ecology; Environmental Sciences; Urban Studies</t>
  </si>
  <si>
    <t>Biodiversity &amp; Conservation; Environmental Sciences &amp; Ecology; Urban Studies</t>
  </si>
  <si>
    <t>Q8GR7</t>
  </si>
  <si>
    <t>WOS:001059856900001</t>
  </si>
  <si>
    <t>Bhagta, S; Bhardwaj, V; Kant, A</t>
  </si>
  <si>
    <t>Bhagta, Suhani; Bhardwaj, Vinay; Kant, Anil</t>
  </si>
  <si>
    <t>Exogenous dsRNA trigger RNAi in Venturia inaequalis resulting in down regulation of target genes and growth reduction</t>
  </si>
  <si>
    <t>Venturia inaequalis; Double-stranded RNA; Spray induced gene silencing; Apple scab</t>
  </si>
  <si>
    <t>EFFECTOR GENE; RESISTANCE; BLIGHT</t>
  </si>
  <si>
    <t>Background Venturia inaequalis is an apple scab causing fungal pathogen. It is a highly contagious and destructive pathogen which rapidly spreads infection in the surrounding orchards if not managed. The management and control of disease require multiple fungicides to be sprayed at different development stages of the apple. Persistent applications of fungicides also raises environmental concerns. Here, we demonstrate the potential of using spray induced gene silencing (SIGS) by developing target specific gene constructs for the synthesis of corresponding double-stranded RNA (dsRNA). Methods and Results The exogenous application of dsRNAs was found to reduce mycelial growth and spore formation of V. inaequalis on culture plates. Four genes of V. inaequalis viz. CIN1, CE5, VICE12 and VICE16 which get upregulated during infection, were selected as targets for the development of gene construct expressing the corresponding dsRNA. The effect of exogenously supplied in vitro synthesized dsRNA on V. inaequalis was assessed in culture bioassay experiments with respect to growth, and spore formation. The expression level of the target genes in treated and control fungus was evaluated using quantitative PCR. Fungus treated with VICE12 targeted dsRNA showed maximum reduction in colony size (similar to 55%), conidia formation (similar to 93%) and expression level of the corresponding gene (2.2 fold), which was followed by CIN1-dsRNA. VICE16-dsRNA treatment was least effective with 32% reduction in growth, the non-significant effect of conidial spore formation and 1.13 fold down regulation of corresponding target gene expression level. Conclusion The result of this investigation validates the hypothesis that RNAi is evoked in V. inaequalis by exogenously supplied dsRNA and spray induced gene silencing (SIGS) based solutions may reduce burden of fungicide usage on apple crop against apple scab disease in future.</t>
  </si>
  <si>
    <t>[Bhagta, Suhani; Kant, Anil] Jaypee Univ Informat Technol, Dept Biotechnol &amp; Bioinformat, Solan 173234, Himachal Prades, India; [Bhagta, Suhani; Bhardwaj, Vinay] ICAR Cent Potato Res Inst, Shimla 171001, Himachal Prades, India</t>
  </si>
  <si>
    <t>Jaypee University of Information Technology; Indian Council of Agricultural Research (ICAR); ICAR - Central Potato Research Institute</t>
  </si>
  <si>
    <t>Kant, A (corresponding author), Jaypee Univ Informat Technol, Dept Biotechnol &amp; Bioinformat, Solan 173234, Himachal Prades, India.</t>
  </si>
  <si>
    <t>anilkantv@gmail.com</t>
  </si>
  <si>
    <t>Bhardwaj, Vinay/0000-0002-3476-1444; Kant, Anil/0000-0002-7743-7759</t>
  </si>
  <si>
    <t>10.1007/s11033-023-08736-3</t>
  </si>
  <si>
    <t>R3QD9</t>
  </si>
  <si>
    <t>WOS:001063522500001</t>
  </si>
  <si>
    <t>Cavallari, I; Crispino, SP; Segreti, A; Ussia, GP; Grigioni, F</t>
  </si>
  <si>
    <t>Cavallari, Ilaria; Crispino, Simone Pasquale; Segreti, Andrea; Ussia, Gian Paolo; Grigioni, Francesco</t>
  </si>
  <si>
    <t>Practical Guidance for the Use of SGLT2 Inhibitors in Heart Failure</t>
  </si>
  <si>
    <t>AMERICAN JOURNAL OF CARDIOVASCULAR DRUGS</t>
  </si>
  <si>
    <t>MINERALOCORTICOID RECEPTOR ANTAGONISTS; COTRANSPORTER 2 INHIBITORS; BLOOD-PRESSURE; EMPAGLIFLOZIN; OUTCOMES; DAPAGLIFLOZIN; MECHANISMS; GUIDELINES; MORTALITY; EVENTS</t>
  </si>
  <si>
    <t>Despite continuous advances in both diagnosis and management, heart failure (HF) still represents a major worldwide health issue. Recently, sodium-glucose co-transporter 2 inhibitors (SGLT2i) have demonstrated to reduce cardiovascular death and hospitalization for HF across the entire spectrum of left ventricular ejection fraction. Therefore, dapagliflozin, empagliflozin and sotagliflozin are now recommended as part of the foundational therapy of HF. These agents are characterized by limited contraindications, low cost, non-relevant adverse effects and no need for titration. Although they have a prominent role in the latest recommendations for HF, drug prescriptions are definitely lower than the number of potentially eligible patients. In fact, awareness gaps, therapeutic inertia, concerns about safety and simultaneous initiation of comprehensive medical therapy may represent barriers to their use. This article aims to offer an overview of current knowledge on SGLT2i in HF and provide a comprehensive and updated practical guide on their use in de novo and chronic HF, including potential scenarios that a clinician, cardiologist or others, may face in everyday clinical practice.</t>
  </si>
  <si>
    <t>[Cavallari, Ilaria; Crispino, Simone Pasquale; Segreti, Andrea; Ussia, Gian Paolo; Grigioni, Francesco] Campus Biomed Univ Rome, Dept Cardiovasc Sci, Via Alvaro del Portillo 21, I-00128 Rome, Italy; [Segreti, Andrea] Univ Rome, Dept Movement Human &amp; Hlth Sci, Rome, Italy</t>
  </si>
  <si>
    <t>University Campus Bio-Medico - Rome Italy; Sapienza University Rome</t>
  </si>
  <si>
    <t>Cavallari, I (corresponding author), Campus Biomed Univ Rome, Dept Cardiovasc Sci, Via Alvaro del Portillo 21, I-00128 Rome, Italy.</t>
  </si>
  <si>
    <t>i.cavallari@policlinicocampus.it</t>
  </si>
  <si>
    <t>1175-3277</t>
  </si>
  <si>
    <t>1179-187X</t>
  </si>
  <si>
    <t>AM J CARDIOVASC DRUG</t>
  </si>
  <si>
    <t>Am. J. Cardiovasc. Drugs</t>
  </si>
  <si>
    <t>10.1007/s40256-023-00601-9</t>
  </si>
  <si>
    <t>Cardiac &amp; Cardiovascular Systems; Pharmacology &amp; Pharmacy</t>
  </si>
  <si>
    <t>Cardiovascular System &amp; Cardiology; Pharmacology &amp; Pharmacy</t>
  </si>
  <si>
    <t>Q8RK1</t>
  </si>
  <si>
    <t>WOS:001060135900002</t>
  </si>
  <si>
    <t>Chen, YX; Li, XH; Xiong, Q; Du, YH; Luo, M; Yi, LL; Pang, YY; Shi, XY; Wang, YT; Dong, ZF</t>
  </si>
  <si>
    <t>Chen, Yuxin; Li, Xiaohuan; Xiong, Qian; Du, Yehong; Luo, Man; Yi, Lilin; Pang, Yayan; Shi, Xiuyu; Wang, Yu Tian; Dong, Zhifang</t>
  </si>
  <si>
    <t>Inhibiting NLRP3 inflammasome signaling pathway promotes neurological recovery following hypoxic-ischemic brain damage by increasing p97-mediated surface GluA1-containing AMPA receptors</t>
  </si>
  <si>
    <t>Hypoxic-ischemic brain damage; NLRP3; Caspase-1; GluA1; p97</t>
  </si>
  <si>
    <t>NMDA RECEPTOR; ACTIVATION; DISEASE; TERM; ENCEPHALOPATHY; STROKE; DEATH; EXCITOTOXICITY; MECHANISMS; EXPRESSION</t>
  </si>
  <si>
    <t>Background The nucleotide-binding oligomeric domain (NOD)-like receptor protein 3 (NLRP3) inflammasome is believed to be a key mediator of neuroinflammation and subsequent secondary brain injury induced by ischemic stroke. However, the role and underlying mechanism of the NLRP3 inflammasome in neonates with hypoxic-ischemic encephalopathy (HIE) are still unclear. Methods The protein expressions of the NLRP3 inflammasome including NLRP3, cysteinyl aspartate specific proteinase-1 (caspase-1) and interleukin-1 beta (IL-1 beta), the alpha-amino-3-hydroxy-5-methyl-4-isoxazole-propionicacid receptor (AMPAR) subunit, and the ATPase valosin- containing protein (VCP/p97), were determined by Western blotting. The interaction between p97 and AMPA glutamate receptor 1 (GluA1) was determined by co-immunoprecipitation. The histopathological level of hypoxic-ischemic brain damage (HIBD) was determined by triphenyltetrazolium chloride (TTC) staining. Polymerase chain reaction (PCR) and Western blotting were used to confirm the genotype of the knockout mice. Motor functions, including myodynamia and coordination, were evaluated by using grasping and rotarod tests. Hippocampus-dependent spatial cognitive function was measured by using the Morris-water maze (MWM). Results We reported that the NLRP3 inflammasome signaling pathway, such as NLRP3, caspase-1 and IL-1 beta, was activated in rats with HIBD and oxygen-glucose deprivation (OGD)-treated cultured primary neurons. Further studies showed that the protein level of the AMPAR GluA1 subunit on the hippocampal postsynaptic membrane was significantly decreased in rats with HIBD, and it could be restored to control levels after treatment with the specific caspase-1 inhibitor AC-YVAD-CMK. Similarly, in vitro studies showed that OGD reduced GluA1 protein levels on the plasma membrane in cultured primary neurons, whereas AC-YVAD-CMK treatment restored this reduction. Importantly, we showed that OGD treatment obviously enhanced the interaction between p97 and GluA1, while AC-YVAD- CMK treatment promoted the dissociation of p97 from the GluA1 complex and consequently facilitated the localization of GluA1 on the plasma membrane of cultured primary neurons. Finally, we reported that the deficits in motor function, learning and memory in animals with HIBD, were ameliorated by pharmacological intervention or genetic ablation of caspase-1. Conclusion Inhibiting the NLRP3 inflammasome signaling pathway promotes neurological recovery in animals with HIBD by increasing p97-mediated surface GluA1 expression, thereby providing new insight into HIE therapy.</t>
  </si>
  <si>
    <t>[Chen, Yuxin; Li, Xiaohuan; Xiong, Qian; Du, Yehong; Luo, Man; Yi, Lilin; Pang, Yayan; Shi, Xiuyu; Dong, Zhifang] Chongqing Med Univ, Childrens Hosp, Growth Dev &amp; Mental Hlth Children &amp; Adolescence Ct, Pediat Res Inst,Minist Educ,Key Lab Child Dev &amp; Di, Chongqing 400014, Peoples R China; [Wang, Yu Tian] Univ British Columbia, Vancouver Coastal Hlth Res Inst, Brain Res Ctr, Dept Med, Vancouver, BC V6T 2B5, Canada</t>
  </si>
  <si>
    <t>Chongqing Medical University; Vancouver Coastal Health Research Institute; University of British Columbia</t>
  </si>
  <si>
    <t>Dong, ZF (corresponding author), Chongqing Med Univ, Childrens Hosp, Growth Dev &amp; Mental Hlth Children &amp; Adolescence Ct, Pediat Res Inst,Minist Educ,Key Lab Child Dev &amp; Di, Chongqing 400014, Peoples R China.</t>
  </si>
  <si>
    <t>zfdong@cqmu.edu.cn</t>
  </si>
  <si>
    <t>We thank Professor Bo Peng (Fudan University, Shanghai, China) for kindly providing NLRP3-/- and caspase-1-/- mice. We also thank of other members of the Dong laboratory for their technical assistance and useful suggestions for this s</t>
  </si>
  <si>
    <t>We thank Professor Bo Peng (Fudan University, Shanghai, China) for kindly providing NLRP3-/- and caspase-1-/- mice. We also thank of other members of the Dong laboratory for their technical assistance and useful suggestions for this study.</t>
  </si>
  <si>
    <t>10.1186/s12967-023-04452-5</t>
  </si>
  <si>
    <t>Q1RR0</t>
  </si>
  <si>
    <t>WOS:001055365900006</t>
  </si>
  <si>
    <t>Cheng, ZM; Guo, W; Pecoraro, M; Ruedin, D; Tani, M</t>
  </si>
  <si>
    <t>Cheng, Zhiming; Guo, Wei; Pecoraro, Marco; Ruedin, Didier; Tani, Massimiliano</t>
  </si>
  <si>
    <t>Migrants' Skills Wastage in the Labor Market: A Multidisciplinary Approach for Policy Formation</t>
  </si>
  <si>
    <t>SOCIAL INDICATORS RESEARCH</t>
  </si>
  <si>
    <t>[Cheng, Zhiming; Guo, Wei; Pecoraro, Marco; Ruedin, Didier; Tani, Massimiliano] Univ New South Wales, Sydney, Australia; [Ruedin, Didier] Univ Witwatersrand, Johannesburg, South Africa</t>
  </si>
  <si>
    <t>University of New South Wales Sydney; University of Witwatersrand</t>
  </si>
  <si>
    <t>Tani, M (corresponding author), Univ New South Wales, Sydney, Australia.</t>
  </si>
  <si>
    <t>m.tani@adfa.edu.au</t>
  </si>
  <si>
    <t>Cheng, Zhiming/0000-0002-7996-0586</t>
  </si>
  <si>
    <t>0303-8300</t>
  </si>
  <si>
    <t>1573-0921</t>
  </si>
  <si>
    <t>SOC INDIC RES</t>
  </si>
  <si>
    <t>Soc. Indic. Res.</t>
  </si>
  <si>
    <t>10.1007/s11205-023-03182-x</t>
  </si>
  <si>
    <t>Social Sciences, Interdisciplinary; Sociology</t>
  </si>
  <si>
    <t>Social Sciences - Other Topics; Sociology</t>
  </si>
  <si>
    <t>R3QM5</t>
  </si>
  <si>
    <t>WOS:001063531100001</t>
  </si>
  <si>
    <t>Fan, J; Peng, LJ; Chen, TG; Cong, GD</t>
  </si>
  <si>
    <t>Fan, Jun; Peng, Lijuan; Chen, Tinggui; Cong, Guodong</t>
  </si>
  <si>
    <t>The role of social impact on consumer attitudes toward green and healthy home appliances during the COVID-19 pandemic</t>
  </si>
  <si>
    <t>COVID-19 pandemic; Green and low-carbon consumption attitudes; Social impact theory; Structural balance</t>
  </si>
  <si>
    <t>ENERGY-CONSERVATION; PUBLIC-HEALTH; BEHAVIOR; CONSUMPTION; DYNAMICS; BELIEFS; OPINION; GAP</t>
  </si>
  <si>
    <t>The COVID-19 pandemic reshaped the global consumption market. This protracted anti-pandemic war profoundly affected people's ways of thinking and their consumption behaviors. Therefore, given the spread of the COVID-19 pandemic, this paper first uses the ABC model to identify the inherent characteristics and the external factors that affect individual green consumption attitudes. Then, the Hopfield model is introduced to construct a social impact network matrix and to study the change in individual consumption attitudes through simulation experiments. The simulation results show that: (1) the number of new infections is essential in affecting the individual's green and low-carbon consumption attitudes, leading to changes in the attitude interaction frequency among individuals and individual perception characteristics. (2) Under the impact of different external environments, there is a nonlinear relationship among age, income, education, and individual consumption attitudes. (3) Individuals are more susceptible to negative than positive consumption attitudes. In addition, in social network interaction, the greater the social impact is, the easier it is for individuals to reach a consensus on their consumption attitudes.</t>
  </si>
  <si>
    <t>[Fan, Jun; Peng, Lijuan; Cong, Guodong] Zhejiang Gongshang Univ, Sch Business Adm, Hangzhou 310018, Peoples R China; [Chen, Tinggui] Zhejiang Gongshang Univ, Sch Stat &amp; Math, Hanghzou 310018, Peoples R China</t>
  </si>
  <si>
    <t>Zhejiang Gongshang University; Zhejiang Gongshang University</t>
  </si>
  <si>
    <t>Chen, TG (corresponding author), Zhejiang Gongshang Univ, Sch Stat &amp; Math, Hanghzou 310018, Peoples R China.</t>
  </si>
  <si>
    <t>cherrylijuanpeng@163.com; ctgsimon@mail.zjgsu.edu.cn; cgd@mail.zjgsu.edu.cn</t>
  </si>
  <si>
    <t>Key Program of National Social Science Fund of China [20AGL019]; Natural Science Foundation of Zhejiang Province [LY22G010004]</t>
  </si>
  <si>
    <t>Key Program of National Social Science Fund of China; Natural Science Foundation of Zhejiang Province(Natural Science Foundation of Zhejiang Province)</t>
  </si>
  <si>
    <t>&amp; nbsp;Funding was provided by the Key Program of National Social Science Fund of China (Grant No. 20AGL019) and Natural Science Foundation of Zhejiang Province (Grant No. LY22G010004).</t>
  </si>
  <si>
    <t>10.1007/s10668-023-03802</t>
  </si>
  <si>
    <t>Q8QN5</t>
  </si>
  <si>
    <t>WOS:001060113300001</t>
  </si>
  <si>
    <t>Fusi, M; Ngugi, DK; Marasco, R; Booth, JM; Cardinale, M; Sacchi, L; Clementi, E; Yang, XY; Garuglieri, E; Fodelianakis, S; Michoud, G; Daffonchio, D</t>
  </si>
  <si>
    <t>Fusi, Marco; Ngugi, David K.; Marasco, Ramona; Booth, Jenny Marie; Cardinale, Massimiliano; Sacchi, Luciano; Clementi, Emanuela; Yang, Xinyuan; Garuglieri, Elisa; Fodelianakis, Stilianos; Michoud, Gregoire; Daffonchio, Daniele</t>
  </si>
  <si>
    <t>Gill-associated bacteria are homogeneously selected in amphibious mangrove crabs to sustain host intertidal adaptation</t>
  </si>
  <si>
    <t>MICROBIOME</t>
  </si>
  <si>
    <t>Bimodal breathing; Symbiosis; Gill system; Microbiome; Terrestrialisation</t>
  </si>
  <si>
    <t>TARGETED OLIGONUCLEOTIDE PROBES; AMMONIA EXCRETION; CD-HIT; FIDDLER; COMMUNITIES; SYMBIONTS; EVOLUTION; WATER; METAORGANISMS; TRANSPOSASES</t>
  </si>
  <si>
    <t>Background The transition from water to air is a key event in the evolution of many marine organisms to access new food sources, escape water hypoxia, and exploit the higher and temperature-independent oxygen concentration of air. Despite the importance of microorganisms in host adaptation, their contribution to overcoming the challenges posed by the lifestyle changes from water to land is not well understood. To address this, we examined how microbial association with a key multifunctional organ, the gill, is involved in the intertidal adaptation of fiddler crabs, a dual-breathing organism. Results Electron microscopy revealed a rod-shaped bacterial layer tightly connected to the gill lamellae of the five crab species sampled across a latitudinal gradient from the central Red Sea to the southern Indian Ocean. The gill bacterial community diversity assessed with 16S rRNA gene amplicon sequencing was consistently low across crab species, and the same actinobacterial group, namely Ilumatobacter, was dominant regardless of the geographic location of the host. Using metagenomics and metatranscriptomics, we detected that these members of actinobacteria are potentially able to convert ammonia to amino acids and may help eliminate toxic sulphur compounds and carbon monoxide to which crabs are constantly exposed. Conclusions These results indicate that bacteria selected on gills can play a role in the adaptation of animals in dynamic intertidal ecosystems. Hence, this relationship is likely to be important in the ecological and evolutionary processes of the transition from water to air and deserves further attention, including the ontogenetic onset of this association.</t>
  </si>
  <si>
    <t>[Fusi, Marco; Ngugi, David K.; Marasco, Ramona; Booth, Jenny Marie; Yang, Xinyuan; Garuglieri, Elisa; Fodelianakis, Stilianos; Michoud, Gregoire; Daffonchio, Daniele] King Abdullah Univ Sci &amp; Technol, Red Sea Res Ctr, Biol &amp; Environm Sci &amp; Engn Div, Thuwal 239556900, Saudi Arabia; [Fusi, Marco] Edinburgh Napier Univ, Ctr Conservat &amp; Restorat Sci, Edinburgh, Scotland; [Ngugi, David K.] Leibniz Inst DSMZ German Collect Microorganisms &amp;, Inhoffenstr 7B, D-38124 Braunschweig, Germany; [Cardinale, Massimiliano] Justus Liebig Univ Giessen, Inst Appl Microbiol Res Ctr Biosyst Land Use &amp; Nut, D-35392 Giessen, Germany; [Cardinale, Massimiliano] Univ Salento, Dept Biol &amp; Environm Sci &amp; Technol, via Prov le Lecce Monteroni, I-73100 Lecce, Italy; [Sacchi, Luciano; Clementi, Emanuela] Univ Pavia, Dipartimento Biol &amp; Biotecnol L Spallanzani, I-27100 Pavia, Italy</t>
  </si>
  <si>
    <t>King Abdullah University of Science &amp; Technology; Edinburgh Napier University; Leibniz Institut fur Deutsche Sammlung von Mikroorganismen und Zellkulturen (DSMZ); Justus Liebig University Giessen; University of Salento; University of Pavia</t>
  </si>
  <si>
    <t>Fusi, M; Daffonchio, D (corresponding author), King Abdullah Univ Sci &amp; Technol, Red Sea Res Ctr, Biol &amp; Environm Sci &amp; Engn Div, Thuwal 239556900, Saudi Arabia.;Fusi, M (corresponding author), Edinburgh Napier Univ, Ctr Conservat &amp; Restorat Sci, Edinburgh, Scotland.</t>
  </si>
  <si>
    <t>marco.fusi@kaust.edu.sa; daniele.daffonchio@kaust.edu.sa</t>
  </si>
  <si>
    <t>Marasco, Ramona/ABF-3088-2021; Cardinale, Massimiliano/B-8269-2014; Michoud, Gregoire/F-4509-2015</t>
  </si>
  <si>
    <t>Marasco, Ramona/0000-0003-4776-7519; Cardinale, Massimiliano/0000-0003-1421-722X; Michoud, Gregoire/0000-0003-1071-9900; Fodelianakis, Stilianos/0000-0003-2186-6009; Daffonchio, Daniele/0000-0003-0947-925X</t>
  </si>
  <si>
    <t>We thank the BLC and Imaging KAUST Core Lab Facilities for their invaluable support in producing sequencing and imaging data for this paper.</t>
  </si>
  <si>
    <t>Thanks to Giulia Liberatori for invaluable help in the laboratory, and to Riccardo Simoni, Simone Babbini, Francesca Porri, Christopher McQuaid, Carmelo La Barba, and Bruce Mostert for fundamental help during Kenyan and South African fieldwork. We also thank the Gazi (Kenya) villagers for their help collecting the animals and Latifa's family for accommodation.r We thank the BLC and Imaging KAUST Core Lab Facilities for their invaluable support in producing sequencing and imaging data for this paper.</t>
  </si>
  <si>
    <t>2049-2618</t>
  </si>
  <si>
    <t>Microbiome</t>
  </si>
  <si>
    <t>10.1186/s40168-023-01629-4</t>
  </si>
  <si>
    <t>P9KW2</t>
  </si>
  <si>
    <t>WOS:001053802400001</t>
  </si>
  <si>
    <t>Heo, J; Jones, PT; Blanpain, B; Guo, MX</t>
  </si>
  <si>
    <t>Heo, Jungho; Jones, Peter Tom; Blanpain, Bart; Guo, Muxing</t>
  </si>
  <si>
    <t>Chlorination Roasting of Li-Bearing Minerals and Slags: Combined Evaluation of Lithium Recovery Ratio and Lithium Chloride Product Purity</t>
  </si>
  <si>
    <t>JOURNAL OF SUSTAINABLE METALLURGY</t>
  </si>
  <si>
    <t>Li-bearing minerals; Lithium-ion battery (LIB) recycling slag; Li recovery; Impurity distribution; Chlorination roasting process</t>
  </si>
  <si>
    <t>BETA-SPODUMENE; ION BATTERIES; K-FELDSPAR; EXTRACTION; POTASSIUM; CACL2</t>
  </si>
  <si>
    <t>Lithium was recovered from both Li-bearing minerals (kunzite, hiddenite, and lepidolite) and Li- bearing slags, using a chlorination roasting process at 1100 degrees C under an argon atmosphere. According to the XRD analysis, gehlenite ( Ca2Al2SiO7) and lithium aluminate ( LiAlO2) constitute the main phases in the LIB recycling slag. The major mineral phases detected were spodumene ( LiAlSi2O6) in the kunzite and hiddenite samples, and lepidolite [K(Li,Al)(3)(Si,Al)(4)O-10(F,OH)(2)] in the lepidolite sample, respectively. After the chlorination roasting, 47%, 38%, 56%, and 90% of the available Li was extracted as a LiCl product from, respectively, kunzite, hiddenite, lepidolite, and LIB recycling slag. The Li recovery ratio is dependent on the Li2O content, the type of Li-containing phase and the impurities in each of the Li-containing materials. In addition, the distribution of the main impurity elements-such as K, Na, Mn, and Fe-between the vaporized chloride gas and the solid residue after the chlorination roasting was analyzed to evaluate the purity of the obtained Li product (i.e., LiCl). The LiCl center dot H2O phase was identified in the condensed product sample due to the strong hygroscopicity of the LiCl product. The LiCl purity was measured to be 89%, 93%, 77%, and 22% for the chlorination products extracted from the LIB recycling slag, kunzite, hiddenite and lepidolite samples, respectively. The experimental results indicate that especially the Li-ion battery (LIB) recycling slag shows a great potential as an alternative (secondary) Li-bearing resource for the production of high-purity, technical- grade LiCl (similar to 90%), adopting a chlorination roasting process. Finally, even in the case a pure LiCl product is obtained from the chlorination roasting process, a further refining process is required to purify the technicalgrade LiCl quality (e.g. 90% purity) into a battery-grade quality (&gt; 99.5% purity). [GRAPHICS] .</t>
  </si>
  <si>
    <t>[Heo, Jungho; Jones, Peter Tom; Blanpain, Bart; Guo, Muxing] Katholieke Univ Leuven, Dept Mat Sci, Kasteelpark Arenberg 44, B-3001 Leuven, Belgium; [Heo, Jungho] POSCO HOLDINGS, LiB Mat R&amp;D Labs, Lithium Ion Battery LiB Raw Mat Res Grp, Mineral Based Lithium Extract Cell, N EX T Hub 67, Pohang 37673, Cheongam Ro, South Korea</t>
  </si>
  <si>
    <t>KU Leuven</t>
  </si>
  <si>
    <t>Heo, J (corresponding author), Katholieke Univ Leuven, Dept Mat Sci, Kasteelpark Arenberg 44, B-3001 Leuven, Belgium.;Heo, J (corresponding author), POSCO HOLDINGS, LiB Mat R&amp;D Labs, Lithium Ion Battery LiB Raw Mat Res Grp, Mineral Based Lithium Extract Cell, N EX T Hub 67, Pohang 37673, Cheongam Ro, South Korea.</t>
  </si>
  <si>
    <t>hjh4142@naver.com</t>
  </si>
  <si>
    <t>Industrieel Onderzoeksfonds (IOF), KU Leuven [3E200922]</t>
  </si>
  <si>
    <t>Industrieel Onderzoeksfonds (IOF), KU Leuven</t>
  </si>
  <si>
    <t>The authors gratefully acknowledge the financial support for the KU Leuven C3 project Solvometallurgy-based Process for Battery-grade Lithium Refining (SOLVOLi+) (3E200922) from Industrieel Onderzoeksfonds (IOF), KU Leuven.</t>
  </si>
  <si>
    <t>2199-3823</t>
  </si>
  <si>
    <t>2199-3831</t>
  </si>
  <si>
    <t>J SUSTAIN METALL</t>
  </si>
  <si>
    <t>J. SUST. METALL.</t>
  </si>
  <si>
    <t>10.1007/s40831-023-00729-7</t>
  </si>
  <si>
    <t>Green &amp; Sustainable Science &amp; Technology; Metallurgy &amp; Metallurgical Engineering</t>
  </si>
  <si>
    <t>Science &amp; Technology - Other Topics; Metallurgy &amp; Metallurgical Engineering</t>
  </si>
  <si>
    <t>R3NX6</t>
  </si>
  <si>
    <t>WOS:001063464000001</t>
  </si>
  <si>
    <t>Hildebrandt, F; Glauer, R; Moore, R</t>
  </si>
  <si>
    <t>Hildebrandt, Frauke; Glauer, Ramiro; Moore, Richard</t>
  </si>
  <si>
    <t>Rethinking how children individuate objects: spatial indexicals in early development</t>
  </si>
  <si>
    <t>SYNTHESE</t>
  </si>
  <si>
    <t>Reference; Object individuation; Indexicals; Singular terms; Spatiotemporal frame of reference</t>
  </si>
  <si>
    <t>PERCEPTUAL SPACE; INFANTS; DEMONSTRATIVES; REPRESENTATION; METAPHYSICS; INFORMATION; IDENTITY; NUMBER</t>
  </si>
  <si>
    <t>The current understanding of cognitive development rests on the premise that infants can individuate objects early on. However, the so-called object-first account faces severe difficulties explaining extant empirical findings in object individuation tasks while alternative, more parsimonious explanations are available. In this paper, we assume that children start as feature-thinkers without being able to individuate objects and show how this ability can be learned by thinkers who do not already implicitly possess the notion of an object. Based on Tugendhat's ideas on the relation between singular terms and object reference, we argue that spatial indexicals comprise the fundamental means of object individuation and describe how feature thinkers might acquire the complex substitutional system of spatial indexicals. In closing, two accounts of object cognition that do not rely on symbolic capacities, namely Pylyshyn's FINST indexes and Burge's perceptual objectivity, are critically discussed.</t>
  </si>
  <si>
    <t>[Hildebrandt, Frauke; Glauer, Ramiro] Univ Appl Sci Potsdam, Potsdam, Germany; [Moore, Richard] Univ Warwick, Coventry, England</t>
  </si>
  <si>
    <t>University of Warwick</t>
  </si>
  <si>
    <t>Glauer, R (corresponding author), Univ Appl Sci Potsdam, Potsdam, Germany.</t>
  </si>
  <si>
    <t>frauke.hildebrandt@fh-potsdam.de; ramiro.glauer@fh-potsdam.de; richard.moore@warwick.ac.uk</t>
  </si>
  <si>
    <t>Moore, Richard/Q-9371-2019</t>
  </si>
  <si>
    <t>Moore, Richard/0000-0003-4649-7676</t>
  </si>
  <si>
    <t>Projekt DEAL; German Federal Ministry for Family Affairs, Senior Citizens, Women and Youth [ZMVI 7/2,516,081,065]; UKRI Future Leaders Fellowship [MR/S033858/1]</t>
  </si>
  <si>
    <t>Projekt DEAL; German Federal Ministry for Family Affairs, Senior Citizens, Women and Youth; UKRI Future Leaders Fellowship(UK Research &amp; Innovation (UKRI))</t>
  </si>
  <si>
    <t>Open Access funding enabled and organized by Projekt DEAL. This work was supported by The German Federal Ministry for Family Affairs, Senior Citizens, Women and Youth (funding reference: ZMVI 7/2,516,081,065). Richard Moore's contribution was supported by the UKRI Future Leaders Fellowship Grant MR/S033858/1: The Communicative Mind. The authors have no relevant financial or non-financial interests to disclose.</t>
  </si>
  <si>
    <t>0039-7857</t>
  </si>
  <si>
    <t>1573-0964</t>
  </si>
  <si>
    <t>Synthese</t>
  </si>
  <si>
    <t>10.1007/s11229-023-04300-5</t>
  </si>
  <si>
    <t>History &amp; Philosophy Of Science; Philosophy</t>
  </si>
  <si>
    <t>History &amp; Philosophy of Science; Philosophy</t>
  </si>
  <si>
    <t>Q0KU8</t>
  </si>
  <si>
    <t>WOS:001054495700003</t>
  </si>
  <si>
    <t>Hosseini, SE; Jafari, M; Nemati, A; Rahmani, K; Mahmoudian, P; Ferdosi, M</t>
  </si>
  <si>
    <t>Hosseini, Seyede-Elahe; Jafari, Mehdi; Nemati, Ali; Rahmani, Keyvan; Mahmoudian, Payam; Ferdosi, Masoud</t>
  </si>
  <si>
    <t>Training needs assessment of hospital CEOs in a developing country: the example of Iran</t>
  </si>
  <si>
    <t>Needs assessment; Competency-based education; Chief executive officers; Hospital</t>
  </si>
  <si>
    <t>MANAGEMENT</t>
  </si>
  <si>
    <t>Background It is essential to identify the necessary competencies of hospital CEOs in order to improve the quality and efficiency of services they provide. Expert leadership skills and competencies can have a significant impact on the success of an organization, benefiting both patients and staff. This study aimed to assess the competencies and training needs of hospital CEOs in Iran public hospitals. Methods We conducted this cross-sectional analytical study through a self-assessment questionnaire, which was a web-based platform developed by the WHO country office in Iran, between July 2018 and September 2018. The questionnaire was completed by 180 hospital CEOs and included a core set of 81 items based on Assessing the Competency of Hospital CEO. These items were categorized into five superordinate categories: leadership, personality and quality of individual behavior, knowledge and business skills, social responsibility, and healthcare environment. In addition, we conducted focus groups with 30 hospital CEOs, supervisor assessments with 10 hospital managers, and interviews with 10 supervisors. Results Of the 180 questionnaires distributed, 78% were returned, and most respondents were medical specialists. The need for leadership competencies such as individual behavior skills and change management received the highest priority. Most respondents required training in management skills, including financial management, governance, strategic thinking, quality improvement, and disaster management. Conclusion Providing needs-based education is crucial, especially in developing countries. In this study, leadership and strategic thinking were found to be the most needed competencies among hospital CEOs in Iran. These findings serve as reference points for developing countries with similar backgrounds and healthcare environments as Iran.</t>
  </si>
  <si>
    <t>[Hosseini, Seyede-Elahe] Isfahan Univ Med Sci, Hlth Management &amp; Econ Res Ctr, Sch Management &amp; Med Informat Sci, Esfahan, Iran; [Jafari, Mehdi] Iran Univ Med Sci, Sch Hlth Management &amp; Informat Sci, Dept Hlth Serv Management, Tehran, Iran; [Nemati, Ali] Iran Univ Med Sci, Sch Management &amp; Med Informat Sci, Dept Hlth Serv Management, Tehran, Iran; [Rahmani, Keyvan] Minist Hlth &amp; Med Educ, Hlth Management Dev Inst, Tehran, Iran; [Mahmoudian, Payam] Iran Univ Med Sci, Hlth Management &amp; Econ Res Ctr, Sch Management &amp; Med Informat Sci, Tehran, Iran; [Ferdosi, Masoud] Isfahan Univ Med Sci, Hlth Management &amp; Econ Res Ctr, Sch Management &amp; Med Informat Sci, Dept Hlth Serv Management, Esfahan, Iran</t>
  </si>
  <si>
    <t>Isfahan University Medical Science; Iran University of Medical Sciences; Iran University of Medical Sciences; Ministry of Health &amp; Medical Education (MOHME); Iran University of Medical Sciences; Isfahan University Medical Science</t>
  </si>
  <si>
    <t>Ferdosi, M (corresponding author), Isfahan Univ Med Sci, Hlth Management &amp; Econ Res Ctr, Sch Management &amp; Med Informat Sci, Dept Hlth Serv Management, Esfahan, Iran.</t>
  </si>
  <si>
    <t>ferdosi1348@yahoo.com</t>
  </si>
  <si>
    <t>The authors express their appreciation for the review and comments made to this article by E de Roodenbeke, ex-CEO of the International Hospital Federation.</t>
  </si>
  <si>
    <t>10.1186/s12909-023-04463-2</t>
  </si>
  <si>
    <t>Q0DZ9</t>
  </si>
  <si>
    <t>WOS:001054312900003</t>
  </si>
  <si>
    <t>Johannes, T; Akhilanand, C; Joachim, K; Shankeeth, V; Anahita, H; Reza, MS; Mohammad, B; Hossein, MR</t>
  </si>
  <si>
    <t>Johannes, Tanne; Akhilanand, Chaurasia; Joachim, Krois; Shankeeth, Vinayahalingam; Anahita, Haiat; Reza, Motamedian Saeed; Mohammad, Behnaz; Hossein, Mohammad-Rahimi</t>
  </si>
  <si>
    <t>Evaluation of AI Model for Cephalometric Landmark Classification (TG Dental)</t>
  </si>
  <si>
    <t>JOURNAL OF MEDICAL SYSTEMS</t>
  </si>
  <si>
    <t>Cephalometric landmarks; AI-Audit; Regulation</t>
  </si>
  <si>
    <t>The accuracy of cephalometric landmark identification for malocclusion classification is essential for diagnosis and treatment planning. Identifying these landmarks is often complex and time-consuming for orthodontists. An AI model for classification was recently developed. This model was investigated based on current regulatory considerations as a result of the strict regulations on software systems and the lack of information on artificial intelligence (AI) requirements in this publication. The platform developed by the ITU/WHO for AI is used to assess the models of the application. The auditing procedure assessed the development process concerning medical device regulations, data protection regulations, and ethical considerations. Upon that, the major tasks during the development were evaluated, such as qualification, annotation procedure, and data set attributes. The AI models were investigated under consideration of technical, clinical, regulatory, and ethical considerations. The risk to the patient and user's health can be considered low according to the International Medical Device Regulators Forum (IMDRF) definition. This application facilitates the decision and planning of malocclusion treatment based on lateral cephalograms without cephalometric landmarks. It is comparable with common standards in orthodontic diagnosis.</t>
  </si>
  <si>
    <t>[Johannes, Tanne] Johannes Tanne Consulting, Regulatory Affairs, Waldstr 73A, D-15711 Brandenburg, Germany; [Akhilanand, Chaurasia] King Georges Med Univ, Oral Med &amp; Radiol, Shahmina Rd, Lucknow 226003, Uttar Pradesh, India; [Joachim, Krois] Charite Univ Med Berlin, Digital Hlth &amp; Hlth Serv Res, Oral Diagnost, Assmannshauser Str 4-6, D-14197 Berlin, Germany; [Shankeeth, Vinayahalingam] Radboud Univ Nijmegen, Oral &amp; Maxillofacial Surg, Med Ctr Radboudumc, Geert Grooteplein Zuid 10, NL-6525 GA Nijmegen, Netherlands; [Anahita, Haiat] ITU WHO Focus Grp Hlth, Top Grp Dent Diagnost &amp; Digital Dent, Berlin, Germany; [Reza, Motamedian Saeed; Mohammad, Behnaz; Hossein, Mohammad-Rahimi] Shahid Beheshti Univ Med Sci, Res Inst Dent Sci, Dentofacial Deform Res Ctr, Dept Orthodont, Daneshjoo Blvd,Shahid Chamran Highway, Tehran 1983963113, Iran; [Reza, Motamedian Saeed; Mohammad, Behnaz; Hossein, Mohammad-Rahimi] Shahid Beheshti Univ Med Sci, Sch Dent, Daneshjoo Blvd,Shahid Chamran Highway, Tehran 1983963113, Iran</t>
  </si>
  <si>
    <t>King George's Medical University; Free University of Berlin; Humboldt University of Berlin; Charite Universitatsmedizin Berlin; Radboud University Nijmegen; Shahid Beheshti University Medical Sciences; Shahid Beheshti University Medical Sciences</t>
  </si>
  <si>
    <t>Johannes, T (corresponding author), Johannes Tanne Consulting, Regulatory Affairs, Waldstr 73A, D-15711 Brandenburg, Germany.</t>
  </si>
  <si>
    <t>tannejohannes@gmail.com; chaurasiaakhilanand49@gmail.com; joachim.krois@charite.de; shankeeth.vinayahalingam@radboudumc.nl; Anahita.Haiat@gmail.com; drmotamedian@gmail.com; behnaz1357@yahoo.com; ramtin.rhm@gmail.com</t>
  </si>
  <si>
    <t>0148-5598</t>
  </si>
  <si>
    <t>1573-689X</t>
  </si>
  <si>
    <t>J MED SYST</t>
  </si>
  <si>
    <t>J. Med. Syst.</t>
  </si>
  <si>
    <t>10.1007/s10916-023-01977-6</t>
  </si>
  <si>
    <t>Health Care Sciences &amp; Services; Medical Informatics</t>
  </si>
  <si>
    <t>Q0IB8</t>
  </si>
  <si>
    <t>WOS:001054421400001</t>
  </si>
  <si>
    <t>Lin, CY; Mottaghi, S; Shams, L</t>
  </si>
  <si>
    <t>Lin, Chenyang; Mottaghi, Sabrina; Shams, Ladan</t>
  </si>
  <si>
    <t>The effects of color and saturation on the enjoyment of real-life images</t>
  </si>
  <si>
    <t>Color; Image perception; Affective judgment; Chromatic; Grayscale; Saturation; Valence; Aesthetic value; Perceptual pleasure; Affective value</t>
  </si>
  <si>
    <t>OBJECT RECOGNITION; EMOTION; PREFERENCE; CATEGORIZATION; ASSOCIATIONS; PERCEPTION; FLUENCY; VALENCE</t>
  </si>
  <si>
    <t>This study investigated the effects of color presence and saturation on the affective judgment of real-life images, as functions of the image's affective valence. In the first two experiments, participants observed and rated original color photos and their grayscale versions, presented in an interleaved order across two separate experimental sessions. Color photos were rated as more pleasant than grayscale photos when image valence was positive, and more unpleasant when image valence was negative. The third experiment consisted of the same original images and their versions with saturation reduced by 50%. Original photos were rated as more pleasant than saturation-reduced photos when image valence was positive, yet less unpleasant when image valence was negative, implying potentially separable mechanisms for processing color presence and saturation. Significant interactions were found between color or saturation mode and valence on affective judgment in all three experiments. The effects persisted after controlling for colorfulness and luminance between the color and grayscale (or de-saturated) conditions.</t>
  </si>
  <si>
    <t>[Lin, Chenyang; Shams, Ladan] Univ Calif Los Angeles, Neurosci Interdept Program, Los Angeles, CA 90095 USA; [Mottaghi, Sabrina; Shams, Ladan] Univ Calif Los Angeles, Dept Psychol, Los Angeles, CA 90095 USA; [Shams, Ladan] Univ Calif Los Angeles, Dept Bioengn, Los Angeles, CA 90095 USA</t>
  </si>
  <si>
    <t>University of California System; University of California Los Angeles; University of California System; University of California Los Angeles; University of California System; University of California Los Angeles</t>
  </si>
  <si>
    <t>Shams, L (corresponding author), Univ Calif Los Angeles, Neurosci Interdept Program, Los Angeles, CA 90095 USA.;Shams, L (corresponding author), Univ Calif Los Angeles, Dept Psychol, Los Angeles, CA 90095 USA.;Shams, L (corresponding author), Univ Calif Los Angeles, Dept Bioengn, Los Angeles, CA 90095 USA.</t>
  </si>
  <si>
    <t>lshams@psych.ucla.edu</t>
  </si>
  <si>
    <t>10.3758/s13423-023-02357-4</t>
  </si>
  <si>
    <t>Q8RW1</t>
  </si>
  <si>
    <t>WOS:001060147900001</t>
  </si>
  <si>
    <t>Liu, L; Qi, X; Cheng, SQ; Meng, PL; Yang, XA; Pan, CY; Zhang, N; Chen, YJ; Li, CE; Zhang, HJ; Zhang, Z; Zhang, JX; Cheng, BL; Wen, Y; Jia, YM; Liu, H; Zhang, F</t>
  </si>
  <si>
    <t>Liu, Li; Qi, Xin; Cheng, Shiqiang; Meng, Peilin; Yang, Xuena; Pan, Chuyu; Zhang, Na; Chen, Yujing; Li, Chune; Zhang, Huijie; Zhang, Zhen; Zhang, Jingxi; Cheng, Bolun; Wen, Yan; Jia, Yumeng; Liu, Huan; Zhang, Feng</t>
  </si>
  <si>
    <t>Epigenetic analysis suggests aberrant cerebellum brain aging in old-aged adults with autism spectrum disorder and schizophrenia</t>
  </si>
  <si>
    <t>The aberrant aging hypothesis of schizophrenia (SCZ) and autism spectrum disorder (ASD) has been proposed, and the DNA methylation (DNAm) clock, which is a cumulative evaluation of DNAm levels at age-related CpGs, could serve as a biological aging indicator. This study evaluated epigenetic brain aging of ASD and SCZ using Horvath's epigenetic clock, based on two public genome-wide DNA methylation datasets of post-mortem brain samples (NASD = 222; NSCZ = 142). Total subjects were further divided into subgroups by gender and age. The epigenetic age acceleration (AgeAccel) for each sample was calculated as the residual value resulting from the regression model and compared between groups. Results showed DNAm age has a strong correlation with chronological age in both datasets across multiple brain regions (P &lt; 0.05). When divided into equally sized age groups, the AgeAccel of the cerebellum (CB) region from people over 45 years of age was greater compared to the control sample (AgeAccel of ASD vs control: 5.069 vs -6.249; P &lt; 0.001). And a decelerated epigenetic aging process was observed in the CB region of individuals with SCZ aged 50-70 years (AgeAccel of SCZ vs control: -3.171 vs 2.418; P &lt; 0.05). However, our results showed no significant difference in AgeAccel between ASD and control groups, and between SCZ and control groups in the total and gender-specific groups (P &gt; 0.05). This study's results revealed some evidence for aberrant epigenetic CB brain aging in old-aged patients with ASD and SCZ, indicating a different pattern of CB aging in older adults with these two diseases. However, further studies of larger ASD and SCZ cohorts are necessary to make definitive conclusions on this observation.</t>
  </si>
  <si>
    <t>[Liu, Li; Qi, Xin; Cheng, Shiqiang; Meng, Peilin; Yang, Xuena; Pan, Chuyu; Zhang, Na; Chen, Yujing; Li, Chune; Zhang, Huijie; Zhang, Zhen; Zhang, Jingxi; Cheng, Bolun; Wen, Yan; Jia, Yumeng; Liu, Huan; Zhang, Feng] Xi An Jiao Tong Univ, Hlth Sci Ctr, Sch Publ Hlth, Key Lab Trace Elements &amp; Endem Dis Natl Hlth &amp; Fam, Xian 710061, Peoples R China; [Qi, Xin] Xi An Jiao Tong Univ, Affiliated Hosp 1, Precis Med Ctr, Xian, Peoples R China; [Zhang, Feng] Xi An Jiao Tong Univ, Affiliated Hosp 1, Dept Psychiat, Xian, Peoples R China</t>
  </si>
  <si>
    <t>Xi'an Jiaotong University; Xi'an Jiaotong University; Xi'an Jiaotong University</t>
  </si>
  <si>
    <t>Zhang, F (corresponding author), Xi An Jiao Tong Univ, Hlth Sci Ctr, Sch Publ Hlth, Key Lab Trace Elements &amp; Endem Dis Natl Hlth &amp; Fam, Xian 710061, Peoples R China.;Zhang, F (corresponding author), Xi An Jiao Tong Univ, Affiliated Hosp 1, Dept Psychiat, Xian, Peoples R China.</t>
  </si>
  <si>
    <t>fzhxjtu@mail.xjtu.edu.cn</t>
  </si>
  <si>
    <t>Chen, Yujing/0000-0002-5262-4806; Cheng, Shiqiang/0000-0001-8427-0312</t>
  </si>
  <si>
    <t>10.1038/s41380-023-02233-6</t>
  </si>
  <si>
    <t>P9CD1</t>
  </si>
  <si>
    <t>WOS:001053571700001</t>
  </si>
  <si>
    <t>Liu, WQ; Zhu, JJ; Liu, PD; Wang, P; Song, W</t>
  </si>
  <si>
    <t>Liu, Weiqiao; Zhu, Jianjun; Liu, Peide; Wang, Peng; Song, Wen</t>
  </si>
  <si>
    <t>A Linguistic Cloud-Based Consensus Framework with Three Behavior Classifications Under Trust-Interest Relations</t>
  </si>
  <si>
    <t>GROUP DECISION AND NEGOTIATION</t>
  </si>
  <si>
    <t>Normal cloud model; Compromise limits; Behavior classifications; Minimum consensus cost; Trust-interest network</t>
  </si>
  <si>
    <t>GROUP DECISION-MAKING; AGGREGATION OPERATORS; MINIMUM ADJUSTMENT; MODEL; COST</t>
  </si>
  <si>
    <t>In the consensus reaching process (CRP), experts are not infinitely compromising when adjusting opinions, and the compromise limit is used to reflect the limited compromise behaviors in the process of expert opinion adjustment. In complex and multiple social relations, experts tend to exhibit different behaviors according to their compromise limits. This paper aims to develop a novel CRP framework to promote a consensus that categorizes and manages experts based on their compromise limits. Firstly, the trust-interest network is defined to represent the multiple relations among experts, and the expert weights are calculated by considering the impact of interest manipulation on trust relations. Secondly, a novel cloud model-based minimum cost consensus model is established, which considers the mutual acceptance between the experts and the group, as well as the changes in the ranges of experts' hesitation and the collective acceptance. Thirdly, three behavior classifications are defined based on individual compromise limits and group acceptance ranges: cooperative behavior, hesitating non-cooperative behavior, and strong non-cooperative behavior, and a CRP optimization model is constructed to manage the three behaviors. Finally, a numerical example is given to illustrate the validity and superiority of the proposed model.</t>
  </si>
  <si>
    <t>[Liu, Weiqiao; Zhu, Jianjun] Nanjing Univ Aeronaut &amp; Astronaut, Coll Econ &amp; Management, Nanjing 211106, Jiangsu, Peoples R China; [Liu, Peide; Wang, Peng] Shandong Univ Finance &amp; Econ, Sch Management Sci &amp; Engn, Jinan 250014, Shandong, Peoples R China; [Song, Wen] Nanjing Univ Sci &amp; Technol, Sch Econ &amp; Management, Nanjing 210094, Jiangsu, Peoples R China; [Liu, Weiqiao] Shandong Univ Finance &amp; Econ, Sch Business Adm, Jinan 250014, Shandong, Peoples R China</t>
  </si>
  <si>
    <t>Nanjing University of Aeronautics &amp; Astronautics; Shandong University of Finance &amp; Economics; Nanjing University of Science &amp; Technology; Shandong University of Finance &amp; Economics</t>
  </si>
  <si>
    <t>Zhu, JJ (corresponding author), Nanjing Univ Aeronaut &amp; Astronaut, Coll Econ &amp; Management, Nanjing 211106, Jiangsu, Peoples R China.</t>
  </si>
  <si>
    <t>zhujianjun@nuaa.edu.cn</t>
  </si>
  <si>
    <t>The work was supported by the National Natural Science Foundation of China (grant Nos. 72071106, 72001111, and 72201154). [72001111, 72201154]; National Natural Science Foundation of China; [72071106]</t>
  </si>
  <si>
    <t>The work was supported by the National Natural Science Foundation of China (grant Nos. 72071106, 72001111, and 72201154).; National Natural Science Foundation of China(National Natural Science Foundation of China (NSFC));</t>
  </si>
  <si>
    <t>The work was supported by the National Natural Science Foundation of China (grant Nos. 72071106, 72001111, and 72201154).</t>
  </si>
  <si>
    <t>0926-2644</t>
  </si>
  <si>
    <t>1572-9907</t>
  </si>
  <si>
    <t>GROUP DECIS NEGOT</t>
  </si>
  <si>
    <t>Group Decis. Negot.</t>
  </si>
  <si>
    <t>10.1007/s10726-023-09851</t>
  </si>
  <si>
    <t>Management; Social Sciences, Interdisciplinary</t>
  </si>
  <si>
    <t>Business &amp; Economics; Social Sciences - Other Topics</t>
  </si>
  <si>
    <t>Q8HG9</t>
  </si>
  <si>
    <t>WOS:001059872100001</t>
  </si>
  <si>
    <t>Lynch, JC; Winn, N; Kovalenko, K; Guntenspergen, G</t>
  </si>
  <si>
    <t>Lynch, James C.; Winn, Neil; Kovalenko, Katya; Guntenspergen, Glenn</t>
  </si>
  <si>
    <t>Comparing Wetland Elevation Change Using a Surface Elevation Table, Digital Level, and Total Station</t>
  </si>
  <si>
    <t>ESTUARIES AND COASTS</t>
  </si>
  <si>
    <t>Salt marsh; Elevation change; Surface elevation table; Digital level; Total station; Barrier island (Assateague Island, MD)</t>
  </si>
  <si>
    <t>HIGH-PRECISION MEASUREMENTS; SEDIMENT ELEVATION; VULNERABILITY</t>
  </si>
  <si>
    <t>The surface elevation table (SET) approach and two survey instruments, a digital level (DL) and a total station (TS), were used to evaluate elevation change at a 1-ha, micro-tidal, back-barrier salt marsh at Assateague Island National Seashore (Berlin, MD, USA) from 2016 to 2022. SET data were collected at 3 sampling stations along the perimeter of the plot, 36 pins per station, and the DL and TS data were collected adjacent to 36 stakes, four readings per stake, throughout the plot. The average elevation range of the marsh surface measurements at the SET stations was 2 cm, while the range was considerably greater within the larger 1-ha DL and TS sampling area (24 cm). The average elevation of the marsh surface only varied by 2 cm among the three methods. Elevation change trends of the three methods ranged from 2.8 to 3.5 mm year-1 and were not significantly different from each other. Despite differences in sample size and spatial distribution of measurements, these methods provided comparable measures of long-term trends in marsh surface elevation probably because the marsh at this site was structurally homogeneous with low topographic relief.</t>
  </si>
  <si>
    <t>[Lynch, James C.] Northeast Coastal &amp; Barrier Inventory &amp; Monitoring, Natl Pk Serv, Kingston, RI 02881 USA; [Winn, Neil] Natl Pk Serv, Natl Geospatial Program, Asheville, NC 28805 USA; [Winn, Neil] Natl Pk Serv, Assateague Isl Natl Seashore, Berlin, MD 21811 USA; [Kovalenko, Katya] Univ Minnesota, Nat Resources Res Inst, 5013 Miller Trunk Highway, Duluth, MN 55812 USA; [Guntenspergen, Glenn] US Geol Survey, Eastern Ecol Sci Ctr, Laurel, MD 20705 USA</t>
  </si>
  <si>
    <t>United States Department of the Interior; United States Department of the Interior; United States Department of the Interior; University of Minnesota System; University of Minnesota Duluth; United States Department of the Interior; United States Geological Survey</t>
  </si>
  <si>
    <t>Lynch, JC (corresponding author), Northeast Coastal &amp; Barrier Inventory &amp; Monitoring, Natl Pk Serv, Kingston, RI 02881 USA.</t>
  </si>
  <si>
    <t>james_lynch@nps.gov</t>
  </si>
  <si>
    <t>Thanks are extended to the staff at Assateague Island National Seashore for providing field support over the course of this study, with special acknowledgement to Bill Hulslander and Lauren Kramer. Additional thanks to Philippe Hensel and Galen Scott from; US Geological Survey, Climate Research and Development Program, and Ecosystem Mission Area</t>
  </si>
  <si>
    <t>Thanks are extended to the staff at Assateague Island National Seashore for providing field support over the course of this study, with special acknowledgement to Bill Hulslander and Lauren Kramer. Additional thanks to Philippe Hensel and Galen Scott from the National Oceanic and Atmospheric Administration for their help with the early design and conceptual issues for this study. Charles Roman is thanked for comments on earlier drafts of this manuscript. GRG and KEK acknowledge support from the US Geological Survey, Climate Research and Development Program, and Ecosystem Mission Area. The findings and conclusions in this paper are those of the authors and do not necessarily reflect the views of the National Park Service. Any use of trade, product, or firm names is for descriptive purposes only and does not imply endorsement by the US government.</t>
  </si>
  <si>
    <t>1559-2723</t>
  </si>
  <si>
    <t>1559-2731</t>
  </si>
  <si>
    <t>ESTUAR COAST</t>
  </si>
  <si>
    <t>Estuaries Coasts</t>
  </si>
  <si>
    <t>10.1007/s12237-023-01263-1</t>
  </si>
  <si>
    <t>Environmental Sciences; Marine &amp; Freshwater Biology</t>
  </si>
  <si>
    <t>Environmental Sciences &amp; Ecology; Marine &amp; Freshwater Biology</t>
  </si>
  <si>
    <t>Q8GY5</t>
  </si>
  <si>
    <t>WOS:001059863700001</t>
  </si>
  <si>
    <t>Mcfadden, BR; Inglis, TJJ; Reynolds, M</t>
  </si>
  <si>
    <t>Mcfadden, Benjamin R.; Inglis, Timothy J. J.; Reynolds, Mark</t>
  </si>
  <si>
    <t>Machine learning pipeline for blood culture outcome prediction using Sysmex XN-2000 blood sample results in Western Australia</t>
  </si>
  <si>
    <t>Blood cultures; Machine learning; Bloodstream infections; Diagnostic stewardship</t>
  </si>
  <si>
    <t>Background Bloodstream infections (BSIs) are a significant burden on the global population and represent a key area of focus in the hospital environment. Blood culture (BC) testing is the standard diagnostic test utilised to confirm the presence of a BSI. However, current BC testing practices result in low positive yields and overuse of the diagnostic test. Diagnostic stewardship research regarding BC testing is increasing, and becoming more important to reduce unnecessary resource expenditure and antimicrobial use, especially as antimicrobial resistance continues to rise. This study aims to establish a machine learning (ML) pipeline for BC outcome prediction using data obtained from routinely analysed blood samples, including complete blood count (CBC), white blood cell differential (DIFF), and cell population data (CPD) produced by Sysmex XN-2000 analysers. Methods ML models were trained using retrospective data produced between 2018 and 2019, from patients at Sir Charles Gairdner hospital, Nedlands, Western Australia, and processed at Pathwest Laboratory Medicine, Nedlands. Trained ML models were evaluated using stratified 10-fold cross validation. Results Two ML models, an XGBoost model using CBC/DIFF/CPD features with boruta feature selection (BFS), and a random forest model trained using CBC/DIFF features with BFS were selected for further validation after obtaining AUC scores of 0.76 +/- 0.04 and 0.75 +/- 0.04 respectively using stratified 10-fold cross validation. The XGBoost model obtained an AUC score of 0.76 on a internal validation set. The random forest model obtained AUC scores of 0.82 and 0.76 on internal and external validation datasets respectively. Conclusions We have demonstrated the utility of using an ML pipeline combined with CBC/DIFF, and CBC/DIFF/ CPD feature spaces for BC outcome prediction. This builds on the growing body of research in the area of BC outcome prediction, and provides opportunity for further research.</t>
  </si>
  <si>
    <t>[Mcfadden, Benjamin R.; Reynolds, Mark] Univ Western Australia, Sch Phys Math &amp; Comp, Perth, Australia; [Inglis, Timothy J. J.] Western Australian Country Hlth Serv, Perth, Australia; [Inglis, Timothy J. J.] Univ Western Australia, Sch Med, Perth, Australia; [Inglis, Timothy J. J.] Pathwest Lab Med, Dept Microbiol, Perth, Australia</t>
  </si>
  <si>
    <t>University of Western Australia; University of Western Australia</t>
  </si>
  <si>
    <t>Mcfadden, BR (corresponding author), Univ Western Australia, Sch Phys Math &amp; Comp, Perth, Australia.</t>
  </si>
  <si>
    <t>benjamin.mcfadden@research.uwa.edu.au</t>
  </si>
  <si>
    <t>Reynolds, Mark/0000-0002-5415-0544; McFadden, Benjamin/0000-0002-8535-5374</t>
  </si>
  <si>
    <t>The authors would like to thank Pathwest Laboratory Medicine, Nedlands. BRM was supported by an Australian Government Research Training Program (RTP) Scholarship. This research was also part of the National Health and Medical Research council (NHMRC) ideas; Australian Government Research Training Program (RTP) Scholarship; National Health and Medical Research council (NHMRC); [GA205185]</t>
  </si>
  <si>
    <t>The authors would like to thank Pathwest Laboratory Medicine, Nedlands. BRM was supported by an Australian Government Research Training Program (RTP) Scholarship. This research was also part of the National Health and Medical Research council (NHMRC) ideas; Australian Government Research Training Program (RTP) Scholarship(Australian GovernmentDepartment of Industry, Innovation and Science); National Health and Medical Research council (NHMRC)(National Health and Medical Research Council (NHMRC) of Australia);</t>
  </si>
  <si>
    <t>The authors would like to thank Pathwest Laboratory Medicine, Nedlands. BRM was supported by an Australian Government Research Training Program (RTP) Scholarship. This research was also part of the National Health and Medical Research council (NHMRC) ideas grant project GA205185 The ADEPT study: Adaptive diagnostics for emerging pandemic threats in regional Australia.</t>
  </si>
  <si>
    <t>10.1186/s12879-023-08535-y</t>
  </si>
  <si>
    <t>Q0CK1</t>
  </si>
  <si>
    <t>WOS:001054270300002</t>
  </si>
  <si>
    <t>Mehta, PK; Maharjan, M</t>
  </si>
  <si>
    <t>Mehta, Pramod Kumar; Maharjan, Mahendra</t>
  </si>
  <si>
    <t>Assessment of antigenemia among children in four hotspots of filarial endemic districts of Nepal during post-MDA surveillance</t>
  </si>
  <si>
    <t>Circulating filarial antigen (CFA); Lymphatic filariasis; Mass drug administration; Transmission assessment survey; W. bancrofti</t>
  </si>
  <si>
    <t>ELIMINATE LYMPHATIC FILARIASIS; BANCROFTIAN FILARIASIS; ECONOMIC BURDEN; PROGRAM; DETERMINANTS</t>
  </si>
  <si>
    <t>Background Sixty-three out of 77 districts reported lymphatic filariasis (LF) endemic in Nepal. Mass drug adminis-tration (MDA) with diethylcarbamazine (DEC) and albendazole (ALB) treatment program was continued for 6 to 11 rounds in these districts. Nepal government has stopped the MDA program based on the transmission assessment survey (TAS) report of 2014 and 2018 indicating Wuchereria bancrofti antigenemia prevalence &lt; 2%. But the persis-tence of low levels of the circulating filarial antigen (CFA) in some foci of four endemic districts of Central Nepal, i.e., 0.4% in Dhading, 0.7% in Mahottari, 0.21% in Lalitpur and 1.2% in Bara district could responsible for enhancing the risk of infection resurgence. Hence the present study was designed to assess antigenic prevalence using Filariasis Test Strip (Alere, Scarborough ME) in children born after MDA in hotspot areas of four endemic districts of Central Nepal.Results The present study covers 70% children of the eligible population. The result revealed significantly high CFA prevalence in hotspots of Mahottari district belonging to the Terai region and Dhading district belonging to the hilly region, i.e., 13% and 10%, respectively, compared to baseline prevalence and TAS report. While in Lalitpur district and Bara district CFA prevalence was still found to be less than 2%. A higher number of MDA rounds covered in hot -spots were found significantly associated with the low antigenic prevalence of W. bancrofti. Whereas median treat-ment coverage and inter-quar tile range (IQR) in study districts were not found significantly associated with CFA prevalence. Although the clinical manifestation of hydrocele (1%) was found in all four study districts, it was not due to the W. bancrofti infection.Conclusions Two hotspot regions, one each from the Terai (Mahottari) and hilly (Dhading) districts were found highly prevalent with CFA and significantly associated with the number of MDA rounds but were not associated with treat-ment coverage and IQR. Higher CFA prevalence was observed in hotspots where baseline prevalence was high together indicating that rounds of MDA program need to be extended further in these hotspot regions of endemic districts.</t>
  </si>
  <si>
    <t>[Mehta, Pramod Kumar; Maharjan, Mahendra] Tribhuvan Univ, Inst Sci &amp; Technol, Cent Dept Zool, Kirtipur, Nepal</t>
  </si>
  <si>
    <t>Tribhuvan University; Institute of Science &amp; Technology (IoST) - Nepal</t>
  </si>
  <si>
    <t>Mehta, PK; Maharjan, M (corresponding author), Tribhuvan Univ, Inst Sci &amp; Technol, Cent Dept Zool, Kirtipur, Nepal.</t>
  </si>
  <si>
    <t>pramodmehta89@yahoo.com; mahendra.maharjan@cdztu.edu.np</t>
  </si>
  <si>
    <t>Mehta, Pramod Kumar/0000-0001-9423-1552</t>
  </si>
  <si>
    <t>The authors extend their extreme thanks to the study area residents who participated in the study. We express our deepest thanks to the Epidemiology and Disease Control Division, Department of Health Services and State Public Health Laboratory, Madhesh Pra; ICMR</t>
  </si>
  <si>
    <t>The authors extend their extreme thanks to the study area residents who participated in the study. We express our deepest thanks to the Epidemiology and Disease Control Division, Department of Health Services and State Public Health Laboratory, Madhesh Pra; ICMR(Indian Council of Medical Research (ICMR))</t>
  </si>
  <si>
    <t>The authors extend their extreme thanks to the study area residents who participated in the study. We express our deepest thanks to the Epidemiology and Disease Control Division, Department of Health Services and State Public Health Laboratory, Madhesh Pradesh Janakpurdham Nepal for permission for conducting the research. The authors wish to thank all technical volunteers and female community health volunteers for helping with data collection from the study area. We would like to thank Mr. Jagan Nath Adhikari of CDZ, TU, Nepal, for helping with ArcGIS maps. We would like to thank Dr Rajnikant Dixit of NIMR, ICMR, Delhi, for helping with manuscript writing.</t>
  </si>
  <si>
    <t>10.1186/s41182-023-00538-4</t>
  </si>
  <si>
    <t>Q0BW8</t>
  </si>
  <si>
    <t>WOS:001054256700001</t>
  </si>
  <si>
    <t>Mishra, NK; Adnan; Sarfraz, G; Bani-Fwaz, MZ; Eldin, SM</t>
  </si>
  <si>
    <t>Mishra, Nidhish Kumar; Adnan; Sarfraz, Ghulfam; Bani-Fwaz, Mutasem Z.; Eldin, Sayed M.</t>
  </si>
  <si>
    <t>Dynamics of Corcione nanoliquid on a convectively radiated surface using Al2O3 nanoparticles</t>
  </si>
  <si>
    <t>JOURNAL OF THERMAL ANALYSIS AND CALORIMETRY</t>
  </si>
  <si>
    <t>Corcione model; Nanofluid; Thermal radiation; Riga surface; Numerical analysis</t>
  </si>
  <si>
    <t>VISCOELASTIC NANOFLUID FLOW; RIGA-PLATE; STRETCHING SHEET</t>
  </si>
  <si>
    <t>The significance of nanofluids prepared from different nanoparticles and base solvents for heat transfer applications cannot be sidestepped because of their large scale in applied thermal, chemical and mechanical engineering, etc. Therefore, the current model aims and designed to investigate the heating characteristics of Al2O3/H2O and the effective values of estimated using Corcione model. The key effects of thermal radiations and internal heating source are incorporated in the model equations. Then, the model transformed into a joint system of ODEs which reflects the flow over a Riga surface. The RK (Runge-Kutta) scheme used to compute the model results and analyzed comprehensively. It is scrutinized that the fluid motion is reduced when the a(1) and a(2) get higher values. It is good from engineering purposes where slow fluid movement is essential. Further, the modified Hartmann number highly affected the particles motion and is rapid for nanofluid due to higher viscous forces. Moreover, the heating source and thermal radiations boosted the nanoliquid temperature by considering Corcione model. Thus, desired able amount of the heat can be achieved by intensifying the radiation and heating factors.</t>
  </si>
  <si>
    <t>[Mishra, Nidhish Kumar] Saudi Elect Univ, Coll Sci &amp; Theoret Studies, Basic Sci Dept, Riyadh 11673, Saudi Arabia; [Adnan; Sarfraz, Ghulfam] Mohi Ud Din Islamic Univ, Dept Math, Nerian Sharif 12080, AJ&amp;K, Pakistan; [Bani-Fwaz, Mutasem Z.] King Khalid Univ, Coll Sci, Dept Chem, POB 9004, Abha 61413, Saudi Arabia; [Eldin, Sayed M.] Future Univ Egypt, Ctr Res, Fac Engn, New Cairo 11835, Egypt</t>
  </si>
  <si>
    <t>Saudi Electronic University; King Khalid University; Egyptian Knowledge Bank (EKB); Future University in Egypt</t>
  </si>
  <si>
    <t>Adnan (corresponding author), Mohi Ud Din Islamic Univ, Dept Math, Nerian Sharif 12080, AJ&amp;K, Pakistan.</t>
  </si>
  <si>
    <t>adnan_abbasi89@yahoo.com</t>
  </si>
  <si>
    <t>Mishra, Dr.Nidhish Kumar/0000-0003-4502-261X; Bani-Fwaz, Mutasem Z/0000-0003-0426-1657</t>
  </si>
  <si>
    <t>Deanship of Scientific Research at King Khalid University [RGP2/16/44]</t>
  </si>
  <si>
    <t>Deanship of Scientific Research at King Khalid University</t>
  </si>
  <si>
    <t>The authors extend their appreciation to the Deanship of Scientific Research at King Khalid University for funding this work through large group Research Project under grant number RGP2/16/44.</t>
  </si>
  <si>
    <t>1388-6150</t>
  </si>
  <si>
    <t>1588-2926</t>
  </si>
  <si>
    <t>J THERM ANAL CALORIM</t>
  </si>
  <si>
    <t>J. Therm. Anal. Calorim.</t>
  </si>
  <si>
    <t>10.1007/s10973-023-12448-y</t>
  </si>
  <si>
    <t>Thermodynamics; Chemistry, Analytical; Chemistry, Physical</t>
  </si>
  <si>
    <t>Thermodynamics; Chemistry</t>
  </si>
  <si>
    <t>Q8AS2</t>
  </si>
  <si>
    <t>WOS:001059701000001</t>
  </si>
  <si>
    <t>Ochs, AR; Boyle, PM</t>
  </si>
  <si>
    <t>Ochs, Alexander R.; Boyle, Patrick M.</t>
  </si>
  <si>
    <t>Optogenetic Modulation of Arrhythmia Triggers: Proof-of-Concept from Computational Modeling</t>
  </si>
  <si>
    <t>CELLULAR AND MOLECULAR BIOENGINEERING</t>
  </si>
  <si>
    <t>Cardiac optogenetics; Channelrhodopsin; GtACR1; ChR2; Cardiac electrophysiology; Reduced repolarization reserve; Early afterdepolarization; Myocardial infarction; Cardiomyocyte; Computational modeling</t>
  </si>
  <si>
    <t>PREMATURE VENTRICULAR COMPLEXES; EARLY AFTERDEPOLARIZATIONS; CARDIAC OPTOGENETICS; OPTICAL CONTROL; BORDER ZONE; REPOLARIZATION; HEART; STIMULATION; PROPAGATION; FEASIBILITY</t>
  </si>
  <si>
    <t>IntroductionEarly afterdepolarizations (EADs) are secondary voltage depolarizations associated with reduced repolarization reserve (RRR) that can trigger lethal arrhythmias. Relating EADs to triggered activity is difficult to study, so the ability to suppress or provoke EADs would be experimentally useful. Here, we use computational simulations to assess the feasibility of subthreshold optogenetic stimulation modulating the propensity for EADs (cell-scale) and EAD-associated ectopic beats (organ-scale).MethodsWe modified a ventricular ionic model by reducing rapid delayed rectifier potassium (0.25-0.1 x baseline) and increasing L-type calcium (1.0-3.5 x baseline) currents to create RRR conditions with varying severity. We ran simulations in models of single cardiomyocytes and left ventricles from post-myocardial infarction patient MRI scans. Optogenetic stimulation was simulated using either ChR2 (depolarizing) or GtACR1 (repolarizing) opsins.ResultsIn cell-scale simulations without illumination, EADs were seen for 164 of 416 RRR conditions. Subthreshold stimulation of GtACR1 reduced EAD incidence by up to 84.8% (25/416 RRR conditions; 0.1 &amp; mu;W/mm2); in contrast, subthreshold ChR2 excitation increased EAD incidence by up to 136.6% (388/416 RRR conditions; 50 &amp; mu;W/mm2). At the organ scale, we assumed simultaneous, uniform illumination of the epicardial and endocardial surfaces. GtACR1-mediated suppression (10-50 &amp; mu;W/mm2) and ChR2-mediated unmasking (50-100 &amp; mu;W/mm2) of EAD-associated ectopic beats were feasible in three distinct ventricular models.ConclusionsOur findings suggest that optogenetics could be used to silence or provoke both EADs and EAD-associated ectopic beats. Validation in animal models could lead to exciting new experimental regimes and potentially to novel anti-arrhythmia treatments.</t>
  </si>
  <si>
    <t>[Ochs, Alexander R.; Boyle, Patrick M.] Univ Washington, Dept Bioengn, UW Bioengn, 3720 15th Ave NE N107,UW Mailbox 355061, Seattle, WA 98195 USA; [Boyle, Patrick M.] Univ Washington, Inst Stem Cell &amp; Regenerat Med, Seattle, WA 98109 USA; [Boyle, Patrick M.] Univ Washington, Ctr Cardiovasc Biol, Seattle, WA 98195 USA</t>
  </si>
  <si>
    <t>Boyle, PM (corresponding author), Univ Washington, Dept Bioengn, UW Bioengn, 3720 15th Ave NE N107,UW Mailbox 355061, Seattle, WA 98195 USA.;Boyle, PM (corresponding author), Univ Washington, Inst Stem Cell &amp; Regenerat Med, Seattle, WA 98109 USA.;Boyle, PM (corresponding author), Univ Washington, Ctr Cardiovasc Biol, Seattle, WA 98195 USA.</t>
  </si>
  <si>
    <t>pmjboyle@uw.edu</t>
  </si>
  <si>
    <t>Institute of Stem Cell and Regenerative Medicine in Seattle, WA, USA; University of Washington Royalty Research Fund; NIH [R01-HL158667]</t>
  </si>
  <si>
    <t>Institute of Stem Cell and Regenerative Medicine in Seattle, WA, USA; University of Washington Royalty Research Fund(University of Washington); NIH(United States Department of Health &amp; Human ServicesNational Institutes of Health (NIH) - USA)</t>
  </si>
  <si>
    <t>A.R.O. was supported by a graduate student fellowship from the Institute of Stem Cell and Regenerative Medicine in Seattle, WA, USA. P.M.B. was supported by a grant from the University of Washington Royalty Research Fund and by NIH R01-HL158667.</t>
  </si>
  <si>
    <t>1865-5025</t>
  </si>
  <si>
    <t>1865-5033</t>
  </si>
  <si>
    <t>CELL MOL BIOENG</t>
  </si>
  <si>
    <t>Cell. Mol. Bioeng.</t>
  </si>
  <si>
    <t>10.1007/s12195-023-00781</t>
  </si>
  <si>
    <t>Cell &amp; Tissue Engineering; Biophysics; Cell Biology; Engineering, Biomedical</t>
  </si>
  <si>
    <t>Cell Biology; Biophysics; Engineering</t>
  </si>
  <si>
    <t>Q8QZ7</t>
  </si>
  <si>
    <t>WOS:001060125500002</t>
  </si>
  <si>
    <t>Patel, A; Chabot, F; Hamid, O</t>
  </si>
  <si>
    <t>Patel, Aagna; Chabot, Francis; Hamid, Osman</t>
  </si>
  <si>
    <t>From Weakness to Wellness: A Rare Case of Severe Pancytopenia and Vitamin B12 Deficiency</t>
  </si>
  <si>
    <t>cyanocobalamin; leukemia; macrocytic anemia; pancytopenia; vitamin b12 deficiency</t>
  </si>
  <si>
    <t>Vitamin B12 (cobalamin) deficiency is a commonly seen nutritional deficiency that presents with a broad spectrum of clinical symptoms. In this report, we describe a case of a 49-year-old female patient who presented to the emergency department with sudden onset of a syncopal-like episode, generalized weakness, and severe pancytopenia, who was subsequently diagnosed with vitamin B12 deficiency upon admission. The patient underwent a thorough evaluation to exclude alternative etiologies for her presentation. Her clinical symptoms and blood count significantly improved after six days of treatment with vitamin B12 supplementation. While vitamin B12 deficiency is a commonly recognized issue, healthcare providers should be aware of its infrequent presentations. Our case serves as a reminder to clinicians to remain vigilant for acute onset manifestations and consider vitamin B12 deficiency as a differential diagnosis for the early management of pancytopenia.</t>
  </si>
  <si>
    <t>[Patel, Aagna] Lake Erie Coll Osteopath Med, Dept Preclin Med, Erie, PA USA; [Chabot, Francis; Hamid, Osman] Mohawk Valley Hlth Syst, Dept Family Med, Utica, NY 13502 USA</t>
  </si>
  <si>
    <t>Hamid, O (corresponding author), Mohawk Valley Hlth Syst, Dept Family Med, Utica, NY 13502 USA.</t>
  </si>
  <si>
    <t>osmanelsir.oe@gmail.com</t>
  </si>
  <si>
    <t>e44017</t>
  </si>
  <si>
    <t>10.7759/cureus.44017</t>
  </si>
  <si>
    <t>R1PL8</t>
  </si>
  <si>
    <t>WOS:001062130300024</t>
  </si>
  <si>
    <t>Rafi, S; Das, R</t>
  </si>
  <si>
    <t>Rafi, Shaik; Das, Ranjita</t>
  </si>
  <si>
    <t>Topic-guided abstractive multimodal summarization with multimodal output</t>
  </si>
  <si>
    <t>Multimodal Abstractive Summary; Topic Modelling; Latent Dirichlet Allocation; Attention Mechanism</t>
  </si>
  <si>
    <t>FUSION</t>
  </si>
  <si>
    <t>Summarization is a technique that produces condensed text from large text documents by using different deep-learning techniques. Over the past few years, abstractive summarization has drawn much attention because of the capability of generating human-like sentences with the help of machines. However, it must improve repetition, redundancy and lexical problems while generating sentences. Previous studies show that incorporating images with text modality in the abstractive summary may reduce redundancy, but the concentration still needs to lay on the semantics of the sentences. This paper considers adding a topic to a multimodal summary to address semantics and linguistics problems. This stress the need to develop a multimodal summarization system with the topic. Multimodal summarization uses two or more modalities to extract the essential features to increase user satisfaction in generating an abstractive summary. However, the paper's primary aim is to explore the generation of user preference summaries of a particular topic by proposing a Hybrid Image Text Topic (HITT) to guide the extracted essential information from text and image modalities with the help of topic that addresses semantics and linguistic problems to generate a topic-guided abstractive multimodal summary. Furthermore, a caption-summary order space technique has been introduced in this proposed work to retrieve the relevant image for the generated summary. Finally, the MSMO dataset compares and validates the results with rouge and image precision scores. Besides, we also calculated the model's loss using sparse categorical cross entropy and showed significant improvement over other state-of-the-art techniques.</t>
  </si>
  <si>
    <t>[Rafi, Shaik] Natl Inst Technol Mizoram, Dept Comp Sci &amp; Engn, Aizawl 796012, Mizoram, India; [Das, Ranjita] Natl Inst Technol Agartala, Dept Comp Sci &amp; Engn, Agartala 799046, Tripura, India</t>
  </si>
  <si>
    <t>National Institute of Technology (NIT System); National Institute of Technology Mizoram; National Institute of Technology (NIT System); National Institute of Technology Agartala</t>
  </si>
  <si>
    <t>Das, R (corresponding author), Natl Inst Technol Agartala, Dept Comp Sci &amp; Engn, Agartala 799046, Tripura, India.</t>
  </si>
  <si>
    <t>shaik.cse.phd@nitmz.ac.in; ranjita.cse@nita.ac.in</t>
  </si>
  <si>
    <t>10.1007/s00521-023-08821-5</t>
  </si>
  <si>
    <t>Q8RU9</t>
  </si>
  <si>
    <t>WOS:001060146700001</t>
  </si>
  <si>
    <t>Ravula, S; Patil, C; Kumar, KSP; Kollu, R; Shaik, AR; Bandari, R; Songa, R; Battula, V; Arelly, SPD; Gopagoni, R</t>
  </si>
  <si>
    <t>Ravula, Smitha; Patil, Chandrashekar; Kumar, K. S. Prashanth; Kollu, Raja; Shaik, Abdul Raheem; Bandari, Rohit; Songa, Rajesh; Battula, Vasudha; Arelly, Samuel Paul Dhinakar; Gopagoni, Ragini</t>
  </si>
  <si>
    <t>A Study to Evaluate the Role of Three- Dimensional Pseudo-Continuous Arterial Spin Labelling in Acute Ischemic Stroke</t>
  </si>
  <si>
    <t>diffusion weighted imaging ( dwi ); penumbra; window period; diffusion perfusion mismatch; arterial spin labeling</t>
  </si>
  <si>
    <t>ROUTINE CLINICAL-PRACTICE</t>
  </si>
  <si>
    <t>Introduction Magnetic resonance imaging (MRI) is well known to detect ischemic brain tissue and evaluate the tissue vulnerable to infarction. Diffusion-weighted imaging (DWI) has been a mainstay of stroke evaluation but has a few shortcomings, as it generally indicates only the core of ischemia and does not provide information regarding the tissue at risk or the ischemic penumbra surrounding the infarct. Perfusion imaging identifies brain tissue that has reduced blood flow as a potential target for reperfusion therapy. Arterial spin labelling (ASL) is a new non-invasive, non-contrast MRI perfusion sequence used to detect areas of hypoperfusion qualitatively and quantitatively and also identify the area at risk, i.e., the penumbra, in acute ischemic stroke. The most important component of the imaging is to determine the ischemic penumbra. One of the working definitions of penumbra is brain tissue that is ischemic but not yet infarcted and is at risk of further damage unless the flow is rapidly restored. Hence, perfusion-diffusion mismatch provides a realistic target for potential intervention. The aim of our study is to assess the role of ASL imaging in identifying the penumbra and providing insight into the management of acute ischemic stroke.Materials and methods Patients who presented with symptoms of acute ischemic stroke were included in the study, and an MRI stroke protocol comprising DWI, fluid-attenuated inversion recovery (FLAIR), ASL, and magnetic resonance angiogram (MRA) sequences was done. Post-thrombolysis, a follow-up MRI was done using DWI, ASL, and MRA to see the restoration of perfusion in the ischemic penumbra. Three-dimensional pseudo continuous ASL (in our study, ASL refers to pseudo-continuous ASL) is included in the stroke protocol in cases of acute ischemic stroke and assessed qualitatively.Results Our study included 43 patients (n = 43), of whom 39.5% (17 patients) belong to the age group of 51-60 years and 2.3% (one patient) are in the age group of 21-30 years. All 43 cases demonstrated DWI-FLAIR mismatch, suggestive of ischemic stroke within the window period, and all 43 cases showed DWI-ASL mismatch, suggestive of a large yet potentially salvageable peri-infarct ischemic penumbra. The most common territory involved was the middle cerebral artery (MCA), and the posterior cerebral artery (PCA) was the least commonly involved territory. We had one case involving the MCA-PCA watershed zone.Conclusion Arterial spin labelling is a novel, non-invasive, non-contrast MRI sequence with the capability to provide qualitative information regarding the salvageable ischemic penumbra, and timely management prevents the progression of the penumbra. The incorporation of ASL as part of the standard neuroimaging protocol aids in the management of acute stroke, giving insight into the prediction of outcome.</t>
  </si>
  <si>
    <t>[Ravula, Smitha; Patil, Chandrashekar; Kumar, K. S. Prashanth; Shaik, Abdul Raheem] Malla Reddy Med Coll Women, Radiodiag, Hyderabad, India; [Kollu, Raja] New Med Ctr NMC Special Hosp, Radiol, Abu Dhabi, U Arab Emirates; [Bandari, Rohit; Songa, Rajesh] Malla Reddy Narayana Multispecial Hosp, Neurol, Hyderabad, India; [Battula, Vasudha] Ankura Hosp Hyderabad, Pediat, Hyderabad, India; [Arelly, Samuel Paul Dhinakar] Christian Med Coll &amp; Hosp, Gen Surg, Vellore, India; [Gopagoni, Ragini] Malla Reddy Inst Med Sci, Internal Med, Hyderabad, India</t>
  </si>
  <si>
    <t>Christian Medical College &amp; Hospital (CMCH) Vellore</t>
  </si>
  <si>
    <t>Ravula, S (corresponding author), Malla Reddy Med Coll Women, Radiodiag, Hyderabad, India.</t>
  </si>
  <si>
    <t>ravulasmitha22@gmail.com</t>
  </si>
  <si>
    <t>e44030</t>
  </si>
  <si>
    <t>10.7759/cureus.44030</t>
  </si>
  <si>
    <t>WOS:001062130300001</t>
  </si>
  <si>
    <t>Singh, SS; Zhong, SR; Rogers, KA; Hachinski, VC; Frisbee, SJ</t>
  </si>
  <si>
    <t>Singh, Sarah S.; Zhong, Shiran; Rogers, Kem A.; Hachinski, Vladimir C.; Frisbee, Stephanie J.</t>
  </si>
  <si>
    <t>Prevalence of dementia, heart disease and stroke in community-dwelling adults in Canada, 2016-2021: opportunities for joint prevention</t>
  </si>
  <si>
    <t>ARCHIVES OF PUBLIC HEALTH</t>
  </si>
  <si>
    <t>Dementia; Heart disease; Stroke; Vascular disease; Risk factors; Prevalence; Trends; Prevention</t>
  </si>
  <si>
    <t>CARDIOVASCULAR-DISEASE; COGNITIVE DECLINE; INCIDENT DEMENTIA; RISK; HEALTH; TRIAL; INTERVENTIONS; HYPERTENSION; BLIND</t>
  </si>
  <si>
    <t>Introduction This aim of this study is to provide updated estimates on the prevalence of dementia, heart disease, and stroke in Canadian communities. Targeting all three conditions together, at the community level, may be key to disease prevention and health aging in the Canadian population. Methods Using nationwide health survey data, we calculated the age-standardized prevalence of self-reported dementia, heart disease and stroke in adults aged 18 years and over residing in Canadian communities from 2016 to 2021. Poisson regression models were used to detect statistically significant changes in the prevalence of all three conditions from 2016 to 2021. Results Less than 1% (similar to 175,000 individuals) of adults residing in Canadian communities reported dementia, 5% (similar to 1.5 million individuals) reported heart disease, and more than 1% (similar to 370,000 individuals) reported stroke annually from 2016 to 2021. Overall, the age-standardized prevalence for stroke decreased minimally from 2016 to 2021 (p = 0.0004). Although the age-standardized prevalence of heart disease and dementia decreased from 2016 to 2018, subsequent increases in prevalence from 2018 to 2021 led to a lack of overall statistically significant changes from 2016 to 2021 (p = 0.10 for heart disease and p = 0.37 for dementia). Conclusion Recent increases in the prevalence of dementia, heart disease and stroke in Canadian communities threaten to reverse any gains in vascular disease prevention over the past six years. Findings reveal the urgent need for intensified prevention efforts that are community-based with a focus on joint reduction in the shared risk factors contributing to all three diseases.</t>
  </si>
  <si>
    <t>[Singh, Sarah S.; Hachinski, Vladimir C.] Univ Western Ontario, Robarts Res Inst, 100 Perth Dr, London, ON N6A 5K8, Canada; [Zhong, Shiran] Univ Western Ontario, Dept Geog, London, ON, Canada; [Rogers, Kem A.] Univ Western Ontario, Schulich Sch Med &amp; Dent, Dept Anat &amp; Cell Biol, London, ON, Canada; [Hachinski, Vladimir C.] Univ Western Ontario, Schulich Sch Med &amp; Dent, Dept Clin Neurol Sci &amp; Epidemiol &amp; Biostat, London, ON, Canada; [Frisbee, Stephanie J.] Univ Western Ontario, Schulich Sch Med &amp; Dent, Dept Pathol &amp; Lab Med &amp; Epidemiol &amp; Biostat, London, ON, Canada</t>
  </si>
  <si>
    <t>Western University (University of Western Ontario); Western University (University of Western Ontario); Western University (University of Western Ontario); Western University (University of Western Ontario); Western University (University of Western Ontario)</t>
  </si>
  <si>
    <t>Singh, SS (corresponding author), Univ Western Ontario, Robarts Res Inst, 100 Perth Dr, London, ON N6A 5K8, Canada.</t>
  </si>
  <si>
    <t>ssing452@uwo.ca</t>
  </si>
  <si>
    <t>We thank the Dementia Prevention Initiative for their support and contributions to the project.; Dementia Prevention Initiative</t>
  </si>
  <si>
    <t>The analyses contained in this study were conducted at the Research Data Centre at Western University, a member of the Canadian Research Data Center Network. The services and activities of the Research Data Centre at Western University are made possible by financial support from the Social Sciences and Humanities Research Council, Canadian Institutes of Health Research, Statistics Canada, and Western University. The ideas, results, and views expressed are those of the author(s).r We thank the Dementia Prevention Initiative for their support and contributions to the project.</t>
  </si>
  <si>
    <t>0778-7367</t>
  </si>
  <si>
    <t>2049-3258</t>
  </si>
  <si>
    <t>ARCH PUBLIC HEALTH</t>
  </si>
  <si>
    <t>Arch. PUblic Health</t>
  </si>
  <si>
    <t>10.1186/s13690-023-01171-7</t>
  </si>
  <si>
    <t>Q0IC1</t>
  </si>
  <si>
    <t>WOS:001054421700003</t>
  </si>
  <si>
    <t>Wrotek, M; Kalbarczyk, M</t>
  </si>
  <si>
    <t>Wrotek, Malgorzata; Kalbarczyk, Malgorzata</t>
  </si>
  <si>
    <t>Predictors of long-term care use - informal home care recipients versus private and public facilities residents in Poland</t>
  </si>
  <si>
    <t>Long-term care; Informal care; Poland; Andersen's behavioral model</t>
  </si>
  <si>
    <t>OLDER-PEOPLE; INSTITUTIONAL RESIDENCE; DISABILITY; MORTALITY; HEALTH; RISK; TRANSITIONS; ADMISSION; ENGLAND; FAMILY</t>
  </si>
  <si>
    <t>BackgroundThe population aging, together with the shrinking caring potential of families, is a major challenge for social policy in the coming years. The aim of the study is to identify the factors that determine not only the use of long-term care (LTC) but also the selection of individual types of such care in Poland.MethodsUsing unique data collected from inpatient LTC facilities in Poland and the Survey on Health, Ageing and Retirement in Europe (SHARE) database, we estimate logistic regressions explaining the choice of LTC solution.ResultsOur results suggest that social inequalities play a role in choosing the type of LTC. Better educated people choose private institutions, while people without support network use more often social residential homes. The impact of multimorbidity on choosing different types of inpatient facilities is limited, thus the number of ADL limitations remains a better indicator of long term care utilization.ConclusionsThe study confirms that social inequalities influence decisions about the choice of LTC. However, multi-morbidity is a predictor of using LTC to a limited extent. The differences in LTC selection determinants between women and men are noticeable.</t>
  </si>
  <si>
    <t>[Wrotek, Malgorzata; Kalbarczyk, Malgorzata] Univ Warsaw, Fac Econ Sci, Dluga 44-50, PL-00241 Warsaw, Poland</t>
  </si>
  <si>
    <t>University of Warsaw</t>
  </si>
  <si>
    <t>Wrotek, M (corresponding author), Univ Warsaw, Fac Econ Sci, Dluga 44-50, PL-00241 Warsaw, Poland.</t>
  </si>
  <si>
    <t>mwrotek@wne.uw.edu.pl</t>
  </si>
  <si>
    <t>Kalbarczyk, Malgorzata/0000-0002-9431-1947</t>
  </si>
  <si>
    <t>This research was conducted as a part of research grant funded by University of Warsaw, grant number 01/IDUB/2019/94. We would like to thank Grzegorz Kula and Pawel Kaczmarczyk for their comments. We are also grateful for the insightful comments obtained f; University of Warsaw; [01/IDUB/2019/94]</t>
  </si>
  <si>
    <t>This research was conducted as a part of research grant funded by University of Warsaw, grant number 01/IDUB/2019/94. We would like to thank Grzegorz Kula and Pawel Kaczmarczyk for their comments. We are also grateful for the insightful comments obtained f; University of Warsaw;</t>
  </si>
  <si>
    <t>This research was conducted as a part of research grant funded by University of Warsaw, grant number 01/IDUB/2019/94. We would like to thank Grzegorz Kula and Pawel Kaczmarczyk for their comments. We are also grateful for the insightful comments obtained from the anonymous Reviewers. Special acknowledgments to managers and other staff of LTC facilities for their involvement in the preparation and sharing of the data.</t>
  </si>
  <si>
    <t>10.1186/s12877-023-04216-2</t>
  </si>
  <si>
    <t>Q0CC0</t>
  </si>
  <si>
    <t>WOS:001054262000001</t>
  </si>
  <si>
    <t>Wu, YA; Pang, HW; Shen, J; Qi, SL; Feng, J; Yue, Y; Qian, W; Wu, JL</t>
  </si>
  <si>
    <t>Wu, Yanan; Pang, Haowen; Shen, Jing; Qi, Shouliang; Feng, Jie; Yue, Yong; Qian, Wei; Wu, Jianlin</t>
  </si>
  <si>
    <t>Depicting and predicting changes of lung after lobectomy for cancer by using CT images</t>
  </si>
  <si>
    <t>MEDICAL &amp; BIOLOGICAL ENGINEERING &amp; COMPUTING</t>
  </si>
  <si>
    <t>Volume change; Pulmonary lobectomy; Computed tomography</t>
  </si>
  <si>
    <t>POSTOPERATIVE PULMONARY-FUNCTION; VOLUME; GROWTH; LOBE</t>
  </si>
  <si>
    <t>Lobectomy is an effective and well-established therapy for localized lung cancer. This study aimed to assess the lung and lobe change after lobectomy and predict the postoperative lung volume. The study included 135 lung cancer patients from two hospitals who underwent lobectomy (32, right upper lobectomy (RUL); 31, right middle lobectomy (RML); 24, right lower lobectomy (RLL); 26, left upper lobectomy (LUL); 22, left lower lobectomy (LLL)). We initially employ a convolutional neural network model (nnU-Net) for automatically segmenting pulmonary lobes. Subsequently, we assess the volume, effective lung volume (ELV), and attenuation distribution for each lobe as well as the entire lung, before and after lobectomy. Ultimately, we formulate a machine learning model, incorporating linear regression (LR) and multi-layer perceptron (MLP) methods, to predict the postoperative lung volume. Due to the physiological compensation, the decreased TLV is about 10.73%, 8.12%, 13.46%, 11.47%, and 12.03% for the RUL, RML, RLL, LUL, and LLL, respectively. The attenuation distribution in each lobe changed little for all types of lobectomy. LR and MLP models achieved a mean absolute percentage error of 9.8% and 14.2%, respectively. Radiological findings and a predictive model of postoperative lung volume might help plan the lobectomy and improve the prognosis.</t>
  </si>
  <si>
    <t>[Wu, Yanan; Pang, Haowen; Qi, Shouliang; Qian, Wei] Northeastern Univ, Coll Med &amp; Biol Informat Engn, Shenyang, Peoples R China; [Wu, Yanan; Pang, Haowen; Qi, Shouliang] Northeastern Univ, Key Lab Intelligent Comp Med Image, Minist Educ, Shenyang, Peoples R China; [Shen, Jing] Tianjin Med Univ, Grad Sch, Tianjin, Peoples R China; [Shen, Jing; Wu, Jianlin] Dalian Univ, Dept Radiol, Affiliated Zhongshan Hosp, Dalian, Peoples R China; [Feng, Jie] Shenyang Univ Technol, Sch Chem Equipment, Liaoyang, Peoples R China; [Yue, Yong] China Med Univ, Dept Radiol, Shengjing Hosp, Shenyang, Peoples R China</t>
  </si>
  <si>
    <t>Northeastern University - China; Northeastern University - China; Tianjin Medical University; Dalian University; Shenyang University of Technology; China Medical University</t>
  </si>
  <si>
    <t>Qi, SL (corresponding author), Northeastern Univ, Coll Med &amp; Biol Informat Engn, Shenyang, Peoples R China.;Qi, SL (corresponding author), Northeastern Univ, Key Lab Intelligent Comp Med Image, Minist Educ, Shenyang, Peoples R China.;Wu, JL (corresponding author), Dalian Univ, Dept Radiol, Affiliated Zhongshan Hosp, Dalian, Peoples R China.</t>
  </si>
  <si>
    <t>2010478@stu.neu.edu.cn; 2071231@stu.neu.edu.cn; dsqshenjing2002@163.com; qisl@bmie.neu.edu.cn; jiefeng_ln@163.com; ghostaa2000@aliyun.com; wqian@bmie.neu.edu.cn; cjr.wujianlin@vip.163.com</t>
  </si>
  <si>
    <t>National Natural Science Foundation of China [82072008, 62271131]; Liaoning Natural Science Foundation [2021-YGJC-21, 2020-BS -049]; Fundamental Research Funds [N2119010, N2224001-10]</t>
  </si>
  <si>
    <t>National Natural Science Foundation of China(National Natural Science Foundation of China (NSFC)); Liaoning Natural Science Foundation(Natural Science Foundation of Liaoning Province); Fundamental Research Funds</t>
  </si>
  <si>
    <t>&amp; nbsp;This work was partly supported by the National Natural Science Foundation of China under Grant (Nos. 82072008, 62271131), the Liaoning Natural Science Foundation (2021-YGJC-21, 2020-BS -049), and the Fundamental Research Funds for the Central Universities (N2119010, N2224001-10).</t>
  </si>
  <si>
    <t>0140-0118</t>
  </si>
  <si>
    <t>1741-0444</t>
  </si>
  <si>
    <t>MED BIOL ENG COMPUT</t>
  </si>
  <si>
    <t>Med. Biol. Eng. Comput.</t>
  </si>
  <si>
    <t>10.1007/s11517-023-02907</t>
  </si>
  <si>
    <t>Computer Science, Interdisciplinary Applications; Engineering, Biomedical; Mathematical &amp; Computational Biology; Medical Informatics</t>
  </si>
  <si>
    <t>Computer Science; Engineering; Mathematical &amp; Computational Biology; Medical Informatics</t>
  </si>
  <si>
    <t>Q8QY8</t>
  </si>
  <si>
    <t>WOS:001060124600002</t>
  </si>
  <si>
    <t>Ahmed, W</t>
  </si>
  <si>
    <t>Ahmed, Wondimu</t>
  </si>
  <si>
    <t>Measuring Stress Among Black Adolescents: Validation of Perceived Stress Scale</t>
  </si>
  <si>
    <t>JOURNAL OF PSYCHOPATHOLOGY AND BEHAVIORAL ASSESSMENT</t>
  </si>
  <si>
    <t>Black adolescents; Perceived Stress Scale; confirmatory factor analysis; measurement invariance; stress</t>
  </si>
  <si>
    <t>OF-FIT INDEXES; PSYCHOLOGICAL STRESS; INVARIANCE; SAMPLE</t>
  </si>
  <si>
    <t>The aim of this study was to validate the Perceived Stress Scale (PSS), a widely used measure of stress, among Black adolescents. Using a sample of 1,170 Black adolescents from the National Survey of American Life - Adolescent Supplement, the study evaluated the factor structure and cross-gender measurement invariance of two versions of the PSS, the 14-item and 10-item versions. Confirmatory factor analysis (CFA) was conducted to determine the factor structure of PSS. Multigroup CFA was carried out to test the measurement invariance of the PSS across genders. The findings support previous research in adults, indicating a two-dimensional factor structure for both versions of the PSS. Item 12 had a low loading on the theoretical factor in the PSS-14 and was removed in later analyses. In addition, the results showed that the two-factor model of PSS was invariant across gender suggesting that observed gender differences may not be attributed to gender bias. The findings also suggest that scores on the PSS are linked to Major Depressive Disorder (MDD) among Black adolescents. The findings suggest that PSS is a valid tool to assess perceived stress among Black adolescents; however, researchers and practitioners should not ignore the multi-dimensional nature of the scale.</t>
  </si>
  <si>
    <t>[Ahmed, Wondimu] Univ Akron, LeBron James Family Fdn Sch Educ, Zook Hall 421, Akron, OH 44325 USA</t>
  </si>
  <si>
    <t>University System of Ohio; University of Akron</t>
  </si>
  <si>
    <t>Ahmed, W (corresponding author), Univ Akron, LeBron James Family Fdn Sch Educ, Zook Hall 421, Akron, OH 44325 USA.</t>
  </si>
  <si>
    <t>wahmed@uakron.edu</t>
  </si>
  <si>
    <t>Madge W. Harrington Professorship at The University of Akron</t>
  </si>
  <si>
    <t>This study was supported by the Madge W. Harrington Professorship at The University of Akron awarded to Wondimu Ahmed. The funder had no role in the study design, data collection, analysis, the decision to publish, or the preparation of the manuscript.</t>
  </si>
  <si>
    <t>0882-2689</t>
  </si>
  <si>
    <t>1573-3505</t>
  </si>
  <si>
    <t>J PSYCHOPATHOL BEHAV</t>
  </si>
  <si>
    <t>J. Psychopathol. Behav. Assess.</t>
  </si>
  <si>
    <t>2023 AUG 23</t>
  </si>
  <si>
    <t>10.1007/s10862-023-10079-z</t>
  </si>
  <si>
    <t>P7LO6</t>
  </si>
  <si>
    <t>WOS:001052454500001</t>
  </si>
  <si>
    <t>Akram, M; Ullah, I; Allahviranloo, T</t>
  </si>
  <si>
    <t>Akram, Muhammad; Ullah, Inayat; Allahviranloo, Tofigh</t>
  </si>
  <si>
    <t>An interactive method for the solution of fully Z-number linear programming models</t>
  </si>
  <si>
    <t>GRANULAR COMPUTING</t>
  </si>
  <si>
    <t>Linear programming; Z-number; Ranking; Z-number linear programming problem</t>
  </si>
  <si>
    <t>RANKING FUZZY NUMBERS; DUAL SIMPLEX-METHOD</t>
  </si>
  <si>
    <t>Linear programming is a technique widely used in decision-making nowadays. Linear programming in a fuzzy environment makes it even more interesting due to the vagueness and uncertainty of the available resources and variables. Since the market price and profit of certain goods are not known exactly, considering fuzzy variables and parameters in the linear programming makes it more closer to the real-life situation; therefore, it becomes more attractive for the decision-makers. In a fuzzy environment, there is only one information and that is the possibility of the variable. In many real-world problems, we need the reliability of the information along with its possibility. Zadeh suggested a Z-number Z = (A; B) with two components, A carrying the information of possibility of the variable, and B carrying the information about reliability of the first component A. Linear programming with its parameters and variables carrying the information in the form of Z number is even more exciting for the decision-makers. Because every decision-maker demands information that is more reliable, linear programming in a Z-number environment with both its components taken as fuzzy numbers is a very attractive problem. In this paper, we present linear programming problems with the parameters and variables taken as Z number having triangular fuzzy numbers as possibility and reliability. We also suggest an interactive method to solve Z number linear programming problems by converting Z-numbers into conventional fuzzy numbers and then using the ranking of fuzzy numbers. We also present applications of the proposed models by solving numerical examples. We also test the authenticity of the proposed method by comparing the results with the existing techniques.</t>
  </si>
  <si>
    <t>[Akram, Muhammad; Ullah, Inayat] Univ Punjab, Dept Math, New Campus, Lahore, Pakistan; [Allahviranloo, Tofigh] Istinye Univ, Fac Engn &amp; Nat Sci, Istanbul, Turkiye</t>
  </si>
  <si>
    <t>University of Punjab; Istinye University</t>
  </si>
  <si>
    <t>Akram, M (corresponding author), Univ Punjab, Dept Math, New Campus, Lahore, Pakistan.</t>
  </si>
  <si>
    <t>m.akram@pucit.edu.pk; inayatullahmoon@gmail.com; tofigh.allahviranloo@istinye.edu.tr</t>
  </si>
  <si>
    <t>2364-4966</t>
  </si>
  <si>
    <t>2364-4974</t>
  </si>
  <si>
    <t>GRANULAR COMPUT</t>
  </si>
  <si>
    <t>Granul. Comput.</t>
  </si>
  <si>
    <t>10.1007/s41066-023-00402-0</t>
  </si>
  <si>
    <t>R3PV1</t>
  </si>
  <si>
    <t>WOS:001063513700002</t>
  </si>
  <si>
    <t>Bansmann, PM; Mohsen, Y; Horlitz, M; Stockigt, F</t>
  </si>
  <si>
    <t>Bansmann, P. Martin; Mohsen, Yazan; Horlitz, Marc; Stoeckigt, Florian</t>
  </si>
  <si>
    <t>Optimizing fibrosis detection: a comparison of electroanatomical mapping and late enhancement gadolinium magnetic resonance imaging</t>
  </si>
  <si>
    <t>JOURNAL OF INTERVENTIONAL CARDIAC ELECTROPHYSIOLOGY</t>
  </si>
  <si>
    <t>Atrial fibrillation; Atrial fibrosis; Substrate; Atrial cardiomyopathy</t>
  </si>
  <si>
    <t>PERSISTENT ATRIAL-FIBRILLATION; CATHETER ABLATION; TRIGGER ABLATION; STAR AF; SUBSTRATE; VOLTAGE; REDUCTION; SCAR; MRI</t>
  </si>
  <si>
    <t>Background Fibrotic atrial cardiomyopathy plays an important role in determining the outcome of ablation in patients with atrial fibrillation (AF). Two main methods are being used for the evaluation of fibrosis: voltage-based high-density (HD) electroanatomical mapping (EAM) and late gadolinium enhancement MRI (LGE-MRI). The comparability between both methods in detecting fibrosis has not been systematically investigated.Methods LGE-MRIs of the left atrium (LA) were performed in 21 patients. LA-fibrosis was evaluated using a custom-designed software generating a 3D-model of the LA. HD-electroanatomical maps were recorded in each patient. After processing the maps and the MRI models by excluding the mitral valve, pulmonary veins, and the left atrial appendage, the LGE areas were measured and compared to the low voltage areas (LVA) in the HD maps using three different cutoff values of 0.5 mV, 0.7 mV, and 1.0 mV.Results The analysis revealed significant differences between EAM and LGE-MRI in assessing LA-fibrosis at 0.5-mV (for anterior and posterior walls) and 1.0-mV cutoffs (for anterior and posterior wall and septum). However, no significant differences were found between EAM and LGE-MRI when using a 0.7-mV cutoff for all the investigated areas.Conclusions A voltage cutoff of 0.7 mV provided the best correlation between EAM and LGE MRI for detecting left atrial fibrosis. It supports the idea that a 0.5-mV cutoff may underestimate fibrosis, as areas with local signal voltages between 0.6 and 0.8 mV could also show LGE on MRI. Further research is needed to determine the ideal voltage cutoff for detecting left atrial fibrosis.</t>
  </si>
  <si>
    <t>[Bansmann, P. Martin] Krankenhaus Porz Rhein, Dept Radiol, Cologne, Germany; [Mohsen, Yazan; Horlitz, Marc; Stoeckigt, Florian] Krankenhaus Porz Rhein, Dept Cardiol Electrophysiol &amp; Rhythmol, Urbacher Weg 19, D-51149 Cologne, Germany; [Mohsen, Yazan] Lund Univ, Clin Sci Malmo, Lund, Sweden; [Stoeckigt, Florian] Univ Hosp Bonn, Dept Internal Med 2, D-53125 Bonn, Germany</t>
  </si>
  <si>
    <t>Lund University; University of Bonn</t>
  </si>
  <si>
    <t>Mohsen, Y (corresponding author), Krankenhaus Porz Rhein, Dept Cardiol Electrophysiol &amp; Rhythmol, Urbacher Weg 19, D-51149 Cologne, Germany.;Mohsen, Y (corresponding author), Lund Univ, Clin Sci Malmo, Lund, Sweden.</t>
  </si>
  <si>
    <t>yazan.mohsen@aol.de</t>
  </si>
  <si>
    <t>Mohsen, Yazan/0009-0002-3932-2106</t>
  </si>
  <si>
    <t>1383-875X</t>
  </si>
  <si>
    <t>1572-8595</t>
  </si>
  <si>
    <t>J INTERV CARD ELECTR</t>
  </si>
  <si>
    <t>J. Interv. Card. Electrophysiol.</t>
  </si>
  <si>
    <t>AUG 23</t>
  </si>
  <si>
    <t>s10840023016274</t>
  </si>
  <si>
    <t>10.1007/s10840-023-01627-4</t>
  </si>
  <si>
    <t>P9GY9</t>
  </si>
  <si>
    <t>WOS:001053699900001</t>
  </si>
  <si>
    <t>Bapat, D; Vashisht, D</t>
  </si>
  <si>
    <t>Bapat, Dhananjay; Vashisht, Devika</t>
  </si>
  <si>
    <t>Experience in financial services: a bibliometric analysis and thematic content analysis</t>
  </si>
  <si>
    <t>JOURNAL OF FINANCIAL SERVICES MARKETING</t>
  </si>
  <si>
    <t>Bibliometric analysis; Experience; Financial services; Clusters; Bibliometric coupling</t>
  </si>
  <si>
    <t>RETAIL BANKING SERVICES; CUSTOMER EXPERIENCE; BRAND EXPERIENCE; MODERATING ROLE; PERCEIVED RISK; DOMINANT LOGIC; CO-CREATION; DETERMINANTS; PERSPECTIVES; CONSUMPTION</t>
  </si>
  <si>
    <t>The paper conducts a comprehensive review based on the topic of experience in financial services. The paper presents the evolution and structure on the topic. A bibliometric analysis of literature is performed around the key components using Bibliometrix of R package and VOSviewer. The analysis is based on 137 articles, which are published in 73 leading journals between the years 1985 to 2021. Using the dimensions database, research articles on experience in financial services are extracted and analysed to uncover this topic's intellectual development and key themes through a mixed-methods approach of quantitative bibliometric and qualitative content analyses. More specifically, descriptive statistics, Lotka's law, co-occurrence networks, thematic maps, and bibliometric coupling are used for the analysis. The bibliometric analysis facilitates technical examination and visualization of the scholarly financial service experience research. Based on grounded theory, content analysis is successively conducted to establish theoretical building blocks of financial service experience, providing a conceptual model of this concept. Using bibliometric coupling, nine significant clusters are identified: experience and related constructs, experience in the digital and social media era, experience and quality, experience and customer journey, brand and digital financial services experience, experience and financial institutions, experience and employees, experience and financial literacy, and customer experience management. The study employs more updated and relevant analysis techniques and provides a critical review of the topic. The bibliometric analysis enabled scientific investigation and visualization of the scholarly financial services experience literature providing a holistic understanding of the concept, illustrated topic's scholarly evolution, and revealed key directions for future research.</t>
  </si>
  <si>
    <t>[Bapat, Dhananjay] Indian Inst Management, Raipur 493661, India; [Vashisht, Devika] Indian Inst Management, Sirmour, India</t>
  </si>
  <si>
    <t>Indian Institute of Management (IIM System); Indian Institute of Management Raipur</t>
  </si>
  <si>
    <t>Bapat, D (corresponding author), Indian Inst Management, Raipur 493661, India.</t>
  </si>
  <si>
    <t>dhananjay1304@gmail.com; dev2007.d@gmail.com</t>
  </si>
  <si>
    <t>Bapat, Dhananjay/0000-0002-6981-8631</t>
  </si>
  <si>
    <t>1363-0539</t>
  </si>
  <si>
    <t>1479-1846</t>
  </si>
  <si>
    <t>J FINANC SERV MARK</t>
  </si>
  <si>
    <t>J. Financ. Serv. Mark.</t>
  </si>
  <si>
    <t>10.1057/s41264-023-00243-7</t>
  </si>
  <si>
    <t>Business</t>
  </si>
  <si>
    <t>P9GX4</t>
  </si>
  <si>
    <t>WOS:001053698300001</t>
  </si>
  <si>
    <t>Bedard, B; Hickey, B; Chetelat, J; Mennigen, JA</t>
  </si>
  <si>
    <t>Bedard, Bailey; Hickey, Brian; Chetelat, John; Mennigen, Jan A.</t>
  </si>
  <si>
    <t>Variation in habitat use and its consequences for mercury exposure in two Eastern Ontario bat species, Myotis lucifugus and Eptesicus fuscus</t>
  </si>
  <si>
    <t>ECOTOXICOLOGY</t>
  </si>
  <si>
    <t>Biomagnification; Insectivore; Isotope; Big brown bat; Little brown bat; DNA</t>
  </si>
  <si>
    <t>ST-LAWRENCE-RIVER; BROWN BATS; STABLE-ISOTOPES; DIET; METHYLMERCURY; CHIROPTERA; ENERGETICS; CANADA; WATER; FUR</t>
  </si>
  <si>
    <t>The St. Lawrence River in Eastern Ontario, Canada, has been a designated an area of concern due to past industrial contamination of sediment in some areas and transport of mercury from tributaries. Previous research using bats as sentinel species identified elevated concentrations of total mercury (THg) in fur of local bats and species-specific variation between little brown bats (Myotis lucifugus) and big brown bats (Eptesicus fuscus). Here, we investigated the mercury exposure pathways for these two species by testing the hypothesis that diet variation, particularly the reliance on aquatic over terrestrial insects, is a determinant of local bat mercury concentrations. We analyzed THg concentration and stable isotope ratios of d(15)N and d(13)C in fur of little and big brown bats, and in aquatic and terrestrial insects. Big brown bats, especially males, accumulated significantly higher THg concentrations in their fur compared to little brown bats. However, this difference was not related to diet because big brown bats consumed terrestrial insects, which were lower in mercury than aquatic insects, the primary prey for little brown bats. We also evaluated whether fur THg concentrations translate into molecular changes in tissues linked to (methyl)mercury toxicity by quantifying tissue changes in global DNA methylation and mitochondrial DNA abundance. No significant changes in DNA molecular markers were observed in relation to fur THg concentration, suggesting mercury exposure to local bats did not impact molecular level changes at the DNA level. Higher mercury in bats was not associated with local aquatic contamination or genotoxicity in this study area.</t>
  </si>
  <si>
    <t>[Bedard, Bailey; Mennigen, Jan A.] Univ Ottawa, Dept Biol, Ottawa, ON K1N6N5, Canada; [Bedard, Bailey; Hickey, Brian] River Inst, Cornwall, ON K6H4Z1, Canada; [Chetelat, John] Natl Wildlife Res Ctr, Environm &amp; Climate Change Canada, Ottawa, ON K1A0H3, Canada</t>
  </si>
  <si>
    <t>University of Ottawa; Environment &amp; Climate Change Canada; Canadian Wildlife Service; National Wildlife Research Centre - Canada</t>
  </si>
  <si>
    <t>Mennigen, JA (corresponding author), Univ Ottawa, Dept Biol, Ottawa, ON K1N6N5, Canada.</t>
  </si>
  <si>
    <t>jan.mennigen@uottawa.ca</t>
  </si>
  <si>
    <t>Mennigen, Jan/0000-0003-4117-6654; Chetelat, John/0000-0002-9380-7203</t>
  </si>
  <si>
    <t>NSERC-DG; St. Lawrence River Institute</t>
  </si>
  <si>
    <t>NSERC-DG(Natural Sciences and Engineering Research Council of Canada (NSERC)); St. Lawrence River Institute</t>
  </si>
  <si>
    <t>&amp; nbsp;Funding in form of an NSERC-DG (JAM) and from the St. Lawrence River Institute (BCH) are gratefully acknowledged. The authors wish to thank Stephany Hildebrand, Lexy Harquail, Yanik Rozon, Emilie DeRouchie, and Harneet Cheema (St. Lawrence River Institute) for expert assistance with field work and the identification of insect samples. The authors also wish to acknowledge Emmanuel Yumvihoze and Paul Middlestead (University of Ottawa) for expert assistance in THg and stable isotope analyses, respectively.</t>
  </si>
  <si>
    <t>0963-9292</t>
  </si>
  <si>
    <t>1573-3017</t>
  </si>
  <si>
    <t>Ecotoxicology</t>
  </si>
  <si>
    <t>s10646023026930</t>
  </si>
  <si>
    <t>10.1007/s10646-023-02693-0</t>
  </si>
  <si>
    <t>Ecology; Environmental Sciences; Toxicology</t>
  </si>
  <si>
    <t>Environmental Sciences &amp; Ecology; Toxicology</t>
  </si>
  <si>
    <t>P9GY1</t>
  </si>
  <si>
    <t>WOS:001053699100001</t>
  </si>
  <si>
    <t>Bertuol, C; da Silveira, MHC; Krug, RD; Kupske, JW; Mielke, GI; Del Duca, GF</t>
  </si>
  <si>
    <t>Bertuol, Cecilia; da Silveira, Murilo Henrique Correa; Krug, Rodrigo de Rosso; Kupske, Juliedy Waldow; Mielke, Gregore Iven; Del Duca, Giovani Firpo</t>
  </si>
  <si>
    <t>Use of electronic devices in leisure time modifies the prevalence and factors associated with sedentary behavior derived exclusively from excessive television viewing among Brazilian adults</t>
  </si>
  <si>
    <t>Leisure activities; Television; Computers; Hand-held devices; Cell phones; Cross-sectional studies</t>
  </si>
  <si>
    <t>PHYSICAL-ACTIVITY; SITTING TIME; HARMONIZED METAANALYSIS; MORTALITY; TRENDS; RISK; POPULATION; OBESITY; MEDIA; TOO</t>
  </si>
  <si>
    <t>The growing interest in the study of sedentary behavior is justified by its increasing presence in people's daily lives, particularly in leisure time. The aim of this study was to compare the prevalence and factors associated with sedentary behavior derived exclusively from TV time and from its combination with the time spent using other electronic devices among Brazilian adults (n = 52,443). This cross-sectional study used data from the Vigitel survey (2019), which included subjects &amp; GE; 18 years old who resided in the capitals of the 26 Brazilian states and Federal District. High TV time (&amp; GE; 4 h/day), and its combination with computer, tablet, or cell phone use (&amp; GE; 4 h/day), as well as sociodemographic, behavioral, and health characteristics were self-reported. Adjusted logistic regression was used to estimate odds ratios and 95% confidence intervals (95%CI). The prevalence of high sedentary behavior almost tripled when TV viewing was added to the time spent using other electronic devices (from 12.2%; 95%CI: 11.6; 12.8, to 34.7%; 95%CI: 33.8; 35.6), notably among the youngest (32.0 percentage points). Individuals living without a partner, who smoked, consumed alcohol and processed foods excessively, were physically inactive, and had hypertension were more likely to have both outcomes than their counterparts. Older and less educated individuals were more likely to spend excessive time watching TV and less likely to have high use of other electronic devices in addition to TV viewing than their peers. Including computer, tablet, or cell phone led to an increase in the prevalence of high sedentary behavior. The magnitude and direction of the associations of age and education with high sedentary behavior varied according to the method how high sedentary behavior was defined. Projects, programs, and policies must consider the different indicators of sedentary behavior in monitoring and promoting a healthier lifestyle.</t>
  </si>
  <si>
    <t>[Bertuol, Cecilia; da Silveira, Murilo Henrique Correa; Del Duca, Giovani Firpo] Univ Fed Santa Catarina, Grad Program Phys Educ, Campus Univ Reitor Joao David Ferreira Lima, BR-88040900 Florianopolis, SC, Brazil; [Krug, Rodrigo de Rosso] Univ Cruz Alta, Grad Program Integrat Hlth Care, BR-98020290 Cruz Alta, RS, Brazil; [Kupske, Juliedy Waldow] Univ Fed Rio Grande do Sul, Grad Program Human Movement Sci, Rua Felizardo 750, BR-90690200 Porto Alegre, RS, Brazil; [Mielke, Gregore Iven] Univ Queensland, Sch Publ Hlth, Brisbane, Qld 4006, Australia</t>
  </si>
  <si>
    <t>Universidade Federal de Santa Catarina (UFSC); Universidade de Cruz Alta; Universidade Federal do Rio Grande do Sul; University of Queensland</t>
  </si>
  <si>
    <t>Bertuol, C (corresponding author), Univ Fed Santa Catarina, Grad Program Phys Educ, Campus Univ Reitor Joao David Ferreira Lima, BR-88040900 Florianopolis, SC, Brazil.</t>
  </si>
  <si>
    <t>bertuolcecilia@gmail.com</t>
  </si>
  <si>
    <t>Ministry of Health [86]</t>
  </si>
  <si>
    <t>Ministry of Health</t>
  </si>
  <si>
    <t>This work was supported by the Ministry of Health [grant number 86].</t>
  </si>
  <si>
    <t>10.1186/s12889-023-16517-7</t>
  </si>
  <si>
    <t>P7PA3</t>
  </si>
  <si>
    <t>WOS:001052544400002</t>
  </si>
  <si>
    <t>Carrijo, TF; Engel, MS; Chouvenc, T; Gile, GH; Mikaelyan, A; Dedeine, F; Ware, JL; Haifig, I; Arab, A; Constantini, JP; Souza, JP; Lee, SB; Bucek, A; Roisin, Y; Cancello, EM; Santos, CMD</t>
  </si>
  <si>
    <t>Carrijo, T. F.; Engel, M. S.; Chouvenc, T.; Gile, G. H.; Mikaelyan, A.; Dedeine, F.; Ware, J. L.; Haifig, I.; Arab, A.; Constantini, J. P.; Souza, J. P.; Lee, S. -B.; Bucek, A.; Roisin, Y.; Cancello, E. M.; Santos, C. M. D.</t>
  </si>
  <si>
    <t>A call to termitologists: it is time to abandon the use of lower and higher termites</t>
  </si>
  <si>
    <t>INSECTES SOCIAUX</t>
  </si>
  <si>
    <t>SAVE ISOPTERA; PHYLOGENY; GUT</t>
  </si>
  <si>
    <t>This commentary paper addresses the outdated and misleading terminology used to categorize termites into higher and  lower. These terms perpetuate a linear progression view of evolution, which is both inaccurate and detrimental to our understanding of the diversity of life. We trace the historical origins of these terms and highlight their flawed interpretation of evolutionary relationships. We advocate for the adoption of Termitidae (or termitid), rather than  higher termites. As for the paraphyletic group of lower termites, we recommend refraining from grouping them together, unless specifically referring to their symbionts. In such cases, we propose protist-dependent termites or non-Termitidae termites.</t>
  </si>
  <si>
    <t>[Carrijo, T. F.; Haifig, I.; Arab, A.; Souza, J. P.; Santos, C. M. D.] Univ Fed ABC, Santo Andre, SP, Brazil; [Engel, M. S.; Ware, J. L.] Amer Museum Nat Hist, New York, NY USA; [Chouvenc, T.; Lee, S. -B.] Univ Florida, Ft Lauderdale, FL USA; [Gile, G. H.] Arizona State Univ, Tempe, AZ USA; [Mikaelyan, A.] North Carolina State Univ, Raleigh, NC USA; [Dedeine, F.] Univ Tours, CNRS, Tours, France; [Constantini, J. P.; Cancello, E. M.] Museu Zool USP, Sao Paulo, SP, Brazil; [Bucek, A.] Czech Acad Sci, Biol Ctr, Ceske Budejovice, Czech Republic; [Roisin, Y.] Univ Libre Bruxelles, Brussels, Belgium</t>
  </si>
  <si>
    <t>Universidade Federal do ABC (UFABC); American Museum of Natural History (AMNH); State University System of Florida; University of Florida; Arizona State University; Arizona State University-Tempe; North Carolina State University; Centre National de la Recherche Scientifique (CNRS); Universite de Tours; Czech Academy of Sciences; Biology Centre of the Czech Academy of Sciences; Universite Libre de Bruxelles</t>
  </si>
  <si>
    <t>Carrijo, TF (corresponding author), Univ Fed ABC, Santo Andre, SP, Brazil.</t>
  </si>
  <si>
    <t>tiagocarrijo@gmail.com</t>
  </si>
  <si>
    <t>Arab, Alberto/C-6458-2012; Haifig, Ives/C-4280-2012; Constantini, Joice/J-7054-2013; Mikaelyan, Aram/I-6071-2015; Carrijo, Tiago/B-5976-2013</t>
  </si>
  <si>
    <t>Arab, Alberto/0000-0003-0009-6658; Haifig, Ives/0000-0003-4749-8945; Ware, Jessica/0000-0002-4066-7681; Constantini, Joice/0000-0002-1813-9276; Mikaelyan, Aram/0000-0002-7276-0194; Carrijo, Tiago/0000-0001-6308-7252; Dedeine, Franck/0000-0002-0646-4725</t>
  </si>
  <si>
    <t>Sao Paulo Research Foundation (FAPESP) [2020/06041-4, 2017/11768-8, 2014/11982-1, 2020/08121-5, 2018/22839-6]; Conselho Nacional de desenvolvimento Cientifico e Tecnologico (CNPq) [304027/2022-7, 308408/2019-5]</t>
  </si>
  <si>
    <t>Sao Paulo Research Foundation (FAPESP)(Fundacao de Amparo a Pesquisa do Estado de Sao Paulo (FAPESP)); Conselho Nacional de desenvolvimento Cientifico e Tecnologico (CNPq)(Conselho Nacional de Desenvolvimento Cientifico e Tecnologico (CNPQ))</t>
  </si>
  <si>
    <t>Authors are thankful to all the participants of the 2022 International Termite Course' (Ft Lauderdale, FL, USA), the event that nurtured this collaboration. We are grateful to the Sao Paulo Research Foundation (FAPESP) for grants #2020/06041-4 (TFC), #2017/11768-8 (CMDS), #2014/11982-1 (JPC), #2020/08121-5 (IH), and #2018/22839-6 (AA); and to the Conselho Nacional de desenvolvimento Cientifico e Tecnologico (CNPq) for grants #304027/2022-7 (CMDS) and #308408/2019-5 (EMC).</t>
  </si>
  <si>
    <t>0020-1812</t>
  </si>
  <si>
    <t>1420-9098</t>
  </si>
  <si>
    <t>INSECT SOC</t>
  </si>
  <si>
    <t>Insect. Soc.</t>
  </si>
  <si>
    <t>s00040023009290</t>
  </si>
  <si>
    <t>10.1007/s00040-023-00929-0</t>
  </si>
  <si>
    <t>P9HA5</t>
  </si>
  <si>
    <t>WOS:001053701600001</t>
  </si>
  <si>
    <t>Entrup, P; Brodsky, L; Trimble, C; Garcia, S; Mohamed, N; Deaner, M; Martell, JP; Teater, J; Jordan, A; Tetrault, JM; Hall, OT</t>
  </si>
  <si>
    <t>Entrup, Parker; Brodsky, Leon; Trimble, Candice; Garcia, Stephanie; Mohamed, Nasra; Deaner, Megan; Martell, J. P.; Teater, Julie; Jordan, Ayana; Tetrault, Jeanette M.; Hall, O. Trent</t>
  </si>
  <si>
    <t>Years of life lost due to deaths of despair and COVID-19 in the United States in 2020: patterns of excess mortality by gender, race and ethnicity</t>
  </si>
  <si>
    <t>INTERNATIONAL JOURNAL FOR EQUITY IN HEALTH</t>
  </si>
  <si>
    <t>COVID-19; Addiction Medicine; Substance Use; Epidemiology; Mortality; Mental Health</t>
  </si>
  <si>
    <t>SARS EPIDEMIC; FRAMEWORK; SUICIDE; BURDEN; RACISM</t>
  </si>
  <si>
    <t>Background In 2020 COVID-19 was the third leading cause of death in the United States. Increases in suicides, overdoses, and alcohol related deaths were seen-which make up deaths of despair. How deaths of despair compare to COVID-19 across racial, ethnic, and gender subpopulations is relatively unknown. Preliminary studies showed inequalities in COVID-19 mortality for Black and Hispanic Americans in the pandemic's onset. This study analyzes the racial, ethnic and gender disparities in years of life lost due to COVID-19 and deaths of despair (suicide, overdose, and alcohol deaths) in 2020.Methods This cross-sectional study calculated and compared years of life lost (YLL) due to Deaths of Despair and COVID-19 by gender, race, and ethnicity. YLL was calculated using the CDC WONDER database to pull death records based on ICD-10 codes and the Social Security Administration Period Life Table was used to get estimated life expectancy for each subpopulation.Results In 2020, COVID-19 caused 350,831 deaths and 4,405,699 YLL. By contrast, deaths of despair contributed to 178,598 deaths and 6,045,819 YLL. Men had more deaths and YLL than women due to COVID-19 and deaths of despair. Among White Americans and more than one race identification both had greater burden of deaths of despair YLL than COVID-19 YLL. However, for all other racial categories (Native American/Alaskan Native, Asian, Black/African American, Native Hawaiian/Pacific Islander) COVID-19 caused more YLL than deaths of despair. Also, Hispanic or Latino persons had disproportionately higher mortality across all causes: COVID-19 and all deaths of despair causes.Conclusions This study found greater deaths of despair mortality burden and differences in burden across gender, race, and ethnicity in 2020. The results indicate the need to bolster behavioral health research, support mental health workforce development and education, increase access to evidence-based substance use treatment, and address systemic inequities and social determinants of deaths of despair and COVID-19.</t>
  </si>
  <si>
    <t>[Entrup, Parker; Trimble, Candice; Mohamed, Nasra; Deaner, Megan; Teater, Julie; Hall, O. Trent] Ohio State Univ, Wexner Med Ctr, Dept Psychiat &amp; Behav Hlth, Talbot Hall,181 Taylor Ave, Columbus, OH 43203 USA; [Brodsky, Leon] Ohio State Univ, Coll Med, Columbus, OH USA; [Garcia, Stephanie] OU Phys, Dept Gen Surg, Tulsa, OK USA; [Martell, J. P.] Univ Kansas Hlth Syst, Dept Psychiat &amp; Behav Sci, Kansas City, KS USA; [Jordan, Ayana] NYU, Grossman Sch Med, Dept Populat Hlth, New York, NY USA; [Tetrault, Jeanette M.] Yale Sch Med, Dept Internal Med, Program Addict Med, New Haven, CT USA</t>
  </si>
  <si>
    <t>University System of Ohio; Ohio State University; University System of Ohio; Ohio State University; New York University; Yale University</t>
  </si>
  <si>
    <t>Entrup, P (corresponding author), Ohio State Univ, Wexner Med Ctr, Dept Psychiat &amp; Behav Hlth, Talbot Hall,181 Taylor Ave, Columbus, OH 43203 USA.</t>
  </si>
  <si>
    <t>parker.entrup@osumc.edu</t>
  </si>
  <si>
    <t>1475-9276</t>
  </si>
  <si>
    <t>INT J EQUITY HEALTH</t>
  </si>
  <si>
    <t>Int. J. Equity Health</t>
  </si>
  <si>
    <t>10.1186/s12939-023-01949-9</t>
  </si>
  <si>
    <t>P9KB7</t>
  </si>
  <si>
    <t>WOS:001053781900001</t>
  </si>
  <si>
    <t>Han, KC; Kim, JY</t>
  </si>
  <si>
    <t>Han, Kyu-Chur; Kim, Jung-Yup</t>
  </si>
  <si>
    <t>Posture stabilizing control of quadruped robot based on cart-inverted pendulum model</t>
  </si>
  <si>
    <t>Quadruped robot; Cart-inverted pendulum model; Posture stabilizing control; Optimization</t>
  </si>
  <si>
    <t>This paper presents a posture stabilization algorithm that can respond to slope changes caused by irregular ground obstacles and to unexpected impacts during walking of a quadruped robot. For this purpose, we devised a strategy to generate vertical ground reaction forces and horizontal ground reaction forces on the feet of a quadruped walking robot using a cart-inverted pendulum model with double-input double-output (DIDO). This strategy was devised using a linear quadratic regulator (LQR); stabilizing moment and stabilizing force were generated to control the robot's torso inclination and left and right movement. The method of changing the quadratic programming (QP) constraint conditions according to whether an individual foot was in contact with the ground during walking was used to generate appropriate ground reaction forces for the support feet. In addition, vertical speed control of the swing feet was performed in the swing-down phase so that robot was able to land softly on the ground. Finally, in an environment in which external impact disturbance and irregular ground disturbance were applied together, we verified the performance of the proposed algorithm using the GAZEBO simulation and compared performances between proposed algorithm and our previous inverted pendulum model-based algorithm.</t>
  </si>
  <si>
    <t>[Han, Kyu-Chur; Kim, Jung-Yup] Seoul Natl Univ Sci &amp; Technol, Dept Mech Design &amp; Robot Engn, Seoul 01811, South Korea</t>
  </si>
  <si>
    <t>Seoul National University of Science &amp; Technology</t>
  </si>
  <si>
    <t>Kim, JY (corresponding author), Seoul Natl Univ Sci &amp; Technol, Dept Mech Design &amp; Robot Engn, Seoul 01811, South Korea.</t>
  </si>
  <si>
    <t>jyk76@seoultech.ac.kr</t>
  </si>
  <si>
    <t>National Research Foundation of Korea (NRF) - Ministry of Science and ICT, Republic of Korea [2022R1A4A1032030]</t>
  </si>
  <si>
    <t>National Research Foundation of Korea (NRF) - Ministry of Science and ICT, Republic of Korea(National Research Foundation of KoreaMinistry of Science, ICT &amp; Future Planning, Republic of Korea)</t>
  </si>
  <si>
    <t>This research was financially supported by the National Research Foundation of Korea (NRF) grant funded by the Ministry of Science and ICT, Republic of Korea (Grant numbers: 2022R1A4A1032030).</t>
  </si>
  <si>
    <t>10.1007/s11370-023-00480-8</t>
  </si>
  <si>
    <t>Q8PG3</t>
  </si>
  <si>
    <t>WOS:001060080100001</t>
  </si>
  <si>
    <t>Hohl, A; Choi, M; Medina, R; Wan, N; Wen, M</t>
  </si>
  <si>
    <t>Hohl, Alexander; Choi, Moongi; Medina, Richard; Wan, Neng; Wen, Ming</t>
  </si>
  <si>
    <t>COVID-19: adverse population sentiment and place-based associations with socioeconomic and demographic factors</t>
  </si>
  <si>
    <t>SPATIAL INFORMATION RESEARCH</t>
  </si>
  <si>
    <t>COVID-19; BYM2; Sentiment analysis; Spatial scan statistic</t>
  </si>
  <si>
    <t>TWITTER</t>
  </si>
  <si>
    <t>During the COVID-19 pandemic, increased adverse sentiment such as, fear, panic, anxiety was observed among the public in the United States of America (USA) apart from physical suffering and death. Authorities may find guidance for anticipation and explanation of such secondary threats by analyzing population sentiment on social media. We performed sentiment analysis (SA) using georeferenced tweets in the contiguous USA during the first two waves of COVID-19 (01 November 2019-15 September 2020). We classified the tweets into adverse and non-adverse sentiment and computed daily counts for both classes at the county-level. Utilizing clustering and Bayesian regression approaches, we analyzed the place-based demographic and socioeconomic covariates of sentiment. We detected 12 clusters that exhibited elevated adverse sentiment and discovered that higher unemployment, male population, and poverty was associated with increased odds of adverse sentiment in Tweets. Conversely, counties with higher COVID-19 case rates, rurality, and elderly population were associated with reduced odds. Pandemic preparedness, response and mitigation measures may benefit from knowledge of the geography of adverse sentiment. Combining spatial clustering and regression benefits the understanding COVID-19, as well as epidemiology in general.</t>
  </si>
  <si>
    <t>[Hohl, Alexander; Choi, Moongi; Medina, Richard; Wan, Neng] Univ Utah, Dept Geog, 260 S Cent Campus Dr,RM 4625, Salt Lake City, UT 84112 USA; [Wen, Ming] Univ Hong Kong, Dept Sociol, Room 928,9-F Jockey Club Tower,Pokfulam Rd, Hong Kong, Peoples R China; [Wen, Ming] Univ Utah, Dept Sociol, 380 S 1530 E RM 301, Salt Lake City, UT 84112 USA</t>
  </si>
  <si>
    <t>Utah System of Higher Education; University of Utah; University of Hong Kong; Utah System of Higher Education; University of Utah</t>
  </si>
  <si>
    <t>Hohl, A (corresponding author), Univ Utah, Dept Geog, 260 S Cent Campus Dr,RM 4625, Salt Lake City, UT 84112 USA.</t>
  </si>
  <si>
    <t>alexander.hohl@geog.utah.edu</t>
  </si>
  <si>
    <t>This study was funded by the Immunology, Inflammation and Infectious Diseases Initiative and the Office of the Vice President for Research of the University of Utah. The authors would like to thank Dr. Simon Brewer for advice on questions regarding methodo; Immunology, Inflammation and Infectious Diseases Initiative; Office of the Vice President for Research of the University of Utah</t>
  </si>
  <si>
    <t>This study was funded by the Immunology, Inflammation and Infectious Diseases Initiative and the Office of the Vice President for Research of the University of Utah. The authors would like to thank Dr. Simon Brewer for advice on questions regarding methodology.</t>
  </si>
  <si>
    <t>2366-3286</t>
  </si>
  <si>
    <t>2366-3294</t>
  </si>
  <si>
    <t>SPAT INF RES</t>
  </si>
  <si>
    <t>Spat. Inf. Res.</t>
  </si>
  <si>
    <t>s4132402300544y</t>
  </si>
  <si>
    <t>10.1007/s41324-023-00544-y</t>
  </si>
  <si>
    <t>P9BR5</t>
  </si>
  <si>
    <t>WOS:001053560000001</t>
  </si>
  <si>
    <t>Kasvi, A; Iirola, T; Nordquist, H</t>
  </si>
  <si>
    <t>Kasvi, Aleksi; Iirola, Timo; Nordquist, Hilla</t>
  </si>
  <si>
    <t>Rethinking non-urgent EMS conveyance to ED during night-time - a pilot study in Southwest Finland</t>
  </si>
  <si>
    <t>BMC EMERGENCY MEDICINE</t>
  </si>
  <si>
    <t>Emergency medical services; Paramedic; Emergency department; After-hours care; Scope of practice; Pilot study; Emergency medical technician; Allied health</t>
  </si>
  <si>
    <t>AMBULANCE SERVICES; EMERGENCY</t>
  </si>
  <si>
    <t>BackgroundThe amount of emergency medical service missions has increased internationally in recent years, and emergency departments are overcrowded globally. Previous evidence has shown that patients arriving at the emergency department during nighttime (20 - 08) have to wait longer, are more likely to leave without being seen, and often have non-urgent conditions compared to patients arriving during the day. The objective of this pilot study was to examine what kind of patient groups are conveyed as non-urgent to the hospital by emergency medical service during nighttime and what kind of diagnostic tests and medical interventions those patients receive before morning to identify patient groups that could be non-conveyed or directed to alternative points of care.MethodsThis was a retrospective register study where the information of patients conveyed to university hospital during nighttime (20 - 08) were analyzed. Frequencies of the dispatch codes presenting complaints, medical treatments, and diagnostic tests were calculated. Age significance (under/over 70 years) was also tested.Results73.5% of the patients received neither medical treatment nor had diagnostic tests taken before morning. Most of these were patients with mental disorder(s), hip pain/complaint, or laceration/cut. Almost half of the patients with abdominal pain or fever had laboratory tests taken. Patients over 70 years old received more medications and had more diagnostic tests taken than younger patients.ConclusionsSome of the low-acuity patients could be non-conveyed or referred to alternative pathways of care to avoid impolitic use of emergency medical service and to reduce the workload of emergency departments. Further research is needed to ensure patient safety for patients who are not conveyed at night.</t>
  </si>
  <si>
    <t>[Kasvi, Aleksi; Iirola, Timo] Turku Univ Hosp, Emergency Med Serv, POB 52, Turku 20521, Finland; [Kasvi, Aleksi; Iirola, Timo] Univ Turku, POB 52, Turku 20521, Finland; [Nordquist, Hilla] South Eastern Finland Univ Appl Sci, Dept Healthcare &amp; Emergency Care, Paaskysentie 1, Kotka 48220, Finland</t>
  </si>
  <si>
    <t>University of Turku; University of Turku; South-Eastern Finland University of Applied Sciences</t>
  </si>
  <si>
    <t>Nordquist, H (corresponding author), South Eastern Finland Univ Appl Sci, Dept Healthcare &amp; Emergency Care, Paaskysentie 1, Kotka 48220, Finland.</t>
  </si>
  <si>
    <t>hilla.nordquist@xamk.fi</t>
  </si>
  <si>
    <t>Nordquist, Hilla/0000-0001-9641-6518</t>
  </si>
  <si>
    <t>The authors would like to thank South-Eastern Finland University of Applied Sciences for covering the APC.</t>
  </si>
  <si>
    <t>1471-227X</t>
  </si>
  <si>
    <t>BMC EMERG MED</t>
  </si>
  <si>
    <t>BMC Emerg. Med.</t>
  </si>
  <si>
    <t>10.1186/s12873-023-00872-0</t>
  </si>
  <si>
    <t>P9KX0</t>
  </si>
  <si>
    <t>WOS:001053803300001</t>
  </si>
  <si>
    <t>Korell, F; Defilipp, Z; Schreck, N; Luft, T</t>
  </si>
  <si>
    <t>Korell, Felix; Defilipp, Zachariah; Schreck, Nicholas; Luft, Thomas</t>
  </si>
  <si>
    <t>Taskforces Allogeneic Stem Cell</t>
  </si>
  <si>
    <t>Validation of pre-conditioning EASIX for prediction of sepsis after allogeneic stem cell transplantation</t>
  </si>
  <si>
    <t>[Korell, Felix; Luft, Thomas] Univ Hosp Heidelberg, Dept Hematol &amp; Oncol, Neuenheimer Feld 410, D-69120 Heidelberg, Germany; [Korell, Felix; Defilipp, Zachariah] Massachusetts Gen Hosp, Canc Ctr, Hematopoiet Cell Transplant &amp; Cellular Therapy Pr, Boston, MA USA; [Schreck, Nicholas] German Canc Res Ctr, Div Biostat, Heidelberg, Germany</t>
  </si>
  <si>
    <t>Ruprecht Karls University Heidelberg; Harvard University; Massachusetts General Hospital; Helmholtz Association; German Cancer Research Center (DKFZ)</t>
  </si>
  <si>
    <t>Luft, T (corresponding author), Univ Hosp Heidelberg, Dept Hematol &amp; Oncol, Neuenheimer Feld 410, D-69120 Heidelberg, Germany.</t>
  </si>
  <si>
    <t>Thomas.Luft@med.uni-heidelberg.de</t>
  </si>
  <si>
    <t>s00134023071937</t>
  </si>
  <si>
    <t>10.1007/s00134-023-07193-7</t>
  </si>
  <si>
    <t>P9GS6</t>
  </si>
  <si>
    <t>WOS:001053693500004</t>
  </si>
  <si>
    <t>Kougkas, N; Magiouf, K; Gialouri, CG; Evangelatos, G; Pappa, M; Dimouli, A; Iliopoulos, A; Karmanakos, A; Dimitroulas, T; Tektonidou, MG; Sfikakis, PP; Fragoulis, GE</t>
  </si>
  <si>
    <t>Kougkas, Nikolaos; Magiouf, Konstantina; Gialouri, Chrysoula G.; Evangelatos, Gerasimos; Pappa, Maria; Dimouli, Aikaterini; Iliopoulos, Alexios; Karmanakos, Anastasios; Dimitroulas, Theodoros; Tektonidou, Maria G.; Sfikakis, Petros P.; Fragoulis, George E.</t>
  </si>
  <si>
    <t>Higher frequency but similar recurrence rate of uveitis episodes in axial spondylarthritis compared to psoriatic arthritis. A multicentre retrospective study</t>
  </si>
  <si>
    <t>RHEUMATOLOGY INTERNATIONAL</t>
  </si>
  <si>
    <t>Uveitis; Spondyloarthritis; Psoriatic arthritis</t>
  </si>
  <si>
    <t>SOCIETY CLASSIFICATION CRITERIA; SPONDYLOARTHRITIS; ASSOCIATION; DISEASES</t>
  </si>
  <si>
    <t>Background/ObjectiveData on risk factors predicting uveitis development in spondyloarthritis (SpA) is scarce. Our aim was to examine associations between demographic, clinical and/or laboratory characteristics of SpA with the occurrence and the course of uveitis, including ocular damage and recurrence rate.MethodsCharacteristics (at disease diagnosis and ever-present) from axSpA and Psoriatic arthritis (PsA) patients followed in 3 tertiary rheumatology-clinics were retrospectively recorded. Comparisons were made between patients with and without uveitis, as well as between those with uveitis-rate [episodes/year] above the median uveitis-rate in the whole cohort (recurrent-uveitis) and the remaining uveitis patients (non-recurrent uveitis). In multivariable models, age, gender and variables significantly different in univariate analyses were included.Results264 axSpA and 369 PsA patients were enrolled. In axSpA, uveitis occurred in 11.7% and was associated with HLA-B27 (OR = 4.15, 95%CI 1.16-14.80, p = 0.028) and ever-present peripheral arthritis (OR = 3.05 (1.10-8.41, p = 0.031). In contrast, uveitis in PsA occurred only in 2.7% of patients and was associated with SpA family-history (OR = 6.35 (1.29-31.27), p = 0.023) axial disease at diagnosis (OR = 5.61 [1.01-28.69], p = 0.038) and disease duration (OR = 1.12 [1.04-1.21], p = 0.004). Median uveitis recurrence rate was comparable between axSpA and PsA (0.205 and 0.285 episodes/year, respectively). No associations were found between recurrent uveitis and demographic/clinical/laboratory characteristics. Ocular damage (e.g. synechiae) was seen in 16.1% of axSpA and 30% of PsA patients, all of them with recurrent uveitis.ConclusionUveitis occurred more commonly in axSpA than in PsA patients, while uveitis recurrence rate was similar. Permanent ocular damage may occur more often in PsA than axSpA.</t>
  </si>
  <si>
    <t>[Kougkas, Nikolaos; Dimitroulas, Theodoros] Hippokrateion Hosp, Dept Pathol, Thessaloniki, Greece; [Magiouf, Konstantina; Gialouri, Chrysoula G.; Pappa, Maria; Tektonidou, Maria G.; Sfikakis, Petros P.; Fragoulis, George E.] Natl &amp; Kapodistrian Univ Athens, Dept Propedeut &amp; Internal Med 1, Joint Acad Rheumatol Program, Athens, Greece; [Gialouri, Chrysoula G.; Iliopoulos, Alexios] Natl &amp; Kapodistrian Univ Athens, Dept Med &amp; Lab 2, Joint Acad Rheumatol Program, Clin Immunol Rheumatol Unit, Athens, Greece; [Evangelatos, Gerasimos] 417 Army Share Fund Hosp NIMTS, Rheumatol Dept, Athens, Greece; [Dimouli, Aikaterini; Karmanakos, Anastasios] Evangelismos Gen Hosp, Dept Rheumatol, Athens, Greece</t>
  </si>
  <si>
    <t>National &amp; Kapodistrian University of Athens; National &amp; Kapodistrian University of Athens; Evangelismos Hospital</t>
  </si>
  <si>
    <t>Fragoulis, GE (corresponding author), Natl &amp; Kapodistrian Univ Athens, Dept Propedeut &amp; Internal Med 1, Joint Acad Rheumatol Program, Athens, Greece.</t>
  </si>
  <si>
    <t>nkougas@yahoo.gr; constantina.magiaouf@gmail.com; chr_gialou@yahoo.com; gerevag@gmail.com; mariak.pappa@yahoo.com; dimkater1@hotmail.com; aliliop@otenet.gr; tkar_84@hotmail.com; dimitroul@hotmail.com; mtektonidou@gmail.com; psfikakis@med.uoa.gr; geofragoul@yahoo.gr</t>
  </si>
  <si>
    <t>Gialouri, Chrysoula/0000-0002-1310-7902; Dimitroulas, Theodoros/0000-0002-0364-1642; Magiouf, Konstantina/0009-0007-1662-4132; Evangelatos, Gerasimos/0000-0003-3822-3093; Pappa, Maria/0000-0003-1296-0693</t>
  </si>
  <si>
    <t>HEAL-Link Greece</t>
  </si>
  <si>
    <t>Open access funding provided by HEAL-Link Greece. This study has not received any specific funding.</t>
  </si>
  <si>
    <t>0172-8172</t>
  </si>
  <si>
    <t>1437-160X</t>
  </si>
  <si>
    <t>RHEUMATOL INT</t>
  </si>
  <si>
    <t>Rheumatol. Int.</t>
  </si>
  <si>
    <t>10.1007/s00296-023-05424-0</t>
  </si>
  <si>
    <t>R7ZF0</t>
  </si>
  <si>
    <t>WOS:001060120200001</t>
  </si>
  <si>
    <t>Li, ZK; Guo, BL; Meng, FJ; Jiang, BT</t>
  </si>
  <si>
    <t>Li, Zekun; Guo, Baolong; Meng, Fanjie; Jiang, Bingting</t>
  </si>
  <si>
    <t>Fast shape recognition via a bi-level restraint reduction of contour coding</t>
  </si>
  <si>
    <t>VISUAL COMPUTER</t>
  </si>
  <si>
    <t>Restraint; Reduce restraint; Contour coding; Shape recognition</t>
  </si>
  <si>
    <t>ENCODING SCHEME; CONTEXT; REPRESENTATION; MULTISCALE; TEXTURE</t>
  </si>
  <si>
    <t>Shape recognition is an active research topic in the field of computer vision and graphic computing. Nevertheless, existing methods are still poor in accuracy and efficiency in some extent, which greatly limits their application in computer vision system. This paper investigates the restraint of feature structure that intrinsically deteriorates recognition performance. Furthermore, we propose a fast shape recognition method based on a bi-level restraint reduction of contour coding (CC2RR), which provides more effective theoretical support for the practical application of the visual algorithm. CC2RR reduces restraint performed from contour feature extraction and expression, respectively. First, for shape contour, the restraint of contour feature extraction is reduced by transforming the direction of contour points to contour segments; second, for the encoded contour segment, the restraint of the contour feature expression is reduced; in other words, the current direction is reduced to the previous and the next direction. Guided by these insights, Hamming code distance is used to match the coding features after the twofold restraint reduction, and the results are obtained. Experimental results verify that the method significantly improves the performance, which runs up to 500 times faster than the existing description methods based on shape contours while increasing robustness. This makes the method useful in practical software system.</t>
  </si>
  <si>
    <t>[Li, Zekun; Guo, Baolong; Meng, Fanjie] Xidian Univ, Inst Intelligent Control &amp; Image Engn, TaiBai South Rd, Xian 710071, Peoples R China; [Jiang, Bingting] Hunan Univ, Coll Comp Sci &amp; Elect Engn, LuShan South Rd, Changsha 410082, Peoples R China</t>
  </si>
  <si>
    <t>Xidian University; Hunan University</t>
  </si>
  <si>
    <t>Guo, BL (corresponding author), Xidian Univ, Inst Intelligent Control &amp; Image Engn, TaiBai South Rd, Xian 710071, Peoples R China.</t>
  </si>
  <si>
    <t>zkli@stu.xidian.edu.cn; blguo@xidian.edu.cn; fjmeng@xidian.edu.cn; jbingting@hnu.edu.cn</t>
  </si>
  <si>
    <t>National Natural Science Foundation of China [62171341]; Natural Science Basic Research Program of Shaanxi Province of China [2020JM-196]</t>
  </si>
  <si>
    <t>National Natural Science Foundation of China(National Natural Science Foundation of China (NSFC)); Natural Science Basic Research Program of Shaanxi Province of China</t>
  </si>
  <si>
    <t>This work was supported by the National Natural Science Foundation of China under Grant 62171341 (Corresponding author: Baolong Guo) and Natural Science Basic Research Program of Shaanxi Province of China under Grant 2020JM-196 (Corresponding author: Fanjie Meng).</t>
  </si>
  <si>
    <t>0178-2789</t>
  </si>
  <si>
    <t>1432-2315</t>
  </si>
  <si>
    <t>VISUAL COMPUT</t>
  </si>
  <si>
    <t>Visual Comput.</t>
  </si>
  <si>
    <t>10.1007/s00371-023-02940-9</t>
  </si>
  <si>
    <t>Q8QA9</t>
  </si>
  <si>
    <t>WOS:001060100700003</t>
  </si>
  <si>
    <t>Lu, F; Li, JJ; Liu, XH; Liu, S; Sun, XH; Wang, XY</t>
  </si>
  <si>
    <t>Lu, Fei; Li, Jiaojiao; Liu, Xiaohong; Liu, Shuo; Sun, Xiaohong; Wang, Xueying</t>
  </si>
  <si>
    <t>Diagnostic performance analysis of the Integrated Care for Older People (ICOPE) screening tool for identifying decline in intrinsic capacity</t>
  </si>
  <si>
    <t>Diagnostic performance; Intrinsic capacity; ICOPE screening tool; Older people</t>
  </si>
  <si>
    <t>NURSING-HOME RESIDENTS; HEALTH; DISABILITY</t>
  </si>
  <si>
    <t>Background Intrinsic capacity (IC) is a comprehensive indicator of an individual's positive attributes. The World Health Organization (WHO) recommends a two-step approach to assess IC decline among older people. The first step involves the used of the integrated care for older people (ICOPE) screening tool to identify potential issues, and the second step involves using detailed assessments for confirmation. This study aimed to assess the diagnostic performance of the ICOPE screening tool as a simple preliminary screening to identify IC decline among community-dwelling older people, which has been rarely reported in China. Methods This cross-sectional study included 228 community-dwelling older individuals aged &gt;= 75 (mean age, 84.0 +/- 4.4 years; 131 [57.5%] females) who completed the IC evaluation according to the WHO IC assessment pathway. The diagnostic performance of the ICOPE screening tool was calculated using a 2 x 2 table and a receiver operating characteristic curve. Results The proportion of possible IC decline identified by the ICOPE screening tool was 79.4%, whereas the actual IC decline assessed by the detailed assessment was 73.2%, mainly in locomotion. The ICOPE screening tool showed sensitivity and specificity of 94.6% and 62.3%, respectively, with an overall diagnostic accuracy of 86.0%. The diagnostic effectiveness of the ICOPE screening tool was 0.91 (95% confidence interval: 0.87-0.95, p = 0.020). Except for the sensory dimension, the sensitivity of the ICOPE screening tool for diagnosing impairments in each dimension of the IC was the highest in the cognition domain (100%) and the lowest in the vitality domain (51.3%), whereas the specificity was the highest in vitality (94.7%) and the lowest in cognition (55.6%). Conclusions The ICOPE screening tool exhibits high sensitivity and can be used as an IC screening tool in community-dwelling older people. However, further improvements are needed in the vitality dimension of the ICOPE screening tool to enhance its sensitivity in identifying individuals at risk of malnutrition.</t>
  </si>
  <si>
    <t>[Lu, Fei; Li, Jiaojiao; Liu, Xiaohong; Liu, Shuo; Sun, Xiaohong] Chinese Acad Med Sci, Peking Union Med Coll Hosp, Peking Union Med Coll, Dept Geriatr, 1 Shuai Fu Yuan, Beijing, Peoples R China; [Wang, Xueying] Yanyuan Rehabil Hosp, 2 Jingrong St, Beijing, Peoples R China</t>
  </si>
  <si>
    <t>Chinese Academy of Medical Sciences - Peking Union Medical College; Peking Union Medical College; Peking Union Medical College Hospital</t>
  </si>
  <si>
    <t>Liu, XH (corresponding author), Chinese Acad Med Sci, Peking Union Med Coll Hosp, Peking Union Med Coll, Dept Geriatr, 1 Shuai Fu Yuan, Beijing, Peoples R China.</t>
  </si>
  <si>
    <t>xhliu41@sina.com</t>
  </si>
  <si>
    <t>We are grateful to all the participants in this study. We thank Dr. Guifen Liu, Dr. Xinxiu Yu, Dr. Liang Han, Dr. Jin Zhang, and other medical workers from the Taikang Yanyuan community for their support.</t>
  </si>
  <si>
    <t>10.1186/s12877-023-04180-x</t>
  </si>
  <si>
    <t>P9HN6</t>
  </si>
  <si>
    <t>WOS:001053715100001</t>
  </si>
  <si>
    <t>Menza, TW; Jensen, A; Hixson, LK</t>
  </si>
  <si>
    <t>Menza, Timothy W.; Jensen, Ann; Hixson, Lindsay K.</t>
  </si>
  <si>
    <t>Predictors of Viral Suppression Among People Living with HIV in Rural Oregon</t>
  </si>
  <si>
    <t>AIDS AND BEHAVIOR</t>
  </si>
  <si>
    <t>Rurality; Viral suppression; HIV health outcomes; Social factors</t>
  </si>
  <si>
    <t>HEALTH-CARE; INFECTED ADULTS; UNITED-STATES; BEHAVIORAL INTERVENTIONS; ANTIRETROVIRAL THERAPY; DRUG-USERS; URBAN; ADHERENCE; HIV/AIDS; IMPACT</t>
  </si>
  <si>
    <t>With recent outbreaks of HIV in rural areas of the United States, it has become increasingly important to understand the factors affecting health outcomes of people with HIV living in rural areas. We assessed predictors of durable HIV viral suppression among rural participants using a pooled 7-year dataset from the Medical Monitoring Project (MMP), a cross-sectional, representative sample of individuals receiving HIV medical care in Oregon. Only 77.3% of rural participants achieved durable HIV viral suppression, while 22.7% had at least one detectable HIV viral load measurement within the past 12 months. The primary predictors of viral suppression were ARV adherence, poverty, and reported heavy drinking in the past 30 days. These results highlight the influence of social factors on health outcomes for persons with HIV living in rural areas and inform areas for policy and program change.</t>
  </si>
  <si>
    <t>[Menza, Timothy W.; Hixson, Lindsay K.] Oregon Hlth Author, Publ Hlth Div, Portland, OR 97232 USA; [Menza, Timothy W.] Oregon Hlth &amp; Sci Univ, Dept Med, Div Infect Dis, Portland, OR 97239 USA; [Jensen, Ann] Portland State Univ, Sch Publ Hlth, Oregon Hlth &amp; Sci Univ, Portland, OR USA</t>
  </si>
  <si>
    <t>Oregon Health &amp; Science University; Portland State University; Oregon Health &amp; Science University</t>
  </si>
  <si>
    <t>Menza, TW (corresponding author), Oregon Hlth Author, Publ Hlth Div, Portland, OR 97232 USA.;Menza, TW (corresponding author), Oregon Hlth &amp; Sci Univ, Dept Med, Div Infect Dis, Portland, OR 97239 USA.</t>
  </si>
  <si>
    <t>TIMOTHY.W.MENZA@oha.oregon.gov</t>
  </si>
  <si>
    <t>Centers for Disease Control and Prevention [5NU62PS004959-04-00]</t>
  </si>
  <si>
    <t>Centers for Disease Control and Prevention(United States Department of Health &amp; Human ServicesCenters for Disease Control &amp; Prevention - USA)</t>
  </si>
  <si>
    <t>This work was supported by the Centers for Disease Control and Prevention [5NU62PS004959-04-00 to TWM].</t>
  </si>
  <si>
    <t>1090-7165</t>
  </si>
  <si>
    <t>1573-3254</t>
  </si>
  <si>
    <t>AIDS BEHAV</t>
  </si>
  <si>
    <t>AIDS Behav.</t>
  </si>
  <si>
    <t>s10461023041456</t>
  </si>
  <si>
    <t>10.1007/s10461-023-04145-6</t>
  </si>
  <si>
    <t>Public, Environmental &amp; Occupational Health; Social Sciences, Biomedical</t>
  </si>
  <si>
    <t>Public, Environmental &amp; Occupational Health; Biomedical Social Sciences</t>
  </si>
  <si>
    <t>P9EH3</t>
  </si>
  <si>
    <t>WOS:001053629300001</t>
  </si>
  <si>
    <t>Okeyemi, A; Akinmade, A; Suleiman, AZ; Ahmed, AL; Fayose, BS; Olabode, AA</t>
  </si>
  <si>
    <t>Okeyemi, Ajibade; Akinmade, Akinola; Suleiman, Aliyu Zakari; Ahmed, Adeagbo Liasu; Fayose, Bamidele Samuel; Olabode, Akande Adekunle</t>
  </si>
  <si>
    <t>Titrated segmental epidural anesthesia for bilateral total knee replacement in a patient with severe aortic stenosis and severe bilateral carotid artery stenosis: a case report</t>
  </si>
  <si>
    <t>AIN SHAMS JOURNAL OF ANESTHESIOLOGY</t>
  </si>
  <si>
    <t>Aortic; Carotid; Stenosis; Titrated; Segmental; Epidural; Anesthesia</t>
  </si>
  <si>
    <t>CESAREAN-SECTION</t>
  </si>
  <si>
    <t>Background Total knee replacement is a major orthopedic procedure for severe, painful, and mobility-limiting knee arthritis. Aortic valve stenosis is the most frequent valvular heart disease and the most commonly performed valvular procedure. Stenosis of the valve may lead to left ventricular hypertrophy, ventricular dysfunction, myocardial ischemia, and a state of fixed cardiac output. Changes in hemodynamic parameters such as hypotension and bradycardia in patients with carotid artery stenosis may lead to cerebrovascular accidents, especially during anesthesia. Case presentation A 76-year-old woman with a 6-year history of bilateral knee pain. The pain was dull, aching, and severe in intensity, and it prevented her from sleeping despite optimal analgesics. A general physical examination revealed an elderly, frail woman in mild respiratory distress. She had bilateral small-volume radial pulses, positive hepatojugular reflux, and heart sounds of S1, S2, and S4 with an ejection systolic murmur, and carotid bruits were heard bilaterally. Epidural anesthesia was done by injection of 2.5 mL of 0.5% plain bupivacaine in aliquots every 5 min until the level of the block reached the suprapubic region (titrated segmental epidural anesthesia). The patient was not preloaded with intravenous fluid prior to the establishment of epidural anesthesia, and the epidural anesthesia-induced hypotension that may ensue was managed with intraoperative dopamine infusion at 5 mu g/kg/min. Conclusions Titrated segmental epidural anesthesia with intraoperative infusion of low-dose dopamine reduces the perioperative risk of myocardial infarction, cerebrovascular accident, and neurocognitive deficit in a patient with severe aortic stenosis and severe bilateral carotid stenosis.</t>
  </si>
  <si>
    <t>[Okeyemi, Ajibade] Fed Med Ctr, Anaesthesia &amp; Intens Care Unit, Owo 341101, Ondo State, Nigeria; [Okeyemi, Ajibade] Afe Babalola Univ, Anaesthesia &amp; Intens Care Unit, Teaching Hosp, Ado Ekiti, Ekiti State, Nigeria; [Akinmade, Akinola; Fayose, Bamidele Samuel] Afe Babalola Univ, Orthopaed &amp; Trauma, Teaching Hosp, Ado Ekiti, Nigeria; [Suleiman, Aliyu Zakari] Univ Ilorin, Teaching Hosp, Ilorin, Nigeria; [Ahmed, Adeagbo Liasu] Fed Med Ctr Owo, Family Med, Owo, Nigeria; [Olabode, Akande Adekunle] Afe Babalola Univ, Anaesthesia Dept, Teaching Hosp, Ado Ekiti, Nigeria</t>
  </si>
  <si>
    <t>University of Ilorin</t>
  </si>
  <si>
    <t>Okeyemi, A (corresponding author), Fed Med Ctr, Anaesthesia &amp; Intens Care Unit, Owo 341101, Ondo State, Nigeria.;Okeyemi, A (corresponding author), Afe Babalola Univ, Anaesthesia &amp; Intens Care Unit, Teaching Hosp, Ado Ekiti, Ekiti State, Nigeria.</t>
  </si>
  <si>
    <t>talktorhymes@yahoo.com</t>
  </si>
  <si>
    <t>We acknowledge the supports from anesthetists, orthopedic team, cardiac team, laboratory staff, ICU nurses, and surgical ward nurses of Afe Babalola Multi-System Hospital, ABUAD, towards the management of the patient.</t>
  </si>
  <si>
    <t>1687-7934</t>
  </si>
  <si>
    <t>2090-925X</t>
  </si>
  <si>
    <t>AIN SHAMS J ANESTHES</t>
  </si>
  <si>
    <t>Ain Shams J. Anesthesiol.</t>
  </si>
  <si>
    <t>10.1186/s42077-023-00357-z</t>
  </si>
  <si>
    <t>P9LB6</t>
  </si>
  <si>
    <t>WOS:001053807900001</t>
  </si>
  <si>
    <t>Ott, M; Apramian, T; Cristancho, S; Roth, K</t>
  </si>
  <si>
    <t>Ott, Mary; Apramian, Tavis; Cristancho, Sayra; Roth, Kathryn</t>
  </si>
  <si>
    <t>Unintended consequences of technology in competency-based education: a qualitative study of lessons learned in an OtoHNS program</t>
  </si>
  <si>
    <t>JOURNAL OF OTOLARYNGOLOGY-HEAD &amp; NECK SURGERY</t>
  </si>
  <si>
    <t>Assessment; CBME; e-portfolio; Technology design; Unintended consequences</t>
  </si>
  <si>
    <t>MEDICAL-EDUCATION; IMPLEMENTATION</t>
  </si>
  <si>
    <t>Background Formative feedback and entrustment ratings on assessments of entrustable professional activities (EPAs) are intended to support learner self-regulation and inform entrustment decisions in competency-based medical education. Technology platforms have been developed to facilitate these goals, but little is known about their effects on these new assessment practices. This study investigates how users interacted with an e-portfolio in an OtoHNS surgery program transitioning to a Canadian approach to competency-based assessment, Competence by Design.Methods We employed a sociomaterial perspective on technology and grounded theory methods of iterative data collection and analysis to study this OtoHNS program's use of an e-portfolio for assessment purposes. All residents (n = 14) and competency committee members (n = 7) participated in the study; data included feedback in resident portfolios, observation of use of the e-portfolio in a competency committee meeting, and a focus group with residents to explore how they used the e-portfolio and visualize interfaces that would better meet their needs.Results Use of the e-portfolio to document, access, and interpret assessment data was problematic for both residents and faculty, but the residents faced more challenges. While faculty were slowed in making entrustment decisions, formative assessments were not actionable for residents. Workarounds to these barriers resulted in a numbers game residents played to acquire EPAs. Themes prioritized needs for searchable, contextual, visual, and mobile aspects of technology design to support use of assessment data for resident learning.Conclusion Best practices of technology design begin by understanding user needs. Insights from this study support recommendations for improved technology design centred on learner needs to provide OtoHNS residents a more formative experience of competency-based training.</t>
  </si>
  <si>
    <t>[Ott, Mary; Cristancho, Sayra] Western Univ, Ctr Educ Res &amp; Innovat, Schulich Sch Med &amp; Dent, London, ON, Canada; [Apramian, Tavis] Univ Toronto, Dept Family &amp; Community Med, Div Palliat Care, Toronto, ON, Canada; [Roth, Kathryn] Western Univ, Schulich Sch Med &amp; Dent, Dept Otolaryngol Head &amp; Neck Surg, London, ON, Canada</t>
  </si>
  <si>
    <t>Western University (University of Western Ontario); University of Toronto; Western University (University of Western Ontario)</t>
  </si>
  <si>
    <t>Ott, M (corresponding author), Western Univ, Ctr Educ Res &amp; Innovat, Schulich Sch Med &amp; Dent, London, ON, Canada.</t>
  </si>
  <si>
    <t>mott2@uwo.ca</t>
  </si>
  <si>
    <t>The authors gratefully acknowledge the time and insights contributed by the faculty and residents in this study. We also acknowledge graphic design work by Sandra Poczobut for the figures (sandra.poczobut@gmail.com).</t>
  </si>
  <si>
    <t>1916-0216</t>
  </si>
  <si>
    <t>J OTOLARYNGOL-HEAD N</t>
  </si>
  <si>
    <t>J. Otolaryngol-Head Neck Surg.</t>
  </si>
  <si>
    <t>10.1186/s40463-023-00649-2</t>
  </si>
  <si>
    <t>P9LI3</t>
  </si>
  <si>
    <t>WOS:001053814600001</t>
  </si>
  <si>
    <t>Rathod, S; Bhande, D; Pawar, S; Gumphalwad, K; Choudhari, P; More, H</t>
  </si>
  <si>
    <t>Rathod, Sanket; Bhande, Diksha; Pawar, Swaranjali; Gumphalwad, Kondba; Choudhari, Prafulla; More, Harinath</t>
  </si>
  <si>
    <t>Identification of Potential Hits against Fungal Lysine Deacetylase Rpd3 via Molecular Docking, Molecular Dynamics Simulation, DFT, In-Silico ADMET and Drug-Likeness Assessment</t>
  </si>
  <si>
    <t>CHEMISTRY AFRICA-A JOURNAL OF THE TUNISIAN CHEMICAL SOCIETY</t>
  </si>
  <si>
    <t>Antifungal; DFT study; Lysine deacetylase; Rpd3; Molecular docking; Molecular dynamics simulation</t>
  </si>
  <si>
    <t>RPD3/HDA1 FAMILY; HYDROGEN-BONDS; DISCOVERY</t>
  </si>
  <si>
    <t>Fungal histone deacetylases (HDACs) are enzymes known for their crucial role in gene expression regulation through histone deacetylation, leading to chromatin compaction and transcriptional control. Among them, Rpd3, a lysine deacetylase, has been extensively studied for its involvement in chromatin remodeling, gene expression, and various biological processes such as development, cell cycle progression, and stress response. Rpd3's significance in fungal pathogenesis makes it a potential target for antifungal therapies. This study utilized advanced computational tools to identify biogenic molecule hits against a homology-modeled Rpd3 structure. Molecular dynamics simulations verified the stability of the hits while docking studies revealed strong binding affinities (&lt; - 8 kcal/mol) for Rpd3-ZINC000019941755, Rpd3-ZINC000005854718, and Rpd3-ZINC000014762752 complexes. The correlation between binding interactions and HOMO-LUMO properties was established through density functional theory calculations. Additionally, in silico pharmacokinetic and drug-likeness assessments highlighted the potential of these hits as drug candidates. Consequently, ZINC000019941755, ZINC000005854718, and ZINC000014762752 emerge as promising candidates for further investigation. [Graphics] .</t>
  </si>
  <si>
    <t>[Rathod, Sanket; Bhande, Diksha; Pawar, Swaranjali; Gumphalwad, Kondba; Choudhari, Prafulla; More, Harinath] Bharati Vidyapeeth Coll Pharm, Dept Pharmaceut Chem, Kolhapur 416013, Maharashtra, India</t>
  </si>
  <si>
    <t>Rathod, S (corresponding author), Bharati Vidyapeeth Coll Pharm, Dept Pharmaceut Chem, Kolhapur 416013, Maharashtra, India.</t>
  </si>
  <si>
    <t>sanket.rathod-copk@bvp.edu.in</t>
  </si>
  <si>
    <t>Rathod, Sanket/ACH-7434-2022</t>
  </si>
  <si>
    <t>Rathod, Sanket/0000-0002-8037-5974</t>
  </si>
  <si>
    <t>2522-5758</t>
  </si>
  <si>
    <t>2522-5766</t>
  </si>
  <si>
    <t>CHEM AFR</t>
  </si>
  <si>
    <t>Chem. Afr. J. Tunisian Chem. Soc.</t>
  </si>
  <si>
    <t>10.1007/s42250-023-00766-5</t>
  </si>
  <si>
    <t>P9GY4</t>
  </si>
  <si>
    <t>WOS:001053699400001</t>
  </si>
  <si>
    <t>Jr, HS; Enggasser, AE; Clark, J; Roell, K; Zhabotynsky, V; Gower, WA; Yanni, D; Yang, NG; Washburn, L; Gogcu, S; Marsit, CJ; Kuban, K; O'Shea, TM; Fry, RC</t>
  </si>
  <si>
    <t>Santos Jr, Hudson P.; Enggasser, Adam E.; Clark, Jeliyah; Roell, Kyle; Zhabotynsky, Vasyl; Gower, William Adam; Yanni, Diana; Yang, Nou Gao; Washburn, Lisa; Gogcu, Semsa; Marsit, Carmen J.; Kuban, Karl; O'Shea, T. Michael; Fry, Rebecca C.</t>
  </si>
  <si>
    <t>Sexually dimorphic methylation patterns characterize the placenta and blood from extremely preterm newborns</t>
  </si>
  <si>
    <t>BMC BIOLOGY</t>
  </si>
  <si>
    <t>Epigenetics; Placenta; Blood; Preterm birth; Child health</t>
  </si>
  <si>
    <t>DNA METHYLATION; NEUROLOGIC OUTCOMES; SEX-DIFFERENCES; PACKAGE; INFANTS; RISK</t>
  </si>
  <si>
    <t>BackgroundHealth outcomes among children born prematurely are known to be sexually dimorphic, with male infants often more affected, yet the mechanism behind this observation is not clear. CpG methylation levels in the placenta and blood also differ by sex and are associated with adverse health outcomes. We contrasted CpG methylation levels in the placenta and neonatal blood (n = 358) from the Extremely Low Gestational Age Newborn (ELGAN) cohort based on the EPIC array, which assays over 850,000 CpG sites across the epigenome. Sex-specific epigenome-wide association analyses were conducted for the placenta and neonatal blood samples independently, and the results were compared to determine tissue-specific differences between the methylation patterns in males and females. All models were adjusted for cell type heterogeneity. Enrichment pathway analysis was performed to identify the biological functions of genes related to the sexually dimorphic CpG sites.ResultsApproximately 11,500 CpG sites were differentially methylated in relation to sex. Of these, 5949 were placenta-specific and 5361 were blood-specific, with only 233 CpG sites overlapping in both tissues. For placenta-specific CpG sites, 90% were hypermethylated in males. For blood-specific CpG sites, 95% were hypermethylated in females. In the placenta, keratinocyte differentiation biological pathways were enriched among the differentially methylated genes. No enrichment pathways were observed for blood.ConclusionsDistinct methylation patterns were observed between male and female children born extremely premature, and keratinocyte differentiation pathways were enriched in the placenta. These findings provide new insights into the epigenetic mechanisms underlying sexually dimorphic health outcomes among extremely premature infants.</t>
  </si>
  <si>
    <t>[Santos Jr, Hudson P.] Univ Miami, Sch Nursing &amp; Hlth Studies, Coral Gables, FL 33146 USA; [Enggasser, Adam E.; Clark, Jeliyah; Roell, Kyle; Zhabotynsky, Vasyl; Fry, Rebecca C.] Univ N Carolina, Inst Environm Hlth Solut, Gillings Sch Global Publ Hlth, Chapel Hill, NC USA; [Clark, Jeliyah; Roell, Kyle; Fry, Rebecca C.] Univ N Carolina, Gillings Sch Global Publ Hlth, Dept Environm Sci &amp; Engn, Chapel Hill, NC USA; [Gower, William Adam; O'Shea, T. Michael] Univ N Carolina, Sch Med, Dept Pediat, Chapel Hill, NC USA; [Yanni, Diana] Harvard Med Sch, Beth Israel Deaconess Med Ctr, Dept Neonatol, Boston, MA USA; [Yang, Nou Gao; Washburn, Lisa; Gogcu, Semsa] Wake Forest Sch Med, Dept Pediat, Winston Salem, NC USA; [Marsit, Carmen J.] Emory Univ, Rollins Sch Publ Hlth, Dept Environm Hlth, Atlanta, GA USA; [Kuban, Karl] Boston Univ, Sch Med, Dept Pediat, Div Pediat Neurol, Boston, MA USA; [Fry, Rebecca C.] Univ N Carolina, Curriculum Toxicol &amp; Environm Med, Chapel Hill, NC USA</t>
  </si>
  <si>
    <t>University of Miami; University of North Carolina; University of North Carolina Chapel Hill; University of North Carolina; University of North Carolina Chapel Hill; University of North Carolina School of Medicine; University of North Carolina; University of North Carolina Chapel Hill; Harvard University; Beth Israel Deaconess Medical Center; Harvard Medical School; Wake Forest University; Emory University; Rollins School Public Health; Boston University; University of North Carolina; University of North Carolina Chapel Hill</t>
  </si>
  <si>
    <t>Jr, HS (corresponding author), Univ Miami, Sch Nursing &amp; Hlth Studies, Coral Gables, FL 33146 USA.</t>
  </si>
  <si>
    <t>hsantos@miami.edu</t>
  </si>
  <si>
    <t>1741-7007</t>
  </si>
  <si>
    <t>BMC BIOL</t>
  </si>
  <si>
    <t>BMC Biol.</t>
  </si>
  <si>
    <t>10.1186/s12915-023-01662-7</t>
  </si>
  <si>
    <t>Biology</t>
  </si>
  <si>
    <t>Life Sciences &amp; Biomedicine - Other Topics</t>
  </si>
  <si>
    <t>P6PO8</t>
  </si>
  <si>
    <t>WOS:001051878200001</t>
  </si>
  <si>
    <t>Schlomer, H; Hilker, TA; Bloch, I; Schollwock, U; Grusdt, F; Bohrdt, A</t>
  </si>
  <si>
    <t>Schloemer, Henning; Hilker, Timon A.; Bloch, Immanuel; Schollwoeck, Ulrich; Grusdt, Fabian; Bohrdt, Annabelle</t>
  </si>
  <si>
    <t>Quantifying hole-motion-induced frustration in doped antiferromagnets by Hamiltonian reconstruction</t>
  </si>
  <si>
    <t>COMMUNICATIONS MATERIALS</t>
  </si>
  <si>
    <t>RESONATING-VALENCE-BOND; MATRIX RENORMALIZATION-GROUP; QUANTUM SIMULATIONS; ULTRACOLD ATOMS; HUBBARD-MODEL; SUPERCONDUCTIVITY; STATE; PHYSICS; PHASE; ORDER</t>
  </si>
  <si>
    <t>Unveiling the microscopic origins of quantum phases dominated by the interplay of spin and motional degrees of freedom constitutes one of the central challenges in strongly correlated many-body physics. When holes move through an antiferromagnetic spin background, they displace the positions of spins, which induces effective frustration in the magnetic environment. However, a concrete characterization of this effect in a quantum many-body system is still an unsolved problem. Here we present a Hamiltonian reconstruction scheme that allows for a precise quantification of hole-motion-induced frustration. We access non-local correlation functions through projective measurements of the many-body state, from which effective spin-Hamiltonians can be recovered after detaching the magnetic background from dominant charge fluctuations. The scheme is applied to systems of mixed dimensionality, where holes are restricted to move in one dimension, but SU(2) superexchange is two-dimensional. We demonstrate that hole motion drives the spin background into a highly frustrated regime, which can quantitatively be described by an effective J(1)-J(2)-type spin model. We exemplify the applicability of the reconstruction scheme to ultracold atom experiments by recovering effective spin-Hamiltonians of experimentally obtained 1D Fermi-Hubbard snapshots. Our method can be generalized to fully 2D systems, enabling promising microscopic perspectives on the doped Hubbard model.</t>
  </si>
  <si>
    <t>[Schloemer, Henning; Bloch, Immanuel; Schollwoeck, Ulrich; Grusdt, Fabian] Ludwig Maximilians Univ Munchen, Dept Phys, D-80333 Munich, Germany; [Schloemer, Henning; Bloch, Immanuel; Schollwoeck, Ulrich; Grusdt, Fabian] Ludwig Maximilians Univ Munchen, Arnold Sommerfeld Ctr Theoret Phys ASC, D-80333 Munich, Germany; [Schloemer, Henning; Hilker, Timon A.; Bloch, Immanuel; Schollwoeck, Ulrich; Grusdt, Fabian; Bohrdt, Annabelle] Munich Ctr Quantum Sci &amp; Technol MCQST, D-80799 Munich, Germany; [Schloemer, Henning; Bohrdt, Annabelle] Harvard Smithsonian Ctr Astrophys, ITAMP, Cambridge, MA 02138 USA; [Hilker, Timon A.; Bloch, Immanuel] Max Planck Inst Quantum Opt, D-85748 Garching, Germany; [Bohrdt, Annabelle] Harvard Univ, Dept Phys, Cambridge, MA 02138 USA; [Bohrdt, Annabelle] Univ Regensburg, Inst Theoret Phys, D-93035 Regensburg, Germany</t>
  </si>
  <si>
    <t>University of Munich; University of Munich; Smithsonian Institution; Harvard University; Max Planck Society; Harvard University; University of Regensburg</t>
  </si>
  <si>
    <t>Schlomer, H (corresponding author), Ludwig Maximilians Univ Munchen, Dept Phys, D-80333 Munich, Germany.;Schlomer, H (corresponding author), Ludwig Maximilians Univ Munchen, Arnold Sommerfeld Ctr Theoret Phys ASC, D-80333 Munich, Germany.;Schlomer, H; Bohrdt, A (corresponding author), Munich Ctr Quantum Sci &amp; Technol MCQST, D-80799 Munich, Germany.;Schlomer, H; Bohrdt, A (corresponding author), Harvard Smithsonian Ctr Astrophys, ITAMP, Cambridge, MA 02138 USA.;Bohrdt, A (corresponding author), Harvard Univ, Dept Phys, Cambridge, MA 02138 USA.;Bohrdt, A (corresponding author), Univ Regensburg, Inst Theoret Phys, D-93035 Regensburg, Germany.</t>
  </si>
  <si>
    <t>H.Schloemer@physik.uni-muenchen.de; Annabelle.Bohrdt@physik.uni-regensburg.de</t>
  </si>
  <si>
    <t>Deutsche Forschungsgemeinschaft (DFG, German Research Foundation) [390814868]; European Research Council (ERC) under the European Union [948141]; NSF; Harvard University; Smithsonian Astrophysical Observatory; European Research Council (ERC) [948141] Funding Source: European Research Council (ERC)</t>
  </si>
  <si>
    <t>Deutsche Forschungsgemeinschaft (DFG, German Research Foundation)(German Research Foundation (DFG)); European Research Council (ERC) under the European Union(European Research Council (ERC)); NSF(National Science Foundation (NSF)); Harvard University; Smithsonian Astrophysical Observatory; European Research Council (ERC)(European Research Council (ERC)Spanish Government)</t>
  </si>
  <si>
    <t>We are thankful for valuable discussions with F. Palm, M. Kebric, and L. Homeier. This research was funded by the Deutsche Forschungsgemeinschaft (DFG, German Research Foundation) under Germany's Excellence Strategy-EXC-2111-390814868, by the European Research Council (ERC) under the European Union's Horizon 2020 research and innovation programme (grant agreement number 948141)-ERC Starting Grant SimUc-Quam, and by the NSF through a grant for the Institute for Theoretical Atomic, Molecular, and Optical Physics at Harvard University and the Smithsonian Astrophysical Observatory.</t>
  </si>
  <si>
    <t>2662-4443</t>
  </si>
  <si>
    <t>COMMUN MATER</t>
  </si>
  <si>
    <t>Commun. Mater.</t>
  </si>
  <si>
    <t>10.1038/s43246-023-00382-3</t>
  </si>
  <si>
    <t>P9KH2</t>
  </si>
  <si>
    <t>WOS:001053787400001</t>
  </si>
  <si>
    <t>Sehirli, E; Dogan, C; Dogan, N</t>
  </si>
  <si>
    <t>Sehirli, Eftal; Dogan, Cemhan; Dogan, Nurcan</t>
  </si>
  <si>
    <t>Determination of margarine adulteration in butter by machine learning on melting video</t>
  </si>
  <si>
    <t>JOURNAL OF FOOD MEASUREMENT AND CHARACTERIZATION</t>
  </si>
  <si>
    <t>Digital image processing; Machine learning; Butter; Adulteration; Melting</t>
  </si>
  <si>
    <t>SELECTION METHOD; FOOD; SYSTEM</t>
  </si>
  <si>
    <t>Butter is a product that is often vulnerable to adulteration with cheaper ingredients such as margarine. In this study, butter was artificially adulterated with margarine at different rates to create different levels of adulteration. Then, the melting was captured using video footage, and image processing and machine learning (ML) were used to automatically detect the level of adulteration in the butter. To create the final numerical dataset for ML models, a total of 30,000 images were collected from the video, with equal numbers of images for each class. The images were divided into five classes using an algorithm that detected region of interest (ROI) in the adulterated butter images. Two types of numerical datasets were created: single frame-based and first-middle-last (FML) frame-based. Seven different ML models (decision tree (DT), linear discriminant analysis (LDA), Naive Bayes (NB), support vector machines (SVM), k-nearest neighbor (KNN), random forest (RF) and artificial neural networks (ANN) were trained and tested on the datasets. To improve accuracy and efficiency, 10-fold cross-validation was applied to the ML models. The ML models achieved high accuracy in classifying the loaded butter videos. KNN, RF, and ANN had the highest accuracy (99.9%), followed by SVM (99.7%) and DT (99.4%) on the single frame-based dataset. NB had the lowest accuracy (87.1%). On the FML frame-based dataset, DT had the highest accuracy (99.9%) while SVM had the lowest accuracy (73.3%). Overall, the method used in this study was successful in classifying butter adulteration with high accuracy using image processing and ML techniques.</t>
  </si>
  <si>
    <t>[Sehirli, Eftal] Karabuk Univ, Engn Fac, Dept Med Engn, TR-78050 Karabuk, Turkiye; [Dogan, Cemhan; Dogan, Nurcan] Yozgat Bozok Univ, Bogazliyan Vocat Sch, Dept Food Technol, TR-66400 Yozgat, Turkiye</t>
  </si>
  <si>
    <t>Karabuk University; Bozok University</t>
  </si>
  <si>
    <t>Dogan, C (corresponding author), Yozgat Bozok Univ, Bogazliyan Vocat Sch, Dept Food Technol, TR-66400 Yozgat, Turkiye.</t>
  </si>
  <si>
    <t>cemhan.dogan@yobu.edu.tr</t>
  </si>
  <si>
    <t>dogan, nurcan/0000-0001-5414-1819</t>
  </si>
  <si>
    <t>2193-4126</t>
  </si>
  <si>
    <t>2193-4134</t>
  </si>
  <si>
    <t>J FOOD MEAS CHARACT</t>
  </si>
  <si>
    <t>J. Food Meas. Charact.</t>
  </si>
  <si>
    <t>10.1007/s11694-023-02115-z</t>
  </si>
  <si>
    <t>P7YT3</t>
  </si>
  <si>
    <t>WOS:001052798100004</t>
  </si>
  <si>
    <t>Sharma, T; Kumar, R; Vaidya, H; Raju, CSK; Vajravelu, K</t>
  </si>
  <si>
    <t>Sharma, Tanya; Kumar, Rakesh; Vaidya, Hanumesh; Raju, C. S. K.; Vajravelu, Kuppalapalle</t>
  </si>
  <si>
    <t>Numerical investigation of the hybrid ferrofluid flow in a heterogeneous porous channel with convectively heated and quadratically stretchable walls</t>
  </si>
  <si>
    <t>VARIABLE POROSITY; MAGNETIC-FIELD; NANOFLUID; VELOCITY; FLUID; SHEET; BEDS</t>
  </si>
  <si>
    <t>The spatial heterogeneity in the porosity and permeability of the porous media is noticed in the catalytic reactors, composite materials, turbomachinery, groundwater remediation, filters, oil recovery, physiological processes, biological tissues and arteries. In the complex porous arrangement, the fluid follows a preferred path constituting a channelling effect. This channelling phenomenon occurring in such porous beds is considered here for the investigation with the novel inclusion of quadratically stretchable but convectively heated walls of the channel. In this study, the flow and temperature modulations in the hybrid ferrofluid flow due to the combined influence of Kelvin and Lorentz forces are examined. The heterogeneous porous channel is stretched quadratically in the fluid flow direction. The Carman-Kozeny correlation is used to estimate the permeability of the medium by taking the exponential variations in the porosity across the width of the channel. The mathematical model for the problem is developed and is further reduced to a self-similar form with the help of proper similarity transformations. The Chebyshev pseudospectral quasi-linearization scheme is utilized to obtain the optimal numerical information. A numerical survey is performed in the form of a comparative analysis between the heterogeneous porous medium (HePM) and homogeneous porous medium (HoPM). The interesting convection transfer mode is found to be dominant for HePM, whereas the substantial conduction transfer mode is noted for HoPM. The Nusselt number is pronounced with the uplifted values of the ferromagnetic number and nonlinear stretching constant. However, it is hampered with the Hartmann number and bead diameter number.</t>
  </si>
  <si>
    <t>[Sharma, Tanya; Kumar, Rakesh] Cent Univ Himachal Pradesh, Srinivasa Ramanujan Dept Math, Shahpur Campus, Shahpur 176206, India; [Vaidya, Hanumesh] Vijayanagara Sri Krishnadevaraya Univ, Dept Math, Ballari 583105, Karnataka, India; [Raju, C. S. K.] Hanyang Univ, Sch Mech Engn, 222 Wangsimni Ro,Seongdong Gu, Seoul 04763, South Korea; [Vajravelu, Kuppalapalle] Univ Cent Florida, Dept Math, Orlando, FL 32186 USA</t>
  </si>
  <si>
    <t>Central University of Himachal Pradesh; Hanyang University; State University System of Florida; University of Central Florida</t>
  </si>
  <si>
    <t>Kumar, R (corresponding author), Cent Univ Himachal Pradesh, Srinivasa Ramanujan Dept Math, Shahpur Campus, Shahpur 176206, India.</t>
  </si>
  <si>
    <t>rakesh.lect@hpcu.ac.in</t>
  </si>
  <si>
    <t>Central University of Himachal Pradesh</t>
  </si>
  <si>
    <t>The authors acknowledge the constructive suggestions received from the learned Reviewers which led to definite improvement in the paper. The first author acknowledges the support of Central University of Himachal Pradesh for providing all the necessary sources to conduct the research.</t>
  </si>
  <si>
    <t>10.1140/epjp/s13360-023-04371-w</t>
  </si>
  <si>
    <t>R4IW4</t>
  </si>
  <si>
    <t>WOS:001064009200009</t>
  </si>
  <si>
    <t>Sorell, T</t>
  </si>
  <si>
    <t>Sorell, Tom</t>
  </si>
  <si>
    <t>The New Leviathans: Thoughts After Liberalism</t>
  </si>
  <si>
    <t>SOCIETY</t>
  </si>
  <si>
    <t>Book Review</t>
  </si>
  <si>
    <t>[Sorell, Tom] Univ Warwick, Coventry, England</t>
  </si>
  <si>
    <t>Sorell, T (corresponding author), Univ Warwick, Coventry, England.</t>
  </si>
  <si>
    <t>t.sorell@warwick.ac.uk</t>
  </si>
  <si>
    <t>0147-2011</t>
  </si>
  <si>
    <t>1936-4725</t>
  </si>
  <si>
    <t>Society</t>
  </si>
  <si>
    <t>s12115023008950</t>
  </si>
  <si>
    <t>10.1007/s12115-023-00895-0</t>
  </si>
  <si>
    <t>P9GI9</t>
  </si>
  <si>
    <t>WOS:001053683800001</t>
  </si>
  <si>
    <t>Talcott, TN; Kiat, JE; Luck, SJ; Gaspelin, N</t>
  </si>
  <si>
    <t>Talcott, Travis N.; Kiat, John E.; Luck, Steven J.; Gaspelin, Nicholas</t>
  </si>
  <si>
    <t>Is covert attention necessary for programming accurate saccades? Evidence from saccade-locked event-related potentials</t>
  </si>
  <si>
    <t>ATTENTION PERCEPTION &amp; PSYCHOPHYSICS</t>
  </si>
  <si>
    <t>Covert attention; Eye movements; Coregistration; N2pc; Visual search</t>
  </si>
  <si>
    <t>FALSE DISCOVERY RATE; SHORT-TERM-MEMORY; VISUAL-ATTENTION; SPATIAL ATTENTION; EYE-MOVEMENTS; WORKING-MEMORY; TARGET; EEG; INHIBITION; SELECTION</t>
  </si>
  <si>
    <t>For decades, researchers have assumed that shifts of covert attention mandatorily occur prior to eye movements to improve perceptual processing of objects before they are fixated. However, recent research suggests that the N2pc component-a neural measure of covert attentional allocation-does not always precede eye movements. The current study investigated whether the N2pc component mandatorily precedes eye movements and assessed its role in the accuracy of gaze control. In three experiments, participants searched for a letter of a specific color (e.g., red) and directed gaze to it as a response. Electroencephalograms and eye movements were coregistered to determine whether neural markers of covert attention preceded the initial shift of gaze. The results showed that the presaccadic N2pc only occurred under limited conditions: when there were many potential target locations and distractors. Crucially, there was no evidence that the presence or magnitude of the presaccadic N2pc was associated with improved eye movement accuracy in any of the experiments. Interestingly, ERP decoding analyses were able to classify the target location well before the eyes started to move, which likely reflects a presaccadic cognitive process that is distinct from the attentional process measured by the N2pc. Ultimately, we conclude that the covert attentional mechanism indexed by the N2pc is not necessary for precise gaze control.</t>
  </si>
  <si>
    <t>[Talcott, Travis N.; Gaspelin, Nicholas] SUNY Binghamton, Dept Psychol, POB 6000, Binghamton, NY 13902 USA; [Kiat, John E.; Luck, Steven J.] Univ Calif Davis, Ctr Mind &amp; Brain, Davis, CA USA; [Gaspelin, Nicholas] Univ Missouri, Dept Psychol Sci, Columbia, MO USA</t>
  </si>
  <si>
    <t>State University of New York (SUNY) System; State University of New York (SUNY) Binghamton; University of California System; University of California Davis; University of Missouri System; University of Missouri Columbia</t>
  </si>
  <si>
    <t>Talcott, TN (corresponding author), SUNY Binghamton, Dept Psychol, POB 6000, Binghamton, NY 13902 USA.</t>
  </si>
  <si>
    <t>ttalcot1@binghamton.edu</t>
  </si>
  <si>
    <t>Gaspelin, Nicholas/0000-0002-1182-0632</t>
  </si>
  <si>
    <t>This project was made possible by the National Science Foundation Grant BCS-2045624 to Nicholas Gaspelin.; National Science Foundation; [BCS-2045624]</t>
  </si>
  <si>
    <t>This project was made possible by the National Science Foundation Grant BCS-2045624 to Nicholas Gaspelin.; National Science Foundation(National Science Foundation (NSF));</t>
  </si>
  <si>
    <t>This project was made possible by the National Science Foundation Grant BCS-2045624 to Nicholas Gaspelin.</t>
  </si>
  <si>
    <t>1943-3921</t>
  </si>
  <si>
    <t>1943-393X</t>
  </si>
  <si>
    <t>ATTEN PERCEPT PSYCHO</t>
  </si>
  <si>
    <t>Atten. Percept. Psychophys.</t>
  </si>
  <si>
    <t>10.3758/s13414-023-02775-5</t>
  </si>
  <si>
    <t>P9CL1</t>
  </si>
  <si>
    <t>WOS:001053580000002</t>
  </si>
  <si>
    <t>Turner, M; Tour, E</t>
  </si>
  <si>
    <t>Turner, Marianne; Tour, Ekaterina</t>
  </si>
  <si>
    <t>Literacies in the English classroom: leveraging and extending the linguistic repertoire of all students</t>
  </si>
  <si>
    <t>AUSTRALIAN JOURNAL OF LANGUAGE AND LITERACY</t>
  </si>
  <si>
    <t>Multimodality; Linguistic diversity; Language variation; Translanguaging</t>
  </si>
  <si>
    <t>PEDAGOGY; MULTILITERACIES; LANGUAGE; SCHOOL</t>
  </si>
  <si>
    <t>In countries such as Australia, the bi/multilingual student demographic is increasing. Bi/multilingual students are commonly learning alongside monolingual students and also Indigenous and first-and-second-generation immigrant students who have a great range of exposure to heritage languages. In this article, we explore how literacies and language variation can be drawn together in order to support teachers' navigation of linguistic diversity in the English classroom. More specifically, we discuss how linguistic variation can be an explicit focus, and how extending students' linguistic repertoire can be an end in itself. If home language resources are solely considered to be a scaffold for standardised English language practices at school, or a way to transition students to English, they are not applicable to monolingual (in English) students nor students who have grown up speaking English as well as another home language. This orientation does not do justice to the learning potential related to linguistic diversity. We propose that the embedding of language variation in literacies and multimodality, digital multimodal composing in particular, is a way to address the intrinsic value of developing students' linguistic repertoire as a whole.</t>
  </si>
  <si>
    <t>[Turner, Marianne; Tour, Ekaterina] Monash Univ, Fac Educ, Wellington Rd, Clayton, Vic 3168, Australia</t>
  </si>
  <si>
    <t>Monash University</t>
  </si>
  <si>
    <t>Turner, M (corresponding author), Monash Univ, Fac Educ, Wellington Rd, Clayton, Vic 3168, Australia.</t>
  </si>
  <si>
    <t>marianne.turner@monash.edu; katrina.tour@monash.edu</t>
  </si>
  <si>
    <t>Tour, Ekaterina/0000-0001-9974-5659</t>
  </si>
  <si>
    <t>CAUL</t>
  </si>
  <si>
    <t>Open Access funding enabled and organized by CAUL and its Member Institutions</t>
  </si>
  <si>
    <t>1038-1562</t>
  </si>
  <si>
    <t>1839-4728</t>
  </si>
  <si>
    <t>AUST J LANG LIT</t>
  </si>
  <si>
    <t>Aust. J. Lang. Lit.</t>
  </si>
  <si>
    <t>10.1007/s44020-023-00045-3</t>
  </si>
  <si>
    <t>P9DU7</t>
  </si>
  <si>
    <t>WOS:001053616300001</t>
  </si>
  <si>
    <t>Wang, JL; Guan, DB; Zhang, ZK; Chen, DB; Yu, X</t>
  </si>
  <si>
    <t>Wang, Jinglei; Guan, Dabo; Zhang, Zengkai; Chen, Danbo; Yu, Xiang</t>
  </si>
  <si>
    <t>Carbon footprints of the equity portfolios of Chinese fund firms</t>
  </si>
  <si>
    <t>EMISSIONS; IMPACT</t>
  </si>
  <si>
    <t>Under the dual carbon goals in China, the transition to a net-zero carbon economy requires massive amounts of capital, which must be provided and facilitated by financial institutions. Yet, there are no unified, publicly available disclosures of the investment carbon footprint of Chinese financial institutions, leaving them facing great climate-related risks. Here we demonstrate that the aggregated financed emissions show an upward trend from 2015, and the investment portfolios are more exposed to carbon-intensive assets, based on the equity portfolios of China's 105 fund firms. We further explore the decarbonization potential for fund firms and show that sustainability-aware fund firms are characterized by financed emission reductions and carbon efficiency gains. To fulfill sustainable investing, China's institutional investors should focus on investment allocations shifting to high-tech sectors and target the improvement of self-reported carbon emissions.</t>
  </si>
  <si>
    <t>[Wang, Jinglei] Shandong Univ, Inst Blue &amp; Green Dev, Weihai, Peoples R China; [Guan, Dabo] Tsinghua Univ, Dept Earth Syst Sci, Minist Educ, Key Lab Earth Syst Modeling, Beijing, Peoples R China; [Zhang, Zengkai] Xiamen Univ, Coll Environm &amp; Ecol, State Key Lab Marine Environm Sci, Xiamen, Peoples R China; [Chen, Danbo] Shanghai Univ Finance &amp; Econ, Sch Urban &amp; Reg Sci, Shanghai, Peoples R China; [Yu, Xiang] Chinese Acad Social Sci, Res Inst Ecocivilizat RIEco, Beijing, Peoples R China; [Yu, Xiang] Chinese Acad Social Sci, Beijing, Peoples R China</t>
  </si>
  <si>
    <t>Shandong University; Tsinghua University; Xiamen University; Shanghai University of Finance &amp; Economics; Chinese Academy of Social Sciences; Chinese Academy of Social Sciences</t>
  </si>
  <si>
    <t>Yu, X (corresponding author), Chinese Acad Social Sci, Res Inst Ecocivilizat RIEco, Beijing, Peoples R China.;Yu, X (corresponding author), Chinese Acad Social Sci, Beijing, Peoples R China.</t>
  </si>
  <si>
    <t>yuxiang@cass.org.cn</t>
  </si>
  <si>
    <t>Guan, Dabo/0000-0003-3773-3403</t>
  </si>
  <si>
    <t>We acknowledge supports from National Natural Science Foundation of China (7221101088).; National Natural Science Foundation of China; [7221101088]</t>
  </si>
  <si>
    <t>We acknowledge supports from National Natural Science Foundation of China (7221101088).(National Natural Science Foundation of China (NSFC)); National Natural Science Foundation of China(National Natural Science Foundation of China (NSFC));</t>
  </si>
  <si>
    <t>We acknowledge supports from National Natural Science Foundation of China (7221101088).</t>
  </si>
  <si>
    <t>10.1038/s43247-023-00926-y</t>
  </si>
  <si>
    <t>P9HE4</t>
  </si>
  <si>
    <t>WOS:001053705600002</t>
  </si>
  <si>
    <t>Wu, Y; Wang, T; Xia, L; Zhang, M</t>
  </si>
  <si>
    <t>Wu, Yue; Wang, Ting; Xia, Lin; Zhang, Mei</t>
  </si>
  <si>
    <t>LncRNA WDFY3-AS2 promotes cisplatin resistance and the cancer stem cell in ovarian cancer by regulating hsa-miR-139-5p/SDC4 axis (vol 21, 284, 2021)</t>
  </si>
  <si>
    <t>[Wu, Yue; Wang, Ting; Zhang, Mei] Anhui Med Univ, Affiliated Hosp 1, Dept Integrated Chinese &amp; Western Med Oncol, 218,Jixi Rd, Hefei 230022, Anhui, Peoples R China; [Wu, Yue; Wang, Ting; Zhang, Mei] Tradit &amp; Western Med TCM Integrated Canc Ctr Anhui, 81 Meishan Rd, Hefei 230032, Peoples R China; [Xia, Lin] Univ Tradit Chinese Med, Grad Sch Anhui, Hefei 230012, Anhui, Peoples R China</t>
  </si>
  <si>
    <t>Anhui Medical University</t>
  </si>
  <si>
    <t>Zhang, M (corresponding author), Anhui Med Univ, Affiliated Hosp 1, Dept Integrated Chinese &amp; Western Med Oncol, 218,Jixi Rd, Hefei 230022, Anhui, Peoples R China.;Zhang, M (corresponding author), Tradit &amp; Western Med TCM Integrated Canc Ctr Anhui, 81 Meishan Rd, Hefei 230032, Peoples R China.</t>
  </si>
  <si>
    <t>zhangmei@ahmu.edu.cn</t>
  </si>
  <si>
    <t>10.1186/s12935-023-03029-y</t>
  </si>
  <si>
    <t>R3QJ0</t>
  </si>
  <si>
    <t>WOS:001063527600001</t>
  </si>
  <si>
    <t>Aggarwal, N; Lahariya, C; Sharma, B; Khan, T; Sood, B; Singh, VV; Verma, S; Upadhyay, A; Dhaliwal, LK</t>
  </si>
  <si>
    <t>Aggarwal, Neelam; Lahariya, Chandrakant; Sharma, Bharti; Khan, Tamkin; Sood, Bulbul; Singh, Vivek V.; Verma, Shruti; Upadhyay, Anita; Dhaliwal, L. K.</t>
  </si>
  <si>
    <t>Stillbirths in India: Current Status, Challenges, and the Way Forward</t>
  </si>
  <si>
    <t>Stillbirths; Inequities; India; MPDSR; INAP; Primary healthcare</t>
  </si>
  <si>
    <t>HEALTH-CARE; MORTALITY; RATES</t>
  </si>
  <si>
    <t>Stillbirth is a major public health challenge and a multifaceted issue that leads to significant financial, physical, mental, financial, and psychosocial implications. India has made substantial progress in stillbirth reduction. Yet, many challenges continue and the absolute number of stillbirths remain high. This paper presents the national and state level burden of stillbirths and discusses about the magnitude, risk factors, causes and inequities in stillbirths. A few additional approaches for reduction of preventable stillbirths have been suggested. The authors argue that the institutional mechanisms need to be developed to ensure all stillbirths are registered in a timely manner. There is a need for standard definition for classification of stillbirths and document the cause, to roll-out suitable interventions. There is a need for state specific interventions to address different causes, as Indian states have variable stillbirth rates. The stillbirth audits should be institutionalised as a continuous quality improvement exercise to bring local accountability and reduce stillbirth rate. The healthcare system and providers must be trained to offer bereavement support to the affected mothers and families. These approaches should be implemented through primary healthcare system as well.</t>
  </si>
  <si>
    <t>[Aggarwal, Neelam; Sharma, Bharti; Dhaliwal, L. K.] Postgrad Inst Med Educ &amp; Res, Dept Obstet &amp; Gynecol, Chandigarh 160012, India; [Lahariya, Chandrakant] Fdn People Centr Hlth Syst, New Delhi, India; [Lahariya, Chandrakant] IIHMR Univ, SD Gupta Sch Publ Hlth, Jaipur, India; [Khan, Tamkin] Aligarh Muslim Univ, Dept Obstet &amp; Gynecol, Aligarh, Uttar Pradesh, India; [Sood, Bulbul] Jhpiego India, New Delhi, India; [Singh, Vivek V.] UNICEF India Country Off, New Delhi, India; [Verma, Shruti] Fdn People Centr Hlth Syst, Integrated Dept Hlth Policy Epidemiol Prevent Med, New Delhi, India; [Upadhyay, Anita] Human Capital Lighthouse Consulting Pvt Ltd, New Delhi, India</t>
  </si>
  <si>
    <t>Post Graduate Institute of Medical Education &amp; Research (PGIMER), Chandigarh; Aligarh Muslim University; Jhpiego</t>
  </si>
  <si>
    <t>Aggarwal, N (corresponding author), Postgrad Inst Med Educ &amp; Res, Dept Obstet &amp; Gynecol, Chandigarh 160012, India.</t>
  </si>
  <si>
    <t>drneelamaggarwal@gmail.com</t>
  </si>
  <si>
    <t>aggarwal, neelam/0000-0002-5908-4056</t>
  </si>
  <si>
    <t>2023 AUG 22</t>
  </si>
  <si>
    <t>10.1007/s12098-023-04807-2</t>
  </si>
  <si>
    <t>P5ZM3</t>
  </si>
  <si>
    <t>WOS:001051455800001</t>
  </si>
  <si>
    <t>Alemi, AL; Bar, G; Kasberg, A; Huth, A</t>
  </si>
  <si>
    <t>Alemi, Aziza Lena; Baer, Gesine; Kasberg, Azize; Huth, Annegret</t>
  </si>
  <si>
    <t>Ageing in the countryside Process and results of a participative needs assessment of the project Dorf explorativ! using the structured interview matrix</t>
  </si>
  <si>
    <t>PRAVENTION UND GESUNDHEITSFORDERUNG</t>
  </si>
  <si>
    <t>Science-practice partnership; Community capacity; Structured interview matrix; Rural development; Participation</t>
  </si>
  <si>
    <t>Background. Growing old in rural areas is becoming increasingly difficult due to structural problems. Objectives. To identify the requirement to age in good circumstances was the main aim of the research project Dorf explorativ. Therefore practitioners from the village Heinersdorf in Brandenburg and the Alice Salomon University of Applied Sciences Berlin (ASH) set researches into practice. From January on until September 2021 they established a science-practice-partnership. Methods. The concept community capacity gave the scientific frame to that project. Four items were identified: participation, community, mobility and habitation. 22 inhabitants took part in the participative data collection using the structured interview matrix (SIM). Results. Contentwise every single topic showed a need for action, like the development of the local community between the generations or mobility at old age. Moreover, through the projects results partnerships with external institutions and active community members could be established. The method SIM led to promissing results. The methodological implementation needs further refinement in the future. The analysis had participatory elements and was time consuming for both students and local partners. Thus, the implementation of participatorymethods in data collection and analysis needs ongoing evaluation for future research projects. Conclusions. In conclusion, all research participants got usefull results for both, the local development as well as further research projects.</t>
  </si>
  <si>
    <t>[Alemi, Aziza Lena; Baer, Gesine; Kasberg, Azize; Huth, Annegret] Univ Appl Sci, Alice Salomon Hsch Berlin, Berlin, Germany; [Alemi, Aziza Lena] Univ Appl Sci, Alice Salomon Hsch Berlin, Alice Salomon Pl 5, D-12627 Berlin, Germany</t>
  </si>
  <si>
    <t>Alemi, AL (corresponding author), Univ Appl Sci, Alice Salomon Hsch Berlin, Alice Salomon Pl 5, D-12627 Berlin, Germany.</t>
  </si>
  <si>
    <t>aziza.lena@mail.de</t>
  </si>
  <si>
    <t>1861-6755</t>
  </si>
  <si>
    <t>1861-6763</t>
  </si>
  <si>
    <t>PRAVENT GESUNDHEIT</t>
  </si>
  <si>
    <t>Pravent. Gesundh.</t>
  </si>
  <si>
    <t>10.1007/s11553-023-01069-w</t>
  </si>
  <si>
    <t>P7XK4</t>
  </si>
  <si>
    <t>WOS:001052763000001</t>
  </si>
  <si>
    <t>Baumgartner, H; Schull, D; Kolbenschlag, J; Mederake, M</t>
  </si>
  <si>
    <t>Baumgartner, Heiko; Schuell, Daniel; Kolbenschlag, Jonas; Mederake, Moritz</t>
  </si>
  <si>
    <t>Reconstruction of posttraumatic deformities and defects</t>
  </si>
  <si>
    <t>ORTHOPADIE</t>
  </si>
  <si>
    <t>Bones; External fixators; Limbs; Reconstructive surgical procedure; Bone and soft tissue infections</t>
  </si>
  <si>
    <t>BONE; PRINCIPLES; SURGERY; REPAIR</t>
  </si>
  <si>
    <t>The reconstruction of posttraumatic defects of bone and soft tissue, as well as residual deformities of the bone is often a lengthy and complicated procedure. Multiple surgical interventions are necessary to reconstruct the affected extremity and restore its functionality. To achieve an optimal result it often takes months or years and requires great patience and compliance of the patient. This treatment should be carried out in centers with the appropriate instrumental and human resources. Since the pathologies are often complex with bony deformities or loss of bone, as well as infections and soft tissue defects, the treatment should be carried out by very experienced surgeons to successfully manage these complex reconstructions. This often requires interdisciplinary cooperation, especially with experienced plastic surgeons. A soft tissue reconstruction for better blood circulation in the exposed bony structures, as well as the bony defects themselves, can be reconstructed at the same time.</t>
  </si>
  <si>
    <t>[Baumgartner, Heiko; Schuell, Daniel; Mederake, Moritz] Eberhard Karls Univ Tubingen, Klin Unfall &amp; Wiederherstellungschirurg, BG Unfallklin Tubingen, Tubingen, Germany; [Kolbenschlag, Jonas] Eberhard Karls Univ Tubingen, Klin Hand Plast Plast Rekonstrukt &amp; Verbrennungsch, BG Unfallklin Tubingen, Tubingen, Germany; [Schuell, Daniel] BG Klin Tubingen, Tubingen, Germany; [Schuell, Daniel] BG Klin Tubingen, Schnarrenbergstr 95, D-72076 Tubingen, Germany</t>
  </si>
  <si>
    <t>Eberhard Karls University of Tubingen; Eberhard Karls University Hospital; Eberhard Karls University of Tubingen; Eberhard Karls University Hospital</t>
  </si>
  <si>
    <t>Schull, D (corresponding author), BG Klin Tubingen, Schnarrenbergstr 95, D-72076 Tubingen, Germany.</t>
  </si>
  <si>
    <t>dschuell@bgu-tuebingen.de</t>
  </si>
  <si>
    <t>2731-7145</t>
  </si>
  <si>
    <t>2731-7153</t>
  </si>
  <si>
    <t>Orthopadie</t>
  </si>
  <si>
    <t>10.1007/s00132-023-04422-1</t>
  </si>
  <si>
    <t>P7ZT4</t>
  </si>
  <si>
    <t>WOS:001052824200001</t>
  </si>
  <si>
    <t>Billington, EO; Miyagishima, RC; Hasselaar, C; Arain, M</t>
  </si>
  <si>
    <t>Billington, Emma O.; Miyagishima, Rebecca C.; Hasselaar, Charley; Arain, Mubashir</t>
  </si>
  <si>
    <t>Women's perspectives regarding osteoporosis, fracture risk, and pharmacologic treatment: a cross-sectional study</t>
  </si>
  <si>
    <t>OSTEOPOROSIS INTERNATIONAL</t>
  </si>
  <si>
    <t>Bone health; Menopause; Osteoporosis; Women's health</t>
  </si>
  <si>
    <t>BONE LOSS; POSTMENOPAUSAL WOMEN; DRUG-THERAPY; DOUBLE-BLIND; METAANALYSIS; ADHERENCE</t>
  </si>
  <si>
    <t>We assessed women's perspectives regarding early preventative therapy for osteoporosis. More than a third of early menopausal women were concerned about bone loss and future fractures, and approximately half were willing to take an intravenous or oral bisphosphonate around the time of menopause to preserve bone health.PurposeBisphosphonate medications can prevent the substantial bone loss that occurs during early menopause, but little is known about whether women would accept bisphosphonate treatment at this time in their life, when imminent fracture risk is low. We assessed women's perspectives regarding bone loss, fracture risk, and preventative pharmacotherapy in early menopause.MethodsIn this cross-sectional study, Canadian women aged &amp; GE; 45 years were recruited via Facebook advertisement to complete an electronic survey. Primary outcome was the proportion of early menopausal respondents (&amp; LE; 5 years since final menstrual period) who were worried about bone loss and fractures. Secondary outcomes were the proportion of early menopausal women willing to accept pharmacologic intervention aimed at preventing either bone loss or future fractures. We compared responses between early menopausal women and older women (&gt; 5 years since final menstrual period).Results2033 women responded to the Facebook advertisement, 1195 eligible women (aged: 45 to 89 years) started the survey, and 966 completed it. Among early menopausal respondents (N = 98), 38 (42%) were worried about future fractures and 9 of 25 (36%) who had a prior bone mineral density scan were worried about their results. A total of 42 (47%) were willing to start medication to prevent fractures, and 48 (54%) would start medication to prevent bone loss. Responses were comparable between early menopausal women and older women.ConclusionMenopausal women are concerned about bone loss and fractures. Many women would consider early menopausal pharmacotherapy, with the goals of preserving bone health and lowering their risk of fractures.</t>
  </si>
  <si>
    <t>[Billington, Emma O.] Univ Calgary, Richmond Rd Diagnost &amp; Treatment Ctr, Cumming Sch Med, Div Endocrinol &amp; Metab, Room 18118,1820 Richmond Rd SW, Calgary, AB, Canada; [Billington, Emma O.; Hasselaar, Charley] Univ Calgary, McCaig Inst Bone &amp; Joint Hlth, Calgary, AB, Canada; [Miyagishima, Rebecca C.; Arain, Mubashir] Alberta Hlth Serv, Hlth Syst Knowledge &amp; Evaluat, Edmonton, AB, Canada</t>
  </si>
  <si>
    <t>University of Calgary; University of Calgary; Alberta Health Services (AHS)</t>
  </si>
  <si>
    <t>Billington, EO (corresponding author), Univ Calgary, Richmond Rd Diagnost &amp; Treatment Ctr, Cumming Sch Med, Div Endocrinol &amp; Metab, Room 18118,1820 Richmond Rd SW, Calgary, AB, Canada.;Billington, EO (corresponding author), Univ Calgary, McCaig Inst Bone &amp; Joint Hlth, Calgary, AB, Canada.</t>
  </si>
  <si>
    <t>emma.billington@ahs.ca</t>
  </si>
  <si>
    <t>Billington, Emma/0000-0002-2556-588X</t>
  </si>
  <si>
    <t>Cumming School of Medicine at the University of Calgary</t>
  </si>
  <si>
    <t>This research was funded by a Seed Grant from the Cumming School of Medicine at the University of Calgary.</t>
  </si>
  <si>
    <t>0937-941X</t>
  </si>
  <si>
    <t>1433-2965</t>
  </si>
  <si>
    <t>OSTEOPOROSIS INT</t>
  </si>
  <si>
    <t>Osteoporosis Int.</t>
  </si>
  <si>
    <t>10.1007/s00198-023-06890-9</t>
  </si>
  <si>
    <t>P7LZ7</t>
  </si>
  <si>
    <t>WOS:001052465600001</t>
  </si>
  <si>
    <t>Buck, JM; Schramm, R; Renner, A; Gummert, JF; Guenther, SPW</t>
  </si>
  <si>
    <t>Buck, Johanna M. M.; Schramm, Rene; Renner, Andre; Gummert, Jan F. F.; Guenther, Sabina P. W.</t>
  </si>
  <si>
    <t>Management of a rare isolated left main coronary artery ostial stenosis in a young patient: a case report</t>
  </si>
  <si>
    <t>CARDIOTHORACIC SURGEON</t>
  </si>
  <si>
    <t>Coronary anomaly; Congenital coronary ostial stenosis; Myocardial protection; Coronary ostium reconstruction</t>
  </si>
  <si>
    <t>ATRESIA</t>
  </si>
  <si>
    <t>BackgroundIsolated congenital ostial stenosis of the left coronary artery (LCA) is extremely rare, and available literature is limited. Long-term treatment success is key in the choice of treatment strategy due to the mostly young age of the patients. Here, we present a clinical case and shed light on the surgical treatment strategies including their pitfalls.Case presentationWe describe a 20-year-old male who presented to the emergency department with recurrent typical angina pectoris symptoms (CCS class II). Computed tomography and coronary angiography revealed isolated ostial stenosis of the LCA, with prominent collaterals from the right coronary artery. The patient was operated on and intra-operative findings showed a severely narrowed LCA ostium that appeared to be fibrotic, and to originate from a similarly fibrotic left coronary sinus of the aortic root. The LCA was excised from the left coronary sinus, and trimmed until the coronary artery lumen appeared macroscopically normal. The fibrotic left coronary sinus was resected and replaced with a bovine pericardial patch, into which the coronary artery was re-inserted. During weaning from cardiopulmonary bypass, we faced a diminished left ventricular function. We attributed this to insufficient myocardial protection. Isolated antegrade cardioplegia had been used, which, for technical reasons, had to be administered separately to the right and left coronary artery after aortotomy. In the setting of huge collaterals from the right to the left coronary artery, a steal-effect likely occurred. After prolonged reperfusion, the left ventricular function recovered, and the further post-operative course was unremarkable.ConclusionsFor the surgical treatment of congenital ostial stenosis of the LCA, both ostium reconstruction and coronary artery bypass grafting have been described. The advantage of ostium reconstruction as chosen here is to create a physiological flow and supply situation to the affected myocardial areas. Furthermore, in case of other downstream events, such as the development of coronary artery disease, all further therapeutic options are preserved.Special attention should be paid to the administration of cardioplegia in these patients. Combined ante and retrograde cardioplegia administration probably would have achieved more extensive myocardial protection in our case.</t>
  </si>
  <si>
    <t>[Buck, Johanna M. M.; Schramm, Rene; Renner, Andre; Gummert, Jan F. F.; Guenther, Sabina P. W.] Ruhr Univ Bochum, Heart &amp; Diabet Ctr North Rhine Westphalia, Clin Thorac &amp; Cardiovasc Surg, Bad Oeynhausen, Germany</t>
  </si>
  <si>
    <t>Ruhr University Bochum</t>
  </si>
  <si>
    <t>Guenther, SPW (corresponding author), Ruhr Univ Bochum, Heart &amp; Diabet Ctr North Rhine Westphalia, Clin Thorac &amp; Cardiovasc Surg, Bad Oeynhausen, Germany.</t>
  </si>
  <si>
    <t>saguenther@hdz-nrw.de</t>
  </si>
  <si>
    <t>2636-333X</t>
  </si>
  <si>
    <t>2662-2203</t>
  </si>
  <si>
    <t>CARDIOTHORAC SURG</t>
  </si>
  <si>
    <t>Cardiothorac. Surgeon</t>
  </si>
  <si>
    <t>AUG 22</t>
  </si>
  <si>
    <t>10.1186/s43057-023-00108-8</t>
  </si>
  <si>
    <t>P6ZO0</t>
  </si>
  <si>
    <t>WOS:001052138500001</t>
  </si>
  <si>
    <t>Cavalheiro, S; da Costa, MDS; Barbosa, MM; Suriano, IC; Ottaiano, AC; Freddi, TDL; Ferreira, NPFD; Kusano, CU; Dastoli, PA; Nicacio, JM; Sarmento, SGP; Moron, AF</t>
  </si>
  <si>
    <t>Cavalheiro, Sergio; da Costa, Marcos Devanir Silva; Barbosa, Mauricio Mendes; Suriano, Italo Capraro; Ottaiano, Ana Carolina; Freddi, Tomas de Andrade Lourencao; Ferreira, Nelson Paes Fortes Diniz; Kusano, Cid Ura; Dastoli, Patricia Alessandra; Nicacio, Jardel Mendonca; Sarmento, Stephanno Gomes Pereira; Moron, Antonio Fernandes</t>
  </si>
  <si>
    <t>Fetal neurosurgery</t>
  </si>
  <si>
    <t>Fetal neurosurgery; Fetal surgery; Myelomeningocele; Hydrocephalus; Fetal brain tumors</t>
  </si>
  <si>
    <t>CENTRAL-NERVOUS-SYSTEM; INCREASINGLY IMPORTANT TOOL; NORMAL CONUS MEDULLARIS; OCCIPITUM-DENS LINE; SPINA-BIFIDA; POSTERIOR-FOSSA; MYELOMENINGOCELE REPAIR; PRACTICE GUIDELINES; PRENATAL-DIAGNOSIS; BRAIN-TUMORS</t>
  </si>
  <si>
    <t>Among fetal surgical procedures, neurosurgery stands out due to the number of cases and the possibility of developing new procedures that can be performed in the fetal period. To perform fetal neurosurgical procedures, there is a need for specialized centers that have experts in the diagnosis of fetal pathologies and a highly complex obstetrics service with specialized maternal-fetal teams associated with a pediatric neurosurgery center with expertise in the diverse pathologies of the fetus and the central nervous system that offers multidisciplinary follow-up during postnatal life. Services that do not have these characteristics should refer their patients to these centers to obtain better treatment results. It is essential that the fetal neurosurgical procedure be performed by a pediatric neurosurgeon with extensive experience, as he will be responsible for monitoring these patients in the postnatal period and for several years. The objective of this manuscript is to demonstrate the diagnostic and treatment possibilities, in the fetal period, of some neurosurgical diseases such as hydrocephalus, tumors, occipital encephalocele, and myelomeningocele.</t>
  </si>
  <si>
    <t>[Cavalheiro, Sergio; da Costa, Marcos Devanir Silva; Suriano, Italo Capraro; Dastoli, Patricia Alessandra; Nicacio, Jardel Mendonca] Univ Fed Sao Paulo, Dept Neurol &amp; Neurosurg, Rua Napoleao de Barros 715,6th Floor, BR-04024002 Sao Paulo, SP, Brazil; [Barbosa, Mauricio Mendes; Kusano, Cid Ura; Sarmento, Stephanno Gomes Pereira; Moron, Antonio Fernandes] Hosp &amp; Maternidade Santa Joana, Dept Fetal Med, Sao Paulo, SP, Brazil; [Ottaiano, Ana Carolina; Freddi, Tomas de Andrade Lourencao; Ferreira, Nelson Paes Fortes Diniz] Hosp Coracao, Diagnost Imaging Dept, Neuroradiol Subdiv, Sao Paulo, SP, Brazil; [Ottaiano, Ana Carolina; Freddi, Tomas de Andrade Lourencao; Ferreira, Nelson Paes Fortes Diniz] Teleimaging, Sao Paulo, SP, Brazil</t>
  </si>
  <si>
    <t>Universidade Federal de Sao Paulo (UNIFESP); Hospital do Coracao - HCor</t>
  </si>
  <si>
    <t>da Costa, MDS (corresponding author), Univ Fed Sao Paulo, Dept Neurol &amp; Neurosurg, Rua Napoleao de Barros 715,6th Floor, BR-04024002 Sao Paulo, SP, Brazil.</t>
  </si>
  <si>
    <t>marcoscostaneuro@gmail.com</t>
  </si>
  <si>
    <t>Silva da Costa, Marcos Devanir/0000-0003-3552-6347</t>
  </si>
  <si>
    <t>10.1007/s00381-023-06109-6</t>
  </si>
  <si>
    <t>P7ZC8</t>
  </si>
  <si>
    <t>WOS:001052807600001</t>
  </si>
  <si>
    <t>Choudhary, SK; Reddy, PR; Satsangi, A</t>
  </si>
  <si>
    <t>Choudhary, Shiv Kumar; Reddy, Pradeep Ramakrishna; Satsangi, Amitabh</t>
  </si>
  <si>
    <t>Overview of acute type A aortic dissection in India</t>
  </si>
  <si>
    <t>INDIAN JOURNAL OF THORACIC AND CARDIOVASCULAR SURGERY</t>
  </si>
  <si>
    <t>Aortic dissection; Acute type A aortic dissection; Surgery acute dissection; Acute dissection Indian scenario</t>
  </si>
  <si>
    <t>TOTAL ARCH REPLACEMENT; FROZEN ELEPHANT TRUNK; INTERNATIONAL REGISTRY; GERMAN REGISTRY; OPERATIVE STRATEGY; OUTCOMES; SURGERY; REPAIR; HEMIARCH</t>
  </si>
  <si>
    <t>Acute type A aortic dissection (TAAD) is a life-threatening surgical emergency. Though the entity is associated with high mortality and morbidity, with well-executed and timely surgical intervention, mortality and morbidity could be reduced to a reasonable extent. Information about demographics, clinical pattern, and results of management of acute TAAD from the Indian subcontinent largely remains unpublished. There are only a few specialized centers performing aortic operations. Very often, the patients with acute TAAD are operated on by surgeons with limited experience and resources. The surgeon is operating like a lone warrior without the support of a specialized radiologist, interventionalist, and specialized anesthetist. In most of the hospitals, facilities for sophisticated monitoring, sealants, specialized grafts, and stent graft are not available. We follow a simple algorithm of diagnosis and surgical management. The goal of treatment is to save the life. We follow a conservative approach best suited to our circumstances. Mild hypothermia, carotid cannulation, and antegrade cerebral perfusion as cerebral protection strategies have yielded satisfactory results. In case of organ malperfusion, with some exceptions, we perform aortic repair first. Our policy, towards arch management is less aggressive. In high-risk cases, we perform an endovascular-compliant hemiarch or arch replacement, followed by stent grafting in the post-operative period.</t>
  </si>
  <si>
    <t>[Choudhary, Shiv Kumar; Reddy, Pradeep Ramakrishna; Satsangi, Amitabh] All India Inst Med Sci, Dept Cardiothorac &amp; Vasc Surg, Ansari Nagar, New Delhi 110029, India</t>
  </si>
  <si>
    <t>All India Institute of Medical Sciences (AIIMS) New Delhi</t>
  </si>
  <si>
    <t>Choudhary, SK (corresponding author), All India Inst Med Sci, Dept Cardiothorac &amp; Vasc Surg, Ansari Nagar, New Delhi 110029, India.</t>
  </si>
  <si>
    <t>shivchoudhary@hotmail.com</t>
  </si>
  <si>
    <t>0970-9134</t>
  </si>
  <si>
    <t>0973-7723</t>
  </si>
  <si>
    <t>INDIAN J THORAC CARD</t>
  </si>
  <si>
    <t>Indian J. Thorac. Cardiovasc. Surg.</t>
  </si>
  <si>
    <t>10.1007/s12055-023-01581-w</t>
  </si>
  <si>
    <t>P7KX1</t>
  </si>
  <si>
    <t>WOS:001052437000001</t>
  </si>
  <si>
    <t>Co, EL; Hameed, M; Sebastian, SA; Garg, T; Sudan, S; Bheemisetty, N; Mohan, B</t>
  </si>
  <si>
    <t>Co, Edzel Lorraine; Hameed, Maha; Sebastian, Sneha Annie; Garg, Tulika; Sudan, Sourav; Bheemisetty, Niharika; Mohan, Babu</t>
  </si>
  <si>
    <t>Narrative Review of Probiotic Use on the Recovery of Postoperative Patients with Esophageal Cancer</t>
  </si>
  <si>
    <t>CURRENT NUTRITION REPORTS</t>
  </si>
  <si>
    <t>Probiotics; Esophageal cancer; Gut microbiota; Postoperative recovery; Esophageal carcinoma; Adjunct therapy</t>
  </si>
  <si>
    <t>SQUAMOUS-CELL CARCINOMA; INFECTIOUS COMPLICATIONS; BACTERIAL TRANSLOCATION; PROLIFERATION; SYNBIOTICS; EXOSOMES; INTERLEUKIN-6; SURGERY; GROWTH</t>
  </si>
  <si>
    <t>Purpose of ReviewThis narrative review discusses the significance of probiotic therapy in the postoperative care of patients with esophageal cancer and its role as an adjunct therapy to other treatment modalities for esophageal cancer.Recent FindingsAs such, there is an emerging need to address any malnutrition and gastrointestinal problems occurring in these patients which tend to have a strong negative impact on their prognosis. Probiotic effects on esophageal cancer biomarkers suggest that there is a positive correlation between these two factors. However, the beneficial effects remain controversial and warrant further investigation.Probiotics, now being widely utilized as postoperative therapy in some carcinomas of the gastrointestinal tract such as gastric cancer and colorectal cancer, have been shown in some clinical studies to positively impact the nutritional status of patients with esophageal cancer.Postoperative care among patients suffering from esophageal cancer is a very crucial aspect in the survival of these patients.</t>
  </si>
  <si>
    <t>[Co, Edzel Lorraine] Univ Santo Tomas, Fac Med &amp; Surg, Manila, Philippines; [Hameed, Maha] Florida State Univ, Sarasota Mem Hosp, Dept Internal Med, 1700 S Tamiami Trial, Sarasota, FL 34239 USA; [Sebastian, Sneha Annie] Azeezia Med Coll, Kollam, Kerala, India; [Garg, Tulika] Govt Med Coll &amp; Hosp, Chandigarh, India; [Sudan, Sourav] Govt Med Coll, Jammu, India; [Bheemisetty, Niharika] Kurnool Med Coll, Kurnool, Andhra Pradesh, India; [Mohan, Babu] Univ Utah, Dept Gastroenterol, Sch Med, Salt Lake City, UT USA</t>
  </si>
  <si>
    <t>University of Santo Tomas; State University System of Florida; Florida State University; Kurnool Medical College; Utah System of Higher Education; University of Utah</t>
  </si>
  <si>
    <t>Hameed, M (corresponding author), Florida State Univ, Sarasota Mem Hosp, Dept Internal Med, 1700 S Tamiami Trial, Sarasota, FL 34239 USA.</t>
  </si>
  <si>
    <t>mwhameed2016@gmail.com</t>
  </si>
  <si>
    <t>Co, Edzel Lorraine/AEV-0185-2022; Sebastian, Sneha Annie/JEP-5395-2023</t>
  </si>
  <si>
    <t>Co, Edzel Lorraine/0000-0003-1183-4492; Hameed, Maha/0000-0001-8066-4584</t>
  </si>
  <si>
    <t>2161-3311</t>
  </si>
  <si>
    <t>CURR NUTR REP</t>
  </si>
  <si>
    <t>Curr. Nutr. Rep.</t>
  </si>
  <si>
    <t>10.1007/s13668-023-00490-z</t>
  </si>
  <si>
    <t>P5ZQ9</t>
  </si>
  <si>
    <t>WOS:001051460400001</t>
  </si>
  <si>
    <t>Colombaro, I</t>
  </si>
  <si>
    <t>Colombaro, Ivano</t>
  </si>
  <si>
    <t>Time-like definition of quaternions in exterior algebra</t>
  </si>
  <si>
    <t>RICERCHE DI MATEMATICA</t>
  </si>
  <si>
    <t>Quaternions; Exterior algebra; Exterior calculus; Rotations</t>
  </si>
  <si>
    <t>A formal description of quaternions by means of exterior calculus is presented. Considering a three-dimensional space-time characterized by three time-like coordinates, we have been able to consistently recover a suitable formulation of quaternions by means of the properties arising from exterior algebra and calculus. As an application, it is also illustrated how rotations may be written in terms of quaternions, in accordance with definition provided in exterior algebra.</t>
  </si>
  <si>
    <t>[Colombaro, Ivano] Free Univ Bozen Bolzano, Fac Engn, Piazza Univ 5, I-39100 Bolzano, Italy</t>
  </si>
  <si>
    <t>Free University of Bozen-Bolzano</t>
  </si>
  <si>
    <t>Colombaro, I (corresponding author), Free Univ Bozen Bolzano, Fac Engn, Piazza Univ 5, I-39100 Bolzano, Italy.</t>
  </si>
  <si>
    <t>ivano.colombaro@unibz.it</t>
  </si>
  <si>
    <t>Colombaro, Ivano/0000-0002-8213-607X</t>
  </si>
  <si>
    <t>Libera Universita di Bolzano within the CRUI-CARE Agreement; INdAM-GNFM Young Researchers Project 2023 [CUP_E53C22001930001]</t>
  </si>
  <si>
    <t>Libera Universita di Bolzano within the CRUI-CARE Agreement; INdAM-GNFM Young Researchers Project 2023</t>
  </si>
  <si>
    <t>Open access funding provided by Libera Universita di Bolzano within the CRUI-CARE Agreement.The author acknowledge the anonymous reviewer for the constructive suggestions which have helped to improve the manuscript. Also, the author is deeply grateful to Josep Font-Segura for many helpful comments and discussions. The work of the author has been carried out in the framework of the activities of the Italian National Group of Mathematical Physics [Gruppo Nazionale per la Fisica Matematica (GNFM), Istituto Nazionale di Alta Matematica (INdAM)]. Moreover, the work of the author is partially supported by INdAM-GNFM Young Researchers Project 2023, CUP_E53C22001930001.</t>
  </si>
  <si>
    <t>0035-5038</t>
  </si>
  <si>
    <t>1827-3491</t>
  </si>
  <si>
    <t>RIC MAT</t>
  </si>
  <si>
    <t>Ric. Mat.</t>
  </si>
  <si>
    <t>10.1007/s11587-023-00810-z</t>
  </si>
  <si>
    <t>P7NI2</t>
  </si>
  <si>
    <t>WOS:001052500100002</t>
  </si>
  <si>
    <t>Dahabreh, D; Jung, SY; Renert-Yuval, Y; Bar, J; Del Duca, E; Guttman-Yassky, E</t>
  </si>
  <si>
    <t>Dahabreh, Dante; Jung, Seungyeon; Renert-Yuval, Yael; Bar, Jonathan; Del Duca, Ester; Guttman-Yassky, Emma</t>
  </si>
  <si>
    <t>Alopecia Areata: Current Treatments and New Directions</t>
  </si>
  <si>
    <t>PLATELET-RICH PLASMA; HUMAN HAIR FOLLICLE; INTRALESIONAL TRIAMCINOLONE ACETONIDE; GENOME-WIDE ASSOCIATION; JANUS KINASE INHIBITORS; IMMUNE PRIVILEGE; DOUBLE-BLIND; TOPICAL IMMUNOTHERAPY; CHEMOKINE PROFILES; ATOPIC-DERMATITIS</t>
  </si>
  <si>
    <t>Alopecia areata is an autoimmune hair loss disease that is non-scarring and is characterized by chronic inflammation at the hair follicle level. Clinically, patients' presentation varies from patchy, circumscribed scalp involvement to total body and scalp hair loss. Current management is guided by the degree of scalp and body involvement, with topical and intralesional steroid injections as primarily first-line for mild cases and broad immunosuppressants as the mainstay for more severe cases. Until recently, the limited number of blinded, randomized, placebo-controlled clinical trials for this disease had made establishing an evidence-based treatment paradigm challenging. However, growing insights into the pathogenesis of alopecia areata through blood and tissue analysis of human lesions have identified several promising targets for therapy. T-helper (Th) 1/interferon skewing has traditionally been described as the driver of disease; however, recent investigations suggest activation of additional immune mediators, including the Th2 pathway, interleukin (IL)-9, IL-23, and IL-32, as contributors to alopecia areata pathogenesis. The landscape of alopecia areata treatment has the potential to be transformed, as several novel targeted drugs are currently undergoing clinical trials. Given the recent US FDA approval of baricitinib and ritlecitinib, Janus kinase (JAK) inhibitors are a promising drug class for treating severe alopecia areata cases. This article will review the efficacy, safety, and tolerability of current treatments for alopecia areata, and will provide an overview of the emerging therapies that are leading the revolution in the management of this challenging disease.</t>
  </si>
  <si>
    <t>[Dahabreh, Dante; Jung, Seungyeon; Bar, Jonathan; Del Duca, Ester; Guttman-Yassky, Emma] Icahn Sch Med Mt Sinai, Dept Dermatol, Lab Inflammatory Skin Dis, 5 E 98th St, New York, NY 10029 USA; [Jung, Seungyeon] Vanderbilt Univ, Sch Med, Nashville, TN USA; [Renert-Yuval, Yael] Rockefeller Univ, Lab Invest Dermatol, New York, NY USA</t>
  </si>
  <si>
    <t>Icahn School of Medicine at Mount Sinai; Vanderbilt University; Rockefeller University</t>
  </si>
  <si>
    <t>Guttman-Yassky, E (corresponding author), Icahn Sch Med Mt Sinai, Dept Dermatol, Lab Inflammatory Skin Dis, 5 E 98th St, New York, NY 10029 USA.</t>
  </si>
  <si>
    <t>emma.guttman@mountsinai.org</t>
  </si>
  <si>
    <t>Renert-Yuval, Yael/AAP-5414-2020</t>
  </si>
  <si>
    <t>Jung, Seungyeon/0000-0001-8407-9411; Bar, Jonathan/0000-0001-7366-9416; Renert Yuval, Dr. Yael/0000-0002-2876-3048</t>
  </si>
  <si>
    <t>10.1007/s40257-023-00808-1</t>
  </si>
  <si>
    <t>P7NR2</t>
  </si>
  <si>
    <t>WOS:001052509100001</t>
  </si>
  <si>
    <t>Eslamian, G; Khoshnoodifar, M; Malek, S</t>
  </si>
  <si>
    <t>Eslamian, Ghazaleh; Khoshnoodifar, Mehrnoosh; Malek, Shirin</t>
  </si>
  <si>
    <t>Students' perception of e-learning during the Covid-19 pandemic: a survey study of Iranian nutrition science students</t>
  </si>
  <si>
    <t>e-learning; Perception; Student; Nutrition; Learning outcomes; COVID-19; Iran</t>
  </si>
  <si>
    <t>MEDICAL-STUDENTS; ACCEPTANCE</t>
  </si>
  <si>
    <t>BackgroundCOVID-19 pandemic caused university closures, which created learning challenges for students worldwide. Switching to online educational systems had significant impact on students' performances. The current study aims to investigate the perception of university students from the Nutrition Science department regarding e-learning in Iran.MethodsThe design of the study is cross-sectional. Data were collected through online surveys from Iranian students from the Nutrition Sciences Department. Stratified random sampling was used to randomly select 955 participants. A self-administered validated questionnaire was used for data collection. Descriptive statistics, Analysis of Variance (ANOVA) and Chi-Square tests were used for analysis of the data.ResultsResults revealed that 67.2% of students didn't have any former experience of e-learning. About 38.3% had moderate levels of Information Technology (IT) skills. Our results revealed that based on students' responses, being able to stay at home was one of the most common benefits of e-learning (39.1%). However, the most common challenge that students faced was related to technical problems (39.6%). When compared to e-learning, most students preferred face-to face type of learning. Students believed that this method no only increased their knowledge but also their skills and social competence as compared to e-learning. Only 28% of students rated e-learning as enjoyable. Furthermore, acceptance of online based education was statistically associated with students' degree level.ConclusionIn conclusion, students reported both advantages and disadvantages of e-learning but still reported that face-to-face learning is considered the most effective form of learning.</t>
  </si>
  <si>
    <t>[Eslamian, Ghazaleh] Shahid Beheshti Univ Med Sci, Natl Nutr &amp; Food Technol Res Inst, Fac Nutr &amp; Food Technol, Dept Cellular &amp; Mol Nutr, Tehran, Iran; [Eslamian, Ghazaleh; Khoshnoodifar, Mehrnoosh] Shahid Beheshti Univ Med Sci, Virtual Sch Med Educ &amp; Management, Dept Elearning, POB 1966645641, 2823, Valiasr St, Tehran, Iran; [Malek, Shirin] Calif State Univ, Dept Nutr &amp; Food Sci, Chico, CA USA</t>
  </si>
  <si>
    <t>Shahid Beheshti University Medical Sciences; Shahid Beheshti University Medical Sciences</t>
  </si>
  <si>
    <t>Khoshnoodifar, M (corresponding author), Shahid Beheshti Univ Med Sci, Virtual Sch Med Educ &amp; Management, Dept Elearning, POB 1966645641, 2823, Valiasr St, Tehran, Iran.</t>
  </si>
  <si>
    <t>mkhoshnoodifar@sbmu.ac.ir</t>
  </si>
  <si>
    <t>Eslamian, Ghazaleh/AAH-9589-2019; Khoshnoodifar, Mehrnoosh/HZK-5135-2023</t>
  </si>
  <si>
    <t>Eslamian, Ghazaleh/0000-0002-8960-5123; Khoshnoodifar, Mehrnoosh/0000-0001-9548-6856</t>
  </si>
  <si>
    <t>10.1186/s12909-023-04585-7</t>
  </si>
  <si>
    <t>P7RC7</t>
  </si>
  <si>
    <t>WOS:001052598800005</t>
  </si>
  <si>
    <t>Grant, RW; Katzenstein, S; Kennedy, C</t>
  </si>
  <si>
    <t>Grant, Ruth W.; Katzenstein, Suzanne; Kennedy, Christopher</t>
  </si>
  <si>
    <t>How Could They Let This Happen? Cover Ups, Complicity, and the Problem of Accountability</t>
  </si>
  <si>
    <t>RES PUBLICA-A JOURNAL OF MORAL LEGAL AND POLITICAL PHILOSOPHY</t>
  </si>
  <si>
    <t>Accountability; Ethics; Complicity; Institutions; Cover ups</t>
  </si>
  <si>
    <t>BYSTANDER INTERVENTION; RESPONSIBILITY; CONFORMITY</t>
  </si>
  <si>
    <t>Sexual abuse by clergymen, poisoned water, police brutality-these cases each involve two wrongs: the abuse itself and the attempt to avoid responsibility for it. Our focus is this second wrong-the cover up. Cover ups are accountability failures, and they share common strategies for thwarting accountability whatever the abuse and whatever the institution. We find that cover ups often succeed even when accountability mechanisms are in place. Hence, improved institutions will not be sufficient to prevent accountability failures. Accountability mechanisms are tools that people must be willing to use in good faith. They fail when people are complicit. What explains complicity? We identify certain human proclivities and features of modern organizations that lead people to become complicit in the wrongdoing of others. If we focus exclusively on the design of institutions, we will fail to constrain the perpetrators of wrongdoing. Understanding complicity is key to understanding accountability failures.</t>
  </si>
  <si>
    <t>[Grant, Ruth W.] Duke Univ, Dept Polit Sci, 140 Sci Dr, Durham, NC 27708 USA; [Katzenstein, Suzanne] Duke Univ, Sanford Sch Publ Policy, 201 Sci Dr, Durham, NC 27708 USA</t>
  </si>
  <si>
    <t>Duke University; Duke University</t>
  </si>
  <si>
    <t>Grant, RW (corresponding author), Duke Univ, Dept Polit Sci, 140 Sci Dr, Durham, NC 27708 USA.</t>
  </si>
  <si>
    <t>grant@duke.edu; sk272@duke.edu; chris.kennedy@alumni.duke.edu</t>
  </si>
  <si>
    <t>1356-4765</t>
  </si>
  <si>
    <t>1572-8692</t>
  </si>
  <si>
    <t>RES PUBLICA-NETH</t>
  </si>
  <si>
    <t>Res Publica</t>
  </si>
  <si>
    <t>10.1007/s11158-023-09628-w</t>
  </si>
  <si>
    <t>P7MB2</t>
  </si>
  <si>
    <t>WOS:001052467100001</t>
  </si>
  <si>
    <t>Klinger, J; Winst, S</t>
  </si>
  <si>
    <t>Klinger, Judith; Winst, Silke</t>
  </si>
  <si>
    <t>Winged Signs, Auspicious Voices: Bird Messengers in Medieval Literature</t>
  </si>
  <si>
    <t>LILI-ZEITSCHRIFT FUR LITERATURWISSENSCHAFT UND LINGUISTIK</t>
  </si>
  <si>
    <t>Middle Ages; Literature; Communication; Bird; Messenger; Song; Prognostication; Knowledge Transfer; Animalisation; Anthropomorphisation; Poetics; In-Between Space</t>
  </si>
  <si>
    <t>Birds and communications with birds appear in many areas of medieval culture: from artistic visualisation and learned discourse to theological reflection and literary representation. Due to their capacities of flight and song, birds occupy a special position: in human perception, these abilities point to exceptional potentials of communication and boundary-crossing. Not least, they suggest that birds mediate between terrestrial and celestial spheres. The speech skills of certain species further strengthen a perception that frequently casts birds as - talking or singing - carriers of messages, revelations or prophecies. This paper examines medieval encounters and forms of communication between birds and humans, as well as the ambiguities and uncertainties that surround them, and focuses on literary representations of birds as messengers.</t>
  </si>
  <si>
    <t>[Klinger, Judith] Univ Potsdam, Inst Germanist, Potsdam, Germany; [Winst, Silke] Georg August Univ Gottingen, Seminar Deutsch Philol, Gottingen, Germany</t>
  </si>
  <si>
    <t>University of Potsdam; University of Gottingen</t>
  </si>
  <si>
    <t>Klinger, J (corresponding author), Univ Potsdam, Inst Germanist, Potsdam, Germany.</t>
  </si>
  <si>
    <t>judith.klinger@uni-potsdam.de; silke.winst@uni-goettingen.de</t>
  </si>
  <si>
    <t>J B METZLER</t>
  </si>
  <si>
    <t>STUTTGART</t>
  </si>
  <si>
    <t>POSTFACH 10 32 41, D-70028 STUTTGART, GERMANY</t>
  </si>
  <si>
    <t>0049-8653</t>
  </si>
  <si>
    <t>2365-953X</t>
  </si>
  <si>
    <t>LILI</t>
  </si>
  <si>
    <t>Lili-Z. Literaturw. Linguist.</t>
  </si>
  <si>
    <t>10.1007/s41244-023-00285-3</t>
  </si>
  <si>
    <t>Language &amp; Linguistics; Literature</t>
  </si>
  <si>
    <t>Linguistics; Literature</t>
  </si>
  <si>
    <t>R5ZP6</t>
  </si>
  <si>
    <t>WOS:001052758800001</t>
  </si>
  <si>
    <t>Kuttiyathil, MS; Ali, L; Ahmed, OH; Altarawneh, M</t>
  </si>
  <si>
    <t>Kuttiyathil, Mohamed Shafi; Ali, Labeeb; Ahmed, Oday H.; Altarawneh, Mohammednoor</t>
  </si>
  <si>
    <t>Combating toxic emissions from thermal recycling of polymeric fractions laden with novel brominated flame retardants (NBFRs) in e-waste: an in-situ approach using Ca(OH)(2)</t>
  </si>
  <si>
    <t>Novel brominated flame retardants; Pyrolysis; Ca(OH)(2); HBr; Thermal recycling</t>
  </si>
  <si>
    <t>ACRYLONITRILE-BUTADIENE-STYRENE; PRINTED-CIRCUIT BOARDS; FLUIDIZED-BED REACTOR; CA-BASED ADDITIVES; TETRABROMOBISPHENOL-A; NONMETALLIC FRACTIONS; ELECTRONIC WASTE; HIPS-BR; PYROLYSIS; ABS</t>
  </si>
  <si>
    <t>Legacy brominated flame retardants (BFRs) in printed circuit boards are gradually being replaced by novel BFRs (NBFRs). Safe disposal and recycling of polymeric constituents in the polymeric fractions of e-waste necessitate the removal of their toxic and corrosive bromine content. This is currently acquired through thermal recycling operations involving the pyrolysis of BFRs-containing materials with metal oxides. Nonetheless, the debromination capacity toward NBFRs is yet to be established. Thus, this study aims to address these two crucial gaps in the current knowledge pertaining to the plausible formation of brominated toxicants from the thermal decomposition of NBFRs and their thermal recycling potential. Herein, we investigate the pyrolysis of a mixture of 2,4,6-tribromophenol (TBP), allyl 2,4,6-tribromophenyl ether (ATE) and Tetrabromobisphenol A-bis (2,3-dibromo propyl ether) (TBBPA-DBPE) in the presence of acrylonitrile butadiene styrene (ABS) polymers at various loads. To demonstrate a viable debromination route, pyrolysis of NBFRs-ABS mixture with Ca(OH)(2) was also investigated. The latter is a potent debromination agent for legacy BFRs. Upon pyrolysis with Ca(OH)(2), the bromine content in the collected oil was reduced up to 80.49% between 25-500 &amp; DEG;C. Products of the co-pyrolysis process generally feature non-brominated aromatic and aliphatic compounds; a finding that indicates an effective thermal recycling approach. As evident by IC measurements, no HBr emission could be detected when Ca(OH)(2) is added to the mixture. As XRD patterns show, Ca(OH)(2) is partially converted into CaBr2. DFT calculations provide pathways for the observed surface debromination characterized by surface-assisted fission of aromatic C-Br bonds and the formation of CaBr sites. Outcomes reported herein are instrumental to designing and operating a thermal recycling facility of polymeric materials contaminated with high loads of bromine, i.e., most notably during scenarios encountered in the thermal recycling of e-waste.</t>
  </si>
  <si>
    <t>[Kuttiyathil, Mohamed Shafi; Ali, Labeeb; Altarawneh, Mohammednoor] United Arab Emirates Univ, Dept Chem &amp; Petr Engn, Sheikh Khalifa Bin Zayed St, Al Ain 15551, U Arab Emirates; [Ahmed, Oday H.] Al Iraqia Univ, Coll Educ, Dept Phys, Baghdad, Iraq</t>
  </si>
  <si>
    <t>United Arab Emirates University; Al-Iraqia University</t>
  </si>
  <si>
    <t>Altarawneh, M (corresponding author), United Arab Emirates Univ, Dept Chem &amp; Petr Engn, Sheikh Khalifa Bin Zayed St, Al Ain 15551, U Arab Emirates.</t>
  </si>
  <si>
    <t>mn.altarawneh@uaeu.ac.ae</t>
  </si>
  <si>
    <t>Shafi, Mohamed/GZG-3375-2022</t>
  </si>
  <si>
    <t>Shafi, Mohamed/0000-0001-5624-3907</t>
  </si>
  <si>
    <t>10.1007/s11356-023-29428-2</t>
  </si>
  <si>
    <t>R7ZT1</t>
  </si>
  <si>
    <t>WOS:001052843500023</t>
  </si>
  <si>
    <t>Lee, MB; Ju, SH; Ahn, JW</t>
  </si>
  <si>
    <t>Lee, Myung Bok; Ju, Sung Hoo; Ahn, Jae Woo</t>
  </si>
  <si>
    <t>High-Pixel-Density Fine Metal Mask Fabricated by Electroforming of Fe-Ni Alloy onto UV-nanoimprinted Resin Pattern on Si Substrate</t>
  </si>
  <si>
    <t>TRANSACTIONS ON ELECTRICAL AND ELECTRONIC MATERIALS</t>
  </si>
  <si>
    <t>Organic Light-Emitting Diode; Fine Metal Mask; Si Master Mold; Nanoimprint; Electrodeposition</t>
  </si>
  <si>
    <t>A fine metal mask (FMM) used for vacuum evaporation of electroluminescent material in organic light-emitting diode display is demonstrated using UV nanoimprint on Si substrate followed by electrodeposition of Fe-Ni alloy film. The UV nanoimprint was performed with soft polymer molds which have been replicated from V-grooves formed by wet anisotropic etching of Si(100) substrates in KOH aqueous solution. The FMM has high shape reproducibility due to the crystallography of Si single crystal and the aperture size can be easily controlled. The thickness of 5.7 &amp; mu;m and taper angle of 53 &amp; DEG;, much lower than the values of the electroformed FMM demonstrated so far, are effective to prevent the shadow effect. The Fe-Ni electrodeposited film revealed an Invar composition, Fe-36 wt% Ni, by careful optimization of process parameters such as current density and pH. FMMs with pixel densities higher than 1,200 pixels per inch were obtained using the novel method.</t>
  </si>
  <si>
    <t>[Lee, Myung Bok; Ju, Sung Hoo; Ahn, Jae Woo] Daejin Univ, Dept New Mat Engn, Pochon 11159, Gyeonggi, South Korea</t>
  </si>
  <si>
    <t>Daejin University</t>
  </si>
  <si>
    <t>Lee, MB (corresponding author), Daejin Univ, Dept New Mat Engn, Pochon 11159, Gyeonggi, South Korea.</t>
  </si>
  <si>
    <t>mblee3@daejin.ac.kr</t>
  </si>
  <si>
    <t>Gyeonggi-do researcher-centered Ramp;D support project - Gyeonggi Province, Korea [2022-006]</t>
  </si>
  <si>
    <t>Gyeonggi-do researcher-centered Ramp;D support project - Gyeonggi Province, Korea</t>
  </si>
  <si>
    <t>This research was supported by a grant (Code No. 2022-006) from Gyeonggi-do researcher-centered R &amp; D support project funded by Gyeonggi Province, Korea.</t>
  </si>
  <si>
    <t>1229-7607</t>
  </si>
  <si>
    <t>2092-7592</t>
  </si>
  <si>
    <t>TRANS ELECTR ELECTRO</t>
  </si>
  <si>
    <t>Trans. Electr. Electron. Mater.</t>
  </si>
  <si>
    <t>10.1007/s42341-023-00468-2</t>
  </si>
  <si>
    <t>Q2ZJ8</t>
  </si>
  <si>
    <t>WOS:001052516900001</t>
  </si>
  <si>
    <t>Liang, H; Liu, YW; Xu, HT; Yang, Y; He, EJ; Yang, ZJ; Wei, Y; Ji, Y</t>
  </si>
  <si>
    <t>Liang, Huan; Liu, Ya-Wen; Xu, Hong-Tu; Yang, Yang; He, En-Jian; Yang, Zhijun; Wei, Yen; Ji, Yan</t>
  </si>
  <si>
    <t>Thiol-acrylate Catalyst Enabled Post-Synthesis Fabrication of Liquid Crystal Actuators</t>
  </si>
  <si>
    <t>CHINESE JOURNAL OF POLYMER SCIENCE</t>
  </si>
  <si>
    <t>Liquid crystal elastomer; Vitrimer; Covalent adaptable network; Soft actuator</t>
  </si>
  <si>
    <t>ELASTOMERS; 3D</t>
  </si>
  <si>
    <t>Synthesizing orientated liquid crystal elastomers (LCEs) via the two-stage thiol-acrylate Michael addition and photopolymerization (TAMAP) reaction is extensively used. However, excess acrylates, initiators, and strong stimuli are inevitably involved in the second stage crosslinking. Herein, we simplify the strategy through taking advantage of a volatile alkaline (originally added to catalyze the thiol-acrylate addition in the first crosslinking stage). Without excess functional groups, the residual catalyst after annealing is still enough to trigger reactions of dynamic covalent bonds at a relatively mild temperature (80 &amp; DEG;C) to program the alignment of LCEs. The reversible reaction switches off by itself after this process since the catalyst gradually but totally evaporates upon heating. The obtained soft actuators exhibit robust actuation during repeated deformation (over 1000 times). Many shape-morphing modes can be achieved by rationally designing orientation patterns. This strategy not only facilitates the practical synthesis of LCE actuators, but also balances the intrinsic conflict between stability and reprogrammability of exchangeable LCEs. Moreover, the method of applying volatile catalysts has the potential to be extended to other dynamic covalent bonds (DCBs) applied to crosslinked polymer systems.</t>
  </si>
  <si>
    <t>[Liang, Huan; Liu, Ya-Wen; Xu, Hong-Tu; He, En-Jian; Yang, Zhijun; Wei, Yen; Ji, Yan] Tsinghua Univ, Minist Educ, Dept Chem, Key Lab Bioorgan Phosphorus Chem &amp; Chem Biol, Beijing 100084, Peoples R China; [Yang, Yang] Tsinghua Univ, Inst Nucl &amp; New Energy Technol, Beijing 100084, Peoples R China; [Wei, Yen] Chung Yuan Christian Univ, Ctr Nanotechnol, Dept Chem, Taoyuan 32023, Taiwan; [Wei, Yen] Chung Yuan Christian Univ, Inst Biomed Technol, Taoyuan 32023, Taiwan</t>
  </si>
  <si>
    <t>Tsinghua University; Tsinghua University; Chung Yuan Christian University; Chung Yuan Christian University</t>
  </si>
  <si>
    <t>Ji, Y (corresponding author), Tsinghua Univ, Minist Educ, Dept Chem, Key Lab Bioorgan Phosphorus Chem &amp; Chem Biol, Beijing 100084, Peoples R China.</t>
  </si>
  <si>
    <t>jiyan@mail.tsinghua.edu.cn</t>
  </si>
  <si>
    <t>National Natural Science Foundation of China [21674057, 21788102, 51722303]</t>
  </si>
  <si>
    <t>This work was financially supported by the National Natural Science Foundation of China (Nos. 51722303, 21674057 and 21788102).</t>
  </si>
  <si>
    <t>0256-7679</t>
  </si>
  <si>
    <t>1439-6203</t>
  </si>
  <si>
    <t>CHINESE J POLYM SCI</t>
  </si>
  <si>
    <t>Chin. J. Polym. Sci.</t>
  </si>
  <si>
    <t>10.1007/s10118-023-3031-2</t>
  </si>
  <si>
    <t>Q8GY3</t>
  </si>
  <si>
    <t>WOS:001059863500002</t>
  </si>
  <si>
    <t>Liang, Y; Yuan, Q; Wang, DG; Feng, Y; Xu, PF; Zhou, JP</t>
  </si>
  <si>
    <t>Liang, Yuan; Yuan, Quan; Wang, Daoge; Feng, Yong; Xu, Pengfei; Zhou, Jiangping</t>
  </si>
  <si>
    <t>Panacea or placebo? Exploring the causal effects of nonlocal vehicle driving restriction policies on traffic congestion using a difference-in-differences approach</t>
  </si>
  <si>
    <t>TRANSPORTATION</t>
  </si>
  <si>
    <t>Nonlocal driving restriction policy; Traffic demand management; Traffic congestion; Difference-in-differences modeling</t>
  </si>
  <si>
    <t>URBAN AIR-QUALITY; BEHAVIOR</t>
  </si>
  <si>
    <t>Car dependence has been threatening transportation sustainability as it contributes to congestion and associated externalities. In response, various transport policies that restrict the use of private vehicles have been implemented. However, empirical evaluations of such policies' effects on traffic congestion have been limited. To this end, we compile a fine spatiotemporal resolution data set of the floating vehicle-based traffic performance index to examine the effects of a recent nonlocal vehicle driving restriction policy in Shanghai, one of most populous cities in the world. Specifically, we explore whether and how the policy impacted traffic speeds in the short term by employing a quasi-experimental difference-in-differences modeling approach. We find that: (1) In the first month, the policy led to an increase of network-level traffic speeds by 1.47% (0.352 km/h) during evening peak hours (17:00-19:00) but had no significant effect during morning peak hours (7:00-9:00). (2) The policy also helped improve network-level traffic speeds during some unrestricted hours (6:00, 12:00, 14:00, and 20:00), although the impact was marginal. (3) The short-term effects of the policy exhibited heterogeneity across traffic analysis zones. The lower the density of metro stations, the greater the effects. We conclude that driving restrictions for non-local vehicles alone may not significantly reduce congestion, and their effects can differ both temporally and spatially. However, they can have potential positive side effects such as increased purchase and usage of new energy vehicles, owners of which can obtain a local license plate of Shanghai for free.</t>
  </si>
  <si>
    <t>[Liang, Yuan; Yuan, Quan; Feng, Yong; Xu, Pengfei] Tongji Univ, Urban Mobil Inst, 4800 Caoan Rd, Shanghai 201804, Peoples R China; [Yuan, Quan] Tongji Univ, Coll Transportat Engn, Shanghai 201804, Peoples R China; [Wang, Daoge] Jiangsu Univ, Sch Automot &amp; Traff Engn, Zhenjiang 212013, Peoples R China; [Zhou, Jiangping] Univ Hong Kong, Fac Architecture, Dept Urban Planning &amp; Design, Pok Fu Lam, Hong Kong, Peoples R China</t>
  </si>
  <si>
    <t>Tongji University; Tongji University; Jiangsu University; University of Hong Kong</t>
  </si>
  <si>
    <t>Yuan, Q (corresponding author), Tongji Univ, Urban Mobil Inst, 4800 Caoan Rd, Shanghai 201804, Peoples R China.;Yuan, Q (corresponding author), Tongji Univ, Coll Transportat Engn, Shanghai 201804, Peoples R China.</t>
  </si>
  <si>
    <t>quanyuan@tongji.edu.cn</t>
  </si>
  <si>
    <t>Science and Technology Commission of Shanghai Municipality [23692119000]; Fundamental Research Funds for the Central Universities [2023-4-YB-01]</t>
  </si>
  <si>
    <t>Science and Technology Commission of Shanghai Municipality(Science &amp; Technology Commission of Shanghai Municipality (STCSM)); Fundamental Research Funds for the Central Universities(Fundamental Research Funds for the Central Universities)</t>
  </si>
  <si>
    <t>This work was sponsored by the Science and Technology Commission of Shanghai Municipality (Grant ID 23692119000), and Fundamental Research Funds for the Central Universities (Grant ID 2023-4-YB-01).</t>
  </si>
  <si>
    <t>0049-4488</t>
  </si>
  <si>
    <t>1572-9435</t>
  </si>
  <si>
    <t>10.1007/s11116-023-10404-1</t>
  </si>
  <si>
    <t>Engineering, Civil; Transportation; Transportation Science &amp; Technology</t>
  </si>
  <si>
    <t>Engineering; Transportation</t>
  </si>
  <si>
    <t>P7LZ4</t>
  </si>
  <si>
    <t>WOS:001052465300001</t>
  </si>
  <si>
    <t>Lin, K; Zhou, ED; Shi, T; Zhang, SQ; Zhang, JF; Zheng, ZR; Pan, YT; Gao, WT; Yu, YB</t>
  </si>
  <si>
    <t>Lin, Kai; Zhou, Endi; Shi, Ting; Zhang, Siqing; Zhang, Jinfan; Zheng, Ziruo; Pan, Yuetian; Gao, Wentao; Yu, Yabin</t>
  </si>
  <si>
    <t>m6A eraser FTO impairs gemcitabine resistance in pancreatic cancer through influencing NEDD4 mRNA stability by regulating the PTEN/PI3K/AKT pathway</t>
  </si>
  <si>
    <t>FTO; N6-methyladenosine; Pancreatic carcinoma; Proliferation; Gemcitabine resistance</t>
  </si>
  <si>
    <t>ANTITUMOR-ACTIVITY; FAT MASS; INHIBITOR; N-6-METHYLADENOSINE; DEMETHYLASE; EXPRESSION; SUBSTRATE; THERAPY; GEMININ; MK-2206</t>
  </si>
  <si>
    <t>BackgroundGemcitabine resistance has brought great challenges to the treatment of pancreatic cancer. The N6-methyladenosine (m6A) mutation has been shown to have a significant regulatory role in chemosensitivity; however, it is not apparent whether gemcitabine resistance can be regulated by fat mass and obesity-associated protein (FTO).MethodsCells with established gemcitabine resistance and tissues from pancreatic cancer patients were used to evaluate FTO expression. The biological mechanisms of the effects of FTO on gemcitabine resistant cells were investigated using CCK-8, colony formation assay, flow cytometry, and inhibitory concentration 50. Immunoprecipitation/mass spectrometry, MeRIP-seq, RNA sequencing and RIP assays, RNA stability, luciferase reporter, and RNA pull down assays were employed to examine the mechanism of FTO affecting gemcitabine resistant pancreatic cancer cells.ResultsThe results revealed that FTO was substantially expressed in cells and tissues that were resistant to gemcitabine. Functionally, the gemcitabine resistance of pancreatic cancer could be enhanced by FTO, while its depletion inhibited the growth of gemcitabine resistant tumor cells in vivo. Immunoprecipitation/mass spectrometry showed that the FTO protein can be bound to USP7 and deubiquitinated by USP7, leading to the upregulation of FTO. At the same time, FTO knockdown significantly decreased the expression level of NEDD4 in an m6A-dependent manner. RNA pull down and RNA immunoprecipitation verified YTHDF2 as the reader of NEDD4, which promoted the chemoresistance of gemcitabine resistant cells. FTO knockdown markedly increased the PTEN expression level in an NEDD4-dependent manner and influenced the chemosensitivity to gemcitabine through the PI3K/AKT pathway in pancreatic cancer cells.ConclusionIn conclusion, we found that gemcitabine resistance in pancreatic cancer can be influenced by FTO that demethylates NEDD4 RNA in a m6A-dependent manner, which then influences the PTEN expression level and thereby affects the PI3K/AKT pathway. We also identified that the FTO level can be upregulated by USP7.</t>
  </si>
  <si>
    <t>[Lin, Kai] Zhejiang Univ, Sch Med, Affiliated Hangzhou Peoples Hosp 1, Dept Gastrointestinal Surg, Hangzhou, Peoples R China; [Lin, Kai; Zhou, Endi; Zhang, Siqing; Zhang, Jinfan; Zheng, Ziruo; Gao, Wentao] Nanjing Med Univ, Affiliated Hosp 1, Pancreas Ctr, Nanjing, Peoples R China; [Shi, Ting; Yu, Yabin] Nanjing Med Univ, Afliated Huaian Peoples Hosp 1, Dept Hepatobiliary Surg, Huaian, Peoples R China; [Pan, Yuetian] Univ Munich, Med Fac Ludwig Maximilians, Bayern, Germany</t>
  </si>
  <si>
    <t>Zhejiang University; Nanjing Medical University; Nanjing Medical University; University of Munich</t>
  </si>
  <si>
    <t>Gao, WT (corresponding author), Nanjing Med Univ, Affiliated Hosp 1, Pancreas Ctr, Nanjing, Peoples R China.;Yu, YB (corresponding author), Nanjing Med Univ, Afliated Huaian Peoples Hosp 1, Dept Hepatobiliary Surg, Huaian, Peoples R China.</t>
  </si>
  <si>
    <t>seelinc@njmu.edu.cn; yuyabinbin@126.com</t>
  </si>
  <si>
    <t>10.1186/s13046-023-02792-0</t>
  </si>
  <si>
    <t>P8EQ8</t>
  </si>
  <si>
    <t>WOS:001052952300002</t>
  </si>
  <si>
    <t>Liu, GH; Chu, MX; Gong, RF; Zheng, ZH</t>
  </si>
  <si>
    <t>Liu, Guang-hu; Chu, Mao-xiang; Gong, Rong-fen; Zheng, Ze-hao</t>
  </si>
  <si>
    <t>DLF-YOLOF: an improved YOLOF-based surface defect detection for steel plate</t>
  </si>
  <si>
    <t>JOURNAL OF IRON AND STEEL RESEARCH INTERNATIONAL</t>
  </si>
  <si>
    <t>Steel surface defects detection; YOLOF; Anchor-free detector; Small object detection; Real-time detection</t>
  </si>
  <si>
    <t>Surface defects can affect the quality of steel plate. Many methods based on computer vision are currently applied to surface defect detection of steel plate. However, their real-time performance and object detection of small defect are still unsatisfactory. An improved object detection network based on You Only Look One-level Feature (YOLOF) is proposed to show excellent performance in surface defect detection of steel plate, called DLF-YOLOF. First, the anchor-free detector is used to reduce the network hyperparameters. Secondly, deformable convolution network and local spatial attention module are introduced into the feature extraction network to increase the contextual information in the feature maps. Also, the soft non-maximum suppression is used to improve detection accuracy significantly. Finally, data augmentation is performed for small defect objects during training to improve detection accuracy. Experiments show the average precision and average precision for small objects are 42.7% and 33.5% at a detection speed of 62 frames per second on a single GPU, respectively. This shows that DLF-YOLOF has excellent performance to meet the needs of industrial real-time detection.</t>
  </si>
  <si>
    <t>[Liu, Guang-hu; Chu, Mao-xiang; Gong, Rong-fen; Zheng, Ze-hao] Univ Sci &amp; Technol Liaoning, Sch Elect &amp; Informat Engn, Anshan 114051, Liaoning, Peoples R China</t>
  </si>
  <si>
    <t>University of Science &amp; Technology Liaoning</t>
  </si>
  <si>
    <t>Chu, MX; Gong, RF (corresponding author), Univ Sci &amp; Technol Liaoning, Sch Elect &amp; Informat Engn, Anshan 114051, Liaoning, Peoples R China.</t>
  </si>
  <si>
    <t>chu52_2004@163.com; fx_gong@hotmail.com</t>
  </si>
  <si>
    <t>Natural Science Foundation of Liaoning Province [2022-MS-353]; Basic Scientific Research Project of Education Department of Liaoning Province [2020LNZD06, LJKMZ20220640]</t>
  </si>
  <si>
    <t>Natural Science Foundation of Liaoning Province(Natural Science Foundation of Liaoning Province); Basic Scientific Research Project of Education Department of Liaoning Province</t>
  </si>
  <si>
    <t>AcknowledgementsThis paper is supported by the Natural Science Foundation of Liaoning Province (No. 2022-MS-353) and Basic Scientific Research Project of Education Department of Liaoning Province (Nos. 2020LNZD06 and LJKMZ20220640)</t>
  </si>
  <si>
    <t>1006-706X</t>
  </si>
  <si>
    <t>2210-3988</t>
  </si>
  <si>
    <t>J IRON STEEL RES INT</t>
  </si>
  <si>
    <t>J. Iron Steel Res. Int.</t>
  </si>
  <si>
    <t>10.1007/s42243-023-01059-4</t>
  </si>
  <si>
    <t>P6MP0</t>
  </si>
  <si>
    <t>WOS:001051800400001</t>
  </si>
  <si>
    <t>Lo, S; Mahmoudi, E; Fauzi, MB</t>
  </si>
  <si>
    <t>Lo, Samantha; Mahmoudi, Ebrahim; Fauzi, Mh Busra</t>
  </si>
  <si>
    <t>Applications of drug delivery systems, organic, and inorganic nanomaterials in wound healing</t>
  </si>
  <si>
    <t>DISCOVER NANO</t>
  </si>
  <si>
    <t>Nanomaterials; Wound healing; Drug delivery systems; Organic nanomaterials; Inorganic nanomaterials</t>
  </si>
  <si>
    <t>CERIUM OXIDE NANOPARTICLES; GREEN SYNTHESIS; SILVER NANOPARTICLES; POTENTIAL APPLICATIONS; COLLAGEN NANOFIBERS; CUO NANOPARTICLES; CHITOSAN SCAFFOLD; IN-VITRO; CURCUMIN; SKIN</t>
  </si>
  <si>
    <t>The skin is known to be the largest organ in the human body, while also being exposed to environmental elements. This indicates that skin is highly susceptible to physical infliction, as well as damage resulting from medical conditions such as obesity and diabetes. The wound management costs in hospitals and clinics are expected to rise globally over the coming years, which provides pressure for more wound healing aids readily available in the market. Recently, nanomaterials have been gaining traction for their potential applications in various fields, including wound healing. Here, we discuss various inorganic nanoparticles such as silver, titanium dioxide, copper oxide, cerium oxide, MXenes, PLGA, PEG, and silica nanoparticles with their respective roles in improving wound healing progression. In addition, organic nanomaterials for wound healing such as collagen, chitosan, curcumin, dendrimers, graphene and its derivative graphene oxide were also further discussed. Various forms of nanoparticle drug delivery systems like nanohydrogels, nanoliposomes, nanofilms, and nanoemulsions were discussed in their function to deliver therapeutic agents to wound sites in a controlled manner.</t>
  </si>
  <si>
    <t>[Lo, Samantha; Fauzi, Mh Busra] Natl Univ Malaysia, Ctr Tissue Engn &amp; Regenerat Med, Kuala Lumpur, Malaysia; [Mahmoudi, Ebrahim] Natl Univ Malaysia, Fac Engn &amp; Built Environm, Bangi, Selangor, Malaysia</t>
  </si>
  <si>
    <t>Universiti Kebangsaan Malaysia; Universiti Kebangsaan Malaysia</t>
  </si>
  <si>
    <t>Fauzi, MB (corresponding author), Natl Univ Malaysia, Ctr Tissue Engn &amp; Regenerat Med, Kuala Lumpur, Malaysia.</t>
  </si>
  <si>
    <t>fauzibusra@ukm.edu.my</t>
  </si>
  <si>
    <t>Geran Fundamental Fakulti Perubatan (GFFP) under the Faculty of Medicine, Universiti Kebangsaan Malaysia [FF-2021-152]</t>
  </si>
  <si>
    <t>Geran Fundamental Fakulti Perubatan (GFFP) under the Faculty of Medicine, Universiti Kebangsaan Malaysia</t>
  </si>
  <si>
    <t>This research was funded by Geran Fundamental Fakulti Perubatan (GFFP) - Grant Code: FF-2021-152 under the Faculty of Medicine, Universiti Kebangsaan Malaysia.</t>
  </si>
  <si>
    <t>2731-9229</t>
  </si>
  <si>
    <t>DISCOV NANO</t>
  </si>
  <si>
    <t>Discov. Nano.</t>
  </si>
  <si>
    <t>10.1186/s11671-023-03880-y</t>
  </si>
  <si>
    <t>Nanoscience &amp; Nanotechnology; Materials Science, Multidisciplinary; Physics, Applied</t>
  </si>
  <si>
    <t>Science &amp; Technology - Other Topics; Materials Science; Physics</t>
  </si>
  <si>
    <t>P7ZO1</t>
  </si>
  <si>
    <t>WOS:001052818900002</t>
  </si>
  <si>
    <t>Lu, L; Li, MT</t>
  </si>
  <si>
    <t>Lu, Lu; Li, Mengting</t>
  </si>
  <si>
    <t>Development of a virtual interactive system for Dahua Lou loom based on knowledge ontology-driven technology</t>
  </si>
  <si>
    <t>HERITAGE SCIENCE</t>
  </si>
  <si>
    <t>Dahua Lou Loom; Knowledge ontology; Virtual reality; Yunjin weaving; Cultural heritage protection</t>
  </si>
  <si>
    <t>REALITY</t>
  </si>
  <si>
    <t>The Dahua Lou loom, pivotal to Nanjing Yunjin weaving, constitutes an integral part of global intangible cultural heritage. Its intricate weaving technique remains unmatched by modern machinery, marking it as a vital cultural artefact warranting protection. However, current virtual interactive systems grapple with adequately demonstrating its craftsmanship due to limitations like system iteration, multi-system integration, and data interoperability. To address these challenges, this study proposes a method that synergizes knowledge ontology, virtual reality technology, and data-driven design.Knowledge ontology enables enhanced management, reuse, and wide-ranging dissemination of domain knowledge, improving system interoperability. This methodology is utilized in constructing the loom model, animation demonstration, and in integrating it into the virtual interactive system. This multifaceted application of knowledge ontology significantly bolsters the system's efficiency and optimizes its development, maintenance, and integration processes.This research provides crucial advancements in domain knowledge modeling, 3D visualization, and virtual reality interactive systems, playing a significant role in preserving cultural heritage. Despite certain limitations, it offers an immersive, intuitive, and enriched design experience. The study concludes with a critique of the developed system, discussions on the encountered challenges, and future research directions include improving and expanding the knowledge ontology based on the opinions and practical experiences of domain experts, enhancing system compatibility, and conducting broader evaluations.</t>
  </si>
  <si>
    <t>[Lu, Lu; Li, Mengting] Nanjing Forestry Univ, Nanjing 210037, Peoples R China</t>
  </si>
  <si>
    <t>Nanjing Forestry University</t>
  </si>
  <si>
    <t>Li, MT (corresponding author), Nanjing Forestry Univ, Nanjing 210037, Peoples R China.</t>
  </si>
  <si>
    <t>mtlhappylife@gmail.com</t>
  </si>
  <si>
    <t>2050-7445</t>
  </si>
  <si>
    <t>HERIT SCI</t>
  </si>
  <si>
    <t>Herit. Sci.</t>
  </si>
  <si>
    <t>10.1186/s40494-023-01027-x</t>
  </si>
  <si>
    <t>Humanities, Multidisciplinary; Chemistry, Analytical; Materials Science, Multidisciplinary; Spectroscopy</t>
  </si>
  <si>
    <t>Arts &amp; Humanities - Other Topics; Chemistry; Materials Science; Spectroscopy</t>
  </si>
  <si>
    <t>P6QN6</t>
  </si>
  <si>
    <t>WOS:001051903500001</t>
  </si>
  <si>
    <t>Mansinho, A; Cruz, A; Marconi, L; Pinto, C; Augusto, I</t>
  </si>
  <si>
    <t>Mansinho, Andre; Cruz, Andreia; Marconi, Lorenzo; Pinto, Cidalia; Augusto, Isabel</t>
  </si>
  <si>
    <t>Avelumab as First-Line Maintenance Treatment in Locally Advanced or Metastatic Urothelial Carcinoma</t>
  </si>
  <si>
    <t>ADVANCES IN THERAPY</t>
  </si>
  <si>
    <t>Avelumab; Clinical practice guidelines; Locally advanced or metastatic urothelial carcinoma; Maintenance therapy</t>
  </si>
  <si>
    <t>PHASE-III TRIAL; CISPLATIN-INELIGIBLE PATIENTS; EUROPEAN ORGANIZATION; BLADDER-CANCER; SINGLE-ARM; OPEN-LABEL; CHEMOTHERAPY; MULTICENTER; PEMBROLIZUMAB; METHOTREXATE</t>
  </si>
  <si>
    <t>This work provides a summary of guideline recommendations and an expert position on the use of maintenance avelumab therapy based on a review of current international clinical practice guidelines for locally advanced or metastatic urothelial carcinoma (UC). A PubMed literature search was conducted in March 2022 (updated in July 2023) to identify guidelines for locally advanced or metastatic UC. An expert panel (four oncologists and one urologist) reviewed the guidelines and clinical evidence, and discussed practical questions regarding the use of avelumab maintenance therapy in this clinical setting. The National Comprehensive Cancer Network, European Association of Urology and European Society for Medical Oncology guidelines recommend first-line cisplatin-containing chemotherapy for cisplatin-eligible patients, carboplatin-gemcitabine for cisplatin-ineligible patients who are fit for carboplatin, or immunotherapy with programmed death ligand-1 (PD-L1) inhibitors (e.g. atezolizumab) in platinum-ineligible patients. Maintenance avelumab is recommended in patients with response/stable disease following chemotherapy (regardless of PD-L1 status). In patients who relapse after/during chemotherapy, options include immunotherapy, erdafitinib [in those with fibroblast growth factor receptor (FGFR) mutations], enfortumab vedotin or further chemotherapy. The expert panel provided the following practical guidance: (1) consider maintenance avelumab in all eligible patients; (2) continue avelumab until disease progression/unacceptable toxicity; (3) ideally, administer six cycles of platinum-based chemotherapy prior to maintenance avelumab; (4) perform radiological evaluation after four chemotherapy cycles and prior to maintenance avelumab; (5) carboplatin-gemcitabine followed by maintenance avelumab is preferred in cisplatin-ineligible patients (regardless of PD-L1 expression), but consider first-line immunotherapy in PD-L1-positive patients and platinum-ineligible patients (regardless of PD-L1 status); and (6) for patients who relapse on avelumab, second-line options include enfortumab vedotin, FGFR inhibitors (in those with FGFR mutations) or clinical trial inclusion. In conclusion, avelumab maintenance therapy is recommended following platinum-based chemotherapy in all eligible patients with locally advanced or metastatic UC, continued until disease progression or unacceptable toxicity.</t>
  </si>
  <si>
    <t>[Mansinho, Andre] Ctr Hosp Univ Lisboa Norte, Hosp Santa Maria, Ave Prof Egas Moniz, P-1649035 Lisbon, Portugal; [Mansinho, Andre] Univ Lisbon, Fac Med, Inst Med Mol Joao Lobo Antunes, Ave Prof Egas Moniz, P-1649035 Lisbon, Portugal; [Cruz, Andreia] Inst Portugues Oncol Porto, Rua Dr Antonio Bernardino Almeida 865, P-4200072 Porto, Portugal; [Marconi, Lorenzo] Ctr Hosp Univ Coimbra, P-3000075 Coimbra, Portugal; [Pinto, Cidalia] Ctr Hosp Univ Algarve, Hosp Faro, Rua Leao Penedo, P-8000386 Faro, Portugal; [Augusto, Isabel] Ctr Hosp Univ Sao Joao, Alameda Prof Hernani Monteiro, P-4200100 Porto, Portugal; [Augusto, Isabel] Univ Porto, Fac Med, Alameda Prof Hernani Monteiro, P-4200100 Porto, Portugal</t>
  </si>
  <si>
    <t>Instituto Superior de Ciencias da Saude Egas Moniz; Universidade de Lisboa; Hospital Santa Maria; Instituto Superior de Ciencias da Saude Egas Moniz; Universidade de Lisboa; Universidade de Coimbra; Centro Hospitalar e Universitario de Coimbra (CHUC); Universidade do Porto</t>
  </si>
  <si>
    <t>Mansinho, A (corresponding author), Ctr Hosp Univ Lisboa Norte, Hosp Santa Maria, Ave Prof Egas Moniz, P-1649035 Lisbon, Portugal.;Mansinho, A (corresponding author), Univ Lisbon, Fac Med, Inst Med Mol Joao Lobo Antunes, Ave Prof Egas Moniz, P-1649035 Lisbon, Portugal.</t>
  </si>
  <si>
    <t>andre.mansinho@chln.min-saude.pt; andreia.cruz@ipoporto.min-saude.pt; lorenzooliveiramarconi@gmail.com; cmpinto@chalgarve.min-saude.pt; isabel.augusto@chsj.min-saude.pt</t>
  </si>
  <si>
    <t>Marconi, Lorenzo/0000-0001-5376-466X; Mansinho, Andre/0000-0001-8771-0838; Cruz, Andreia/0000-0001-9100-5154</t>
  </si>
  <si>
    <t>Merck-Pfizer Alliance</t>
  </si>
  <si>
    <t>This work was supported by Merck-Pfizer Alliance, who also funded the journal's Rapid Service Fee.</t>
  </si>
  <si>
    <t>0741-238X</t>
  </si>
  <si>
    <t>1865-8652</t>
  </si>
  <si>
    <t>ADV THER</t>
  </si>
  <si>
    <t>Adv. Ther.</t>
  </si>
  <si>
    <t>10.1007/s12325-023-02624-9</t>
  </si>
  <si>
    <t>Medicine, Research &amp; Experimental; Pharmacology &amp; Pharmacy</t>
  </si>
  <si>
    <t>Research &amp; Experimental Medicine; Pharmacology &amp; Pharmacy</t>
  </si>
  <si>
    <t>P7LP4</t>
  </si>
  <si>
    <t>WOS:001052455300002</t>
  </si>
  <si>
    <t>Mojarad, FA; Hesamzadeh, A; Yaghoubi, T</t>
  </si>
  <si>
    <t>Mojarad, Fereshteh Araghian; Hesamzadeh, Ali; Yaghoubi, Tahereh</t>
  </si>
  <si>
    <t>Exploring challenges and facilitators to E-learning based Education of nursing students during Covid-19 pandemic: a qualitative study</t>
  </si>
  <si>
    <t>Challenges; Facilitators; e-learning; Nursing students; COVID-19</t>
  </si>
  <si>
    <t>BackgroundDuring the COVID-19 pandemic, there was a shift to e-learning and online education in educational and learning processes. Research has shown that nursing students who are satisfied with e-learning tend to have better learning outcomes. Therefore, this qualitative study aimed to explore the challenges and facilitators of e-learning for nursing students during the pandemic.MethodsThis qualitative study utilized a content analysis approach. Sixteen participants with nursing education experience were purposively selected and interviewed using a semi-structured format. The data collected were analyzed using the conventional qualitative content analysis approach.ResultsThrough data analysis, two main categories were identified: e-learning challenges and facilitators. The e-learning challenges included subcategories such as inexperienced teachers, ineffective learning, academic cheating, system problems, and inappropriate evaluation. The facilitators included subcategories such as improving education, and promoting online exams.ConclusionsWhile e-learning was adopted as a substitute for in-person education during the COVID-19 pandemic, its implementation involves both challenges and facilitators. By addressing the challenges and optimizing the facilitators of e-learning, nursing schools can successfully adapt to this new mode of education in the post-pandemic era and provide high-quality education to their students.</t>
  </si>
  <si>
    <t>[Mojarad, Fereshteh Araghian; Hesamzadeh, Ali; Yaghoubi, Tahereh] Mazandaran Univ Med Sci, Addict Res Inst, Tradit &amp; Complementary Med Res Ctr, Sari, Iran; [Hesamzadeh, Ali] Mazandaran Univ Med Sci, Behshahr Fac Nursing, Behshahr, Iran</t>
  </si>
  <si>
    <t>Mazandaran University Medical Sciences; Mazandaran University Medical Sciences</t>
  </si>
  <si>
    <t>Yaghoubi, T (corresponding author), Mazandaran Univ Med Sci, Addict Res Inst, Tradit &amp; Complementary Med Res Ctr, Sari, Iran.</t>
  </si>
  <si>
    <t>tyaghubi@gmail.com</t>
  </si>
  <si>
    <t>10.1186/s12912-023-01430-6</t>
  </si>
  <si>
    <t>P6PI3</t>
  </si>
  <si>
    <t>WOS:001051871700001</t>
  </si>
  <si>
    <t>Mumba, MN; Sweeney, A; Jennings, C; Matthews, J; Andrabi, M; Hall, J; Benstead, H</t>
  </si>
  <si>
    <t>Mumba, Mercy Ngosa; Sweeney, Avaleen; Jennings, Claudia; Matthews, Jeremiah; Andrabi, Mudasir; Hall, Jordan; Benstead, Heidi</t>
  </si>
  <si>
    <t>Perceived Educational Needs of Substance Use Peer Support Specialists: A Qualitative Study</t>
  </si>
  <si>
    <t>COMMUNITY MENTAL HEALTH JOURNAL</t>
  </si>
  <si>
    <t>Substance Use Disorder; Peer Support; Education; Training; Mental Health; Behavioral Health</t>
  </si>
  <si>
    <t>UNITED-STATES</t>
  </si>
  <si>
    <t>The opioid crisis is an ever-growing issue nationwide. The role of peer support specialists has received widespread acceptance in the substance use and behavioral health spheres. However, there is a lack of standardization on the training required for peer support specialists to function as competent members of integrated behavioral health teams. We conducted qualitative focus groups with 14 practicing certified peer support specialists to determine their perceived educational needs. Inductive thematic analysis was used to analyze the data and six themes emerged: mental health and suicide prevention training, diversity, equity, and inclusion training, counseling skills training, family systems approach to care training, professionalism training, and taking care of self - mind, soul, and body training. To improve peer support specialists' confidence in their ability to competently perform their jobs, important topics need to be incorporated into their educational training and preparation.</t>
  </si>
  <si>
    <t>[Mumba, Mercy Ngosa; Jennings, Claudia; Andrabi, Mudasir; Hall, Jordan; Benstead, Heidi] Univ Alabama, Capstone Coll Nursing, Ctr Subst Use Res &amp; Related Condit, 650 Univ Blvd East, Tuscaloosa, AL 35401 USA; [Sweeney, Avaleen] Univ Alabama, Dept Psychol, Tuscaloosa, AL USA; [Matthews, Jeremiah] Univ Alabama, Coll Engn, Tuscaloosa, AL USA</t>
  </si>
  <si>
    <t>University of Alabama System; University of Alabama Tuscaloosa; University of Alabama System; University of Alabama Tuscaloosa; University of Alabama System; University of Alabama Tuscaloosa</t>
  </si>
  <si>
    <t>Mumba, MN (corresponding author), Univ Alabama, Capstone Coll Nursing, Ctr Subst Use Res &amp; Related Condit, 650 Univ Blvd East, Tuscaloosa, AL 35401 USA.</t>
  </si>
  <si>
    <t>mnmumba@ua.edu</t>
  </si>
  <si>
    <t>mumba, mercy/0000-0002-9406-1757</t>
  </si>
  <si>
    <t>Health Resources and Services Administration (HRSA) [T26HP39458, M01HP42451]</t>
  </si>
  <si>
    <t>Health Resources and Services Administration (HRSA)(United States Department of Health &amp; Human ServicesUnited States Health Resources &amp; Service Administration (HRSA))</t>
  </si>
  <si>
    <t>The work described in this paper was made possible by funding from the Health Resources and Services Administration (HRSA) Grant #: T26HP39458 and M01HP42451. The views expressed in this work are those of the authors and do not represent the HRSA.</t>
  </si>
  <si>
    <t>0010-3853</t>
  </si>
  <si>
    <t>1573-2789</t>
  </si>
  <si>
    <t>COMMUNITY MENT HLT J</t>
  </si>
  <si>
    <t>Community Ment. Health J.</t>
  </si>
  <si>
    <t>10.1007/s10597-023-01176-0</t>
  </si>
  <si>
    <t>Health Policy &amp; Services; Public, Environmental &amp; Occupational Health; Psychiatry</t>
  </si>
  <si>
    <t>Health Care Sciences &amp; Services; Public, Environmental &amp; Occupational Health; Psychiatry</t>
  </si>
  <si>
    <t>P7NC4</t>
  </si>
  <si>
    <t>WOS:001052494300001</t>
  </si>
  <si>
    <t>Patterson, JK; Thorsten, VR; Eggleston, B; Nolen, T; Lokangaka, A; Tshefu, A; Goudar, SS; Derman, RJ; Chomba, E; Carlo, WA; Mazariegos, M; Krebs, NF; Saleem, S; Goldenberg, RL; Patel, A; Hibberd, PL; Esamai, F; Liechty, EA; Haque, R; Petri, B; Koso-Thomas, M; McClure, EM; Bose, CL; Bauserman, M</t>
  </si>
  <si>
    <t>Patterson, Jackie K.; Thorsten, Vanessa R.; Eggleston, Barry; Nolen, Tracy; Lokangaka, Adrien; Tshefu, Antoinette; Goudar, Shivaprasad S.; Derman, Richard J.; Chomba, Elwyn; Carlo, Waldemar A.; Mazariegos, Manolo; Krebs, Nancy F.; Saleem, Sarah; Goldenberg, Robert L.; Patel, Archana; Hibberd, Patricia L.; Esamai, Fabian; Liechty, Edward A.; Haque, Rashidul; Petri, Bill; Koso-Thomas, Marion; McClure, Elizabeth M.; Bose, Carl L.; Bauserman, Melissa</t>
  </si>
  <si>
    <t>Building a predictive model of low birth weight in low- and middle-income countries: a prospective cohort study</t>
  </si>
  <si>
    <t>Low birth weight; Preterm; Small for gestational age; Low-income country</t>
  </si>
  <si>
    <t>BackgroundLow birth weight (LBW, &lt; 2500 g) infants are at significant risk for death and disability. Improving outcomes for LBW infants requires access to advanced neonatal care, which is a limited resource in low- and middle-income countries (LMICs). Predictive modeling might be useful in LMICs to identify mothers at high-risk of delivering a LBW infant to facilitate referral to centers capable of treating these infants.MethodsWe developed predictive models for LBW using the NICHD Global Network for Women's and Children's Health Research Maternal and Newborn Health Registry. This registry enrolled pregnant women from research sites in the Democratic Republic of the Congo, Zambia, Kenya, Guatemala, India (2 sites: Belagavi, Nagpur), Pakistan, and Bangladesh between January 2017 - December 2020. We tested five predictive models: decision tree, random forest, logistic regression, K-nearest neighbor and support vector machine.ResultsWe report a rate of LBW of 13.8% among the eight Global Network sites from 2017-2020, with a range of 3.8% (Kenya) and approximately 20% (in each Asian site). Of the five models tested, the logistic regression model performed best with an area under the curve of 0.72, an accuracy of 61% and a recall of 72%. All of the top performing models identified clinical site, maternal weight, hypertensive disorders, severe antepartum hemorrhage and antenatal care as key variables in predicting LBW.ConclusionsPredictive modeling can identify women at high risk for delivering a LBW infant with good sensitivity using clinical variables available prior to delivery in LMICs. Such modeling is the first step in the development of a clinical decision support tool to assist providers in decision-making regarding referral of these women prior to delivery. Consistent referral of women at high-risk for delivering a LBW infant could have extensive public health consequences in LMICs by directing limited resources for advanced neonatal care to the infants at highest risk.</t>
  </si>
  <si>
    <t>[Patterson, Jackie K.; Bose, Carl L.; Bauserman, Melissa] Univ N Carolina, Dept Pediat, Chapel Hill Sch Med, 101 Manning Dr, Chapel Hill, NC 27514 USA; [Thorsten, Vanessa R.; Eggleston, Barry; Nolen, Tracy; McClure, Elizabeth M.] RTI Int Res Triangle Pk, Durham, NC USA; [Lokangaka, Adrien; Tshefu, Antoinette] Univ Kinshasa, Kinshasa Sch Publ Hlth, Kinshasa, DEM REP CONGO; [Goudar, Shivaprasad S.] KLE Univ, Jawaharlal Nehru Med Coll, Belagavi, India; [Derman, Richard J.] Thomas Jefferson Univ, Dept Obstet &amp; Gynecol, Philadelphia, PA USA; [Chomba, Elwyn] Univ Teaching Hosp, Lusaka, Zambia; [Carlo, Waldemar A.] Univ Alabama Birmingham, Birmingham, AL USA; [Mazariegos, Manolo] Inst Nutr Cent Amer &amp; Panama, Guatemala City, Guatemala; [Krebs, Nancy F.] Univ Colorado, Sch Med, Aurora, CO USA; [Saleem, Sarah] Aga Khan Univ, Dept Community Hlth Sci, Karachi, Pakistan; [Goldenberg, Robert L.] Columbia Univ, Dept Obstet &amp; Gynecol, New York, NY USA; [Patel, Archana] Nagpur &amp; Datta Meghe Inst Med Sci, Lata Med Res Fdn, Sawangi, India; [Hibberd, Patricia L.] Boston Univ, Sch Publ Hlth, Boston, MA USA; [Esamai, Fabian] Moi Univ, Sch Med, Dept Child Hlth &amp; Paediat, Eldoret, Kenya; [Liechty, Edward A.] Indiana Univ, Sch Med, Indianapolis, IN USA; [Haque, Rashidul] Int Ctr Diarrhoeal Dis Res, Dhaka, Bangladesh; [Petri, Bill] Univ Virginia, Div Infect Dis, Charlottesville, VA USA; [Koso-Thomas, Marion] Eunice Kennedy Shriver Natl Inst Child Hlth &amp; Huma, NIH, Bethesda, MD USA</t>
  </si>
  <si>
    <t>University of North Carolina; University of North Carolina Chapel Hill; Research Triangle Institute; Universite de Kinshasa; K.L.E. Academy of Higher Education &amp; Research; Jawaharlal Nehru Medical College, Belgaum; Jefferson University; University of Zambia; University of Alabama System; University of Alabama Birmingham; Institute of Nutrition of Central America &amp; Panama (INCAP); University of Colorado System; University of Colorado Anschutz Medical Campus; Aga Khan University; Columbia University; Datta Meghe Institute of Higher Education &amp; Research (Deemed to be University); Boston University; Moi University; Indiana University System; Indiana University-Purdue University Indianapolis; International Centre for Diarrhoeal Disease Research (ICDDR); University of Virginia; National Institutes of Health (NIH) - USA; NIH Eunice Kennedy Shriver National Institute of Child Health &amp; Human Development (NICHD)</t>
  </si>
  <si>
    <t>Patterson, JK (corresponding author), Univ N Carolina, Dept Pediat, Chapel Hill Sch Med, 101 Manning Dr, Chapel Hill, NC 27514 USA.</t>
  </si>
  <si>
    <t>jackie_patterson@med.unc.edu</t>
  </si>
  <si>
    <t>McClure, Elizabeth/0000-0001-8659-5444; Nolen, Tracy/0000-0003-2512-343X; Eggleston, Barry/0000-0003-0472-9707; Thorsten, Vanessa/0000-0003-4430-1473</t>
  </si>
  <si>
    <t>10.1186/s12884-023-05866-1</t>
  </si>
  <si>
    <t>P8BE6</t>
  </si>
  <si>
    <t>WOS:001052861400001</t>
  </si>
  <si>
    <t>Rukini, A; Rhamdhani, MA; Brooks, GA; Van den Bulck, A; Van Rompaey, T</t>
  </si>
  <si>
    <t>Rukini, A.; Rhamdhani, M. A.; Brooks, G. A.; Van den Bulck, A.; Van Rompaey, T.</t>
  </si>
  <si>
    <t>Kinetics and Mechanism of Hydrogen Reduction of Lead-Silicate Slag</t>
  </si>
  <si>
    <t>METALLURGICAL AND MATERIALS TRANSACTIONS B-PROCESS METALLURGY AND MATERIALS PROCESSING SCIENCE</t>
  </si>
  <si>
    <t>MELTS; MODEL; GLASS</t>
  </si>
  <si>
    <t>A systematic study on the microstructure evolution and kinetics analysis of PbO-SiO2 slag reduction using hydrogen was conducted. The reduction was carried out on PbO-SiO2 pellets (70 wt pct PbO-30 wt pct SiO2; or 38.6 mol pct PbO and 61.4 mol pct SiO2) using 15 pctH(2)/85 pctN(2) gas, with a flowrate of 500mL/min for various reaction time (30 minutes to 3 hours) isothermally at 300 &amp; DEG;C to 700 &amp; DEG;C. The kinetics and reaction mechanism were assessed by measuring the weight loss over reaction time and applying kinetics models on the data; supported by detailed samples characterizations. The results from microstructure observation show a viscous and blackish glass structure formed on the pellets when the reduction was carried out above softening point (glass transition temperature). This viscous structure appeared to reduce the overall reduction rate. The kinetics analysis shows that the reduction appeared to be a diffusion-controlled process. The activation energy, E-a, was calculated to be 70.7 kJ/mol at temperature range of 300 &amp; DEG;C to 500 &amp; DEG;C; while between 500 &amp; DEG;C and 700 &amp; DEG;C the kinetics were found to decrease with increasing temperature due to the formation of the viscous glass. These results suggest that for a complete reduction in industrial process, the formation of the viscous glassy state should be avoided.</t>
  </si>
  <si>
    <t>[Rukini, A.; Rhamdhani, M. A.; Brooks, G. A.] Swinburne Univ Technol, Fluid &amp; Proc Dynam Grp, Melbourne, Vic 3122, Australia; [Van den Bulck, A.; Van Rompaey, T.] Umicore Corp Res &amp; Dev, B-2250 Olen, Belgium</t>
  </si>
  <si>
    <t>Swinburne University of Technology</t>
  </si>
  <si>
    <t>Rhamdhani, MA (corresponding author), Swinburne Univ Technol, Fluid &amp; Proc Dynam Grp, Melbourne, Vic 3122, Australia.</t>
  </si>
  <si>
    <t>ARhamdhani@swin.edu.au</t>
  </si>
  <si>
    <t>Umicore Belgium; Swinburne University of Technology Australia</t>
  </si>
  <si>
    <t>The authors are grateful to Umicore Belgium and Swinburne University of Technology Australia for providing funding for the current study through joint SUPRA (Swinburne University Postgraduate Research Award) scholarship for PhD study of Asywendi Rukini.</t>
  </si>
  <si>
    <t>1073-5615</t>
  </si>
  <si>
    <t>1543-1916</t>
  </si>
  <si>
    <t>METALL MATER TRANS B</t>
  </si>
  <si>
    <t>Metall. Mater. Trans. B-Proc. Metall. Mater. Proc. Sci.</t>
  </si>
  <si>
    <t>10.1007/s11663-023-02889-z</t>
  </si>
  <si>
    <t>Materials Science, Multidisciplinary; Metallurgy &amp; Metallurgical Engineering</t>
  </si>
  <si>
    <t>Materials Science; Metallurgy &amp; Metallurgical Engineering</t>
  </si>
  <si>
    <t>P7MM9</t>
  </si>
  <si>
    <t>WOS:001052478800002</t>
  </si>
  <si>
    <t>Sankhla, C; Gursahani, R; Shah, N</t>
  </si>
  <si>
    <t>Sankhla, Charulata; Gursahani, Roopkumar; Shah, Nen</t>
  </si>
  <si>
    <t>Progressive supranuclear palsy phenotypic presentation associated with anti MA2 antibody</t>
  </si>
  <si>
    <t>Anti Ma2 antibody; Progressive supranuclear palsy; Paraneoplastic syndrome</t>
  </si>
  <si>
    <t>[Sankhla, Charulata; Gursahani, Roopkumar; Shah, Nen] PD Hinduja Natl Hosp &amp; Med Res Ctr, Dept Neurol, Mumbai, Maharastra, India</t>
  </si>
  <si>
    <t>Sankhla, C (corresponding author), PD Hinduja Natl Hosp &amp; Med Res Ctr, Dept Neurol, Mumbai, Maharastra, India.</t>
  </si>
  <si>
    <t>charusankhla@gmail.com</t>
  </si>
  <si>
    <t>Savant Sankhla, Charulata/0000-0002-8864-5107</t>
  </si>
  <si>
    <t>10.1007/s13760-023-02358-z</t>
  </si>
  <si>
    <t>P7XK2</t>
  </si>
  <si>
    <t>WOS:001052762800001</t>
  </si>
  <si>
    <t>Schmitt, C; Hoefsmit, EP; Fangmeier, T; Kramer, N; Kabakci, C; Gonzalez, JV; Versluis, JM; Compter, A; Harrer, T; Mijocevic, H; Schubert, S; Hundsberger, T; Menzies, AM; Scolyer, RA; Long, GV; French, LE; Blank, CU; Heinzerling, LM</t>
  </si>
  <si>
    <t>Schmitt, C.; Hoefsmit, E. P.; Fangmeier, T.; Kramer, N.; Kabakci, C.; Gonzalez, J. Vera; Versluis, J. M.; Compter, A.; Harrer, T.; Mijocevic, H.; Schubert, S.; Hundsberger, T.; Menzies, A. M.; Scolyer, R. A.; Long, G. V.; French, L. E.; Blank, C. U.; Heinzerling, L. M.</t>
  </si>
  <si>
    <t>Immune checkpoint inhibitor-induced neurotoxicity is not associated with seroprevalence of neurotropic infections</t>
  </si>
  <si>
    <t>Checkpoint-inhibitor; Side effect; Serology; Melanoma</t>
  </si>
  <si>
    <t>ADVERSE EVENTS; MOLECULAR MIMICRY; AUTOIMMUNITY; OUTCOMES</t>
  </si>
  <si>
    <t>BackgroundImmune checkpoint inhibitors (ICI) substantially improve outcome for patients with cancer. However, the majority of patients develops immune-related adverse events (irAEs), which can be persistent and significantly reduce quality of life. Neurological irAEs occur in 1-5% of patients and can induce severe, permanent sequelae or even be fatal. In order to improve the diagnosis and treatment of neurological irAEs and to better understand their pathogenesis, we assessed whether previous neurotropic infections are associated with neurological irAEs.MethodsNeurotropic infections that might predispose to ICI-induced neurological irAEs were analyzed in 61 melanoma patients from 3 countries, the Netherlands, Australia and Germany, including 24 patients with neurotoxicity and 37 control patients. In total, 14 viral, 6 bacterial, and 1 protozoal infections previously reported to trigger neurological pathologies were assessed using routine serology testing. The Dutch and Australian cohorts (NL) included pre-treatment plasma samples of patients treated with neoadjuvant ICI therapy (OpACIN-neo and PRADO trials; NCT02977052). In the Dutch/Australian cohort a total of 11 patients with neurological irAEs were compared to 27 control patients (patients without neurological irAEs). The German cohort (LMU) consisted of serum samples of 13 patients with neurological irAE and 10 control patients without any documented irAE under ICI therapy.ResultsThe association of neurological irAEs with 21 possible preceding infections was assessed by measuring specific antibodies against investigated agents. The seroprevalence of all the tested viral (cytomegalovirus, Epstein-Barr-Virus, varicella-zoster virus, measles, rubella, influenza A and B, human herpes virus 6 and 7, herpes simplex virus 1 and 2, parvovirus B19, hepatitis A and E and human T-lymphotropic virus type 1 and 2), bacterial (Borrelia burgdorferi sensu lato, Campylobacter jejuni, Mycoplasma pneumoniae, Coxiella burnetti, Helicobacter pylori, Yersinia enterocolitica and Y. pseudotuberculosis) and protozoal (Toxoplasma gondii) infections was similar for patients who developed neurological irAEs as compared to control patients. Thus, the analysis provided no evidence for an association of described agents tested for seroprevalence with ICI induced neurotoxicity.ConclusionPrevious viral, bacterial and protozoal neurotropic infections appear not to be associated with the development of neurological irAEs in melanoma patients who underwent therapy with ICI across 3 countries. Further efforts are needed to unravel the factors underlying neurological irAEs in order to identify risk factors for these toxicities, especially with the increasing use of ICI in earlier stage disease.</t>
  </si>
  <si>
    <t>[Schmitt, C.; Fangmeier, T.; Kramer, N.; Kabakci, C.; French, L. E.; Heinzerling, L. M.] Ludwig Maximilians Univ Munchen, Univ Hosp, Dept Dermatol &amp; Allergy, Munich, Germany; [Hoefsmit, E. P.; Blank, C. U.] Netherlands Canc Inst, Dept Mol Oncol &amp; Immunol, Amsterdam, Netherlands; [Heinzerling, L. M.] Uniklinikum Erlangen, Dept Dermatol, Erlangen, Germany; [Gonzalez, J. Vera; Heinzerling, L. M.] Friedrich Alexander Univ FAU Erlangen Nurnberg, Erlangen, Germany; [Versluis, J. M.; Blank, C. U.] Netherlands Canc Inst, Dept Med Oncol, Amsterdam, Netherlands; [Compter, A.] Netherlands Canc Inst, Dept Neurooncol, Amsterdam, Netherlands; [Harrer, T.] Friedrich Alexander Univ Erlangen Nurnberg, Univ klinikum Erlangen, Dept Internal Med 3, Infect Dis &amp; Immunodeficiency Sect, Erlangen, Germany; [Harrer, T.] Friedrich Alexander Univ Erlangen Nurnberg FAU, Deutsch Zentrum Immuntherapie DZI, Erlangen, Germany; [Harrer, T.] Univ klinikum Erlangen, Erlangen, Germany; [Mijocevic, H.; Schubert, S.] Ludwig Maximilians Univ Munchen, Max Pettenkofer Inst Hyg &amp; Med Microbiol, Fac Med, Munich, Germany; [Hundsberger, T.] Cantonal Hosp, Dept Neurol &amp; Med Oncol Haematol, St Gallen, Switzerland; [Menzies, A. M.; Scolyer, R. A.; Long, G. V.] Univ Sydney, Melanoma Inst Australia, Sydney, NSW, Australia; [Menzies, A. M.; Scolyer, R. A.; Long, G. V.] Univ Sydney, Fac Med &amp; Hlth, Sydney, NSW, Australia; [Menzies, A. M.; Long, G. V.] Royal North Shore &amp; Mater Hosp, Dept Med Oncol, Sydney, NSW, Australia; [Scolyer, R. A.; Long, G. V.] Univ Sydney, Charles Perkins Ctr, Sydney, NSW, Australia; [Scolyer, R. A.] Royal Prince Alfred Hosp, Tissue Pathol &amp; Diagnost Oncol, Sydney, NSW, Australia; [French, L. E.] Univ Miami, Miller Sch Med, Dept Dermatol &amp; Cutaneous Surg, Miami, FL USA; [Blank, C. U.] Leiden Univ, Med Ctr, Dept Med Oncol, Leiden, Netherlands</t>
  </si>
  <si>
    <t>University of Munich; Netherlands Cancer Institute; University of Erlangen Nuremberg; University of Erlangen Nuremberg; Netherlands Cancer Institute; Netherlands Cancer Institute; University of Erlangen Nuremberg; University of Erlangen Nuremberg; University of Erlangen Nuremberg; University of Munich; Kantonsspital St. Gallen; Melanoma Institute Australia; University of Sydney; University of Sydney; Royal North Shore Hospital; University of Sydney; University of Sydney; University of Miami; Leiden University - Excl LUMC; Leiden University; Leiden University Medical Center (LUMC)</t>
  </si>
  <si>
    <t>Heinzerling, LM (corresponding author), Ludwig Maximilians Univ Munchen, Univ Hosp, Dept Dermatol &amp; Allergy, Munich, Germany.;Heinzerling, LM (corresponding author), Uniklinikum Erlangen, Dept Dermatol, Erlangen, Germany.;Heinzerling, LM (corresponding author), Friedrich Alexander Univ FAU Erlangen Nurnberg, Erlangen, Germany.</t>
  </si>
  <si>
    <t>Lucie.Heinzerling@med.uni-muenchen.de</t>
  </si>
  <si>
    <t>Hundsberger, Thomas/F-7387-2013; Scolyer, Richard A./AAE-8511-2019</t>
  </si>
  <si>
    <t>Hundsberger, Thomas/0000-0002-4419-2767; Scolyer, Richard A./0000-0002-8991-0013</t>
  </si>
  <si>
    <t>Projekt DEAL; BMBF (Bundesministerium fuer Bildung und Forschung) [01ZX1905E]; Bristol Myers Squibb foundation</t>
  </si>
  <si>
    <t>Projekt DEAL; BMBF (Bundesministerium fuer Bildung und Forschung)(Federal Ministry of Education &amp; Research (BMBF)); Bristol Myers Squibb foundation(Bristol-Myers Squibb)</t>
  </si>
  <si>
    <t>Open Access funding enabled and organized by Projekt DEAL. Funding was approved by BMBF (Bundesministerium fuer Bildung und Forschung) (grant no. 01ZX1905E) for our project MelAutim and by Bristol Myers Squibb foundation for SERIO (Side Effect Registry Immuno-Oncology)</t>
  </si>
  <si>
    <t>10.1007/s00262-023-03498-0</t>
  </si>
  <si>
    <t>P7MM2</t>
  </si>
  <si>
    <t>WOS:001052478100001</t>
  </si>
  <si>
    <t>Simon, J</t>
  </si>
  <si>
    <t>Simon, Julia</t>
  </si>
  <si>
    <t>Problematizing Modern Democracy in the United States: An 'Insurrection of Subjugated Knowledges' in the Wake of the 2020 Presidential Election</t>
  </si>
  <si>
    <t>POLITISCHE VIERTELJAHRESSCHRIFT</t>
  </si>
  <si>
    <t>Democratic backsliding; Governmentality; counter-conduct; Radical right; Conspiracism; Polarization; Subjectivity</t>
  </si>
  <si>
    <t>COUNTER-CONDUCT; RESISTANCE; TRUMP</t>
  </si>
  <si>
    <t>Since Donald Trump's presidency and the diverse efforts to undermine the transfer of power after the 2020 election, the risks of extreme polarization and democratic backsliding in the United States (US) have been highlighted in the literature. Yet the epistemic dimension of these developments remains underresearched. Embedded in a genealogical Foucauldian governmentality/counter-conduct approach, this contribution addresses the puzzle of how election denialism and related (violent) anti-system activity are being rationalized, legitimized, and anchored in political subjectivities as efforts to 'protect' American democracy. This perspective allows to inquire into liberalism's authoritarian potential that can be mobilized through different forms of counter-conduct. The study analytically disentangles these forms based on their prime targets, modes of operation, and the forms of knowledge they rely on. Focusing on the swing state of Arizona, the empirical analysis furthermore highlights the role of the subnational level in interlinking counter-conduct and (autocratizing) governmental practices in a federal system. Conceptually, the study renders visible a profound struggle over the epistemic foundations of the current liberal constitutional and political order that clearly transcends the issue of the 2020 election, Donald Trump, and even the context of the United States. Indeed, similar patterns of subjectivation and counter-conduct can also be detected for example in Germany. Moreover, this paper expands the scope of the concept of counter-conduct to study radical right-wing contestations and related questions of epistemic (in)justice. It thereby seeks to encourage debate on how political science can address the pluralization and polarization of contents, standards, and forms of knowledge as they become relevant to democratic backsliding.</t>
  </si>
  <si>
    <t>[Simon, Julia] Helmut Schmidt Univ Hamburg, Inst Polit Sci, Holstenhofweg 85, D-22043 Hamburg, Germany</t>
  </si>
  <si>
    <t>Simon, J (corresponding author), Helmut Schmidt Univ Hamburg, Inst Polit Sci, Holstenhofweg 85, D-22043 Hamburg, Germany.</t>
  </si>
  <si>
    <t>simonj@hsu-hh.de</t>
  </si>
  <si>
    <t>Simon, Julia/0000-0003-4365-2837</t>
  </si>
  <si>
    <t>0032-3470</t>
  </si>
  <si>
    <t>1862-2860</t>
  </si>
  <si>
    <t>POLIT VIERTELJAHR</t>
  </si>
  <si>
    <t>Polit. Vierteljahresschr.</t>
  </si>
  <si>
    <t>10.1007/s11615-023-00486-y</t>
  </si>
  <si>
    <t>P7MS1</t>
  </si>
  <si>
    <t>WOS:001052484000001</t>
  </si>
  <si>
    <t>Wu, QZ; Meng, ZY; Liu, Q; Zhang, LL; Mao, BH; Wang, C; Zhou, M; Zhang, Z; Yang, DH; Jin, RR; Yi, TY</t>
  </si>
  <si>
    <t>Wu, Qizhen; Meng, Zhaoyan; Liu, Qing; Zhang, Lili; Mao, Baohong; Wang, Cheng; Zhou, Min; Zhang, Zhi; Yang, Dehua; Jin, Ruirui; Yi, Tongying</t>
  </si>
  <si>
    <t>Sleep quality in women with diabetes in pregnancy: a single-center retrospective study</t>
  </si>
  <si>
    <t>Diabetes in pregnancy; Sleep quality; Pittsburg Sleep Quality Index; STOP-BANG questionnaire</t>
  </si>
  <si>
    <t>RISK; DURATION; INDEX; ASSOCIATION; MELLITUS; HYPERTENSION; OUTCOMES; OBESITY</t>
  </si>
  <si>
    <t>PurposeSleep quality is an important indicator of individual quality of life, which not only affects people's mental health but is also closely related to the occurrence of many diseases. Sleep disorders associated with diabetes in pregnancy can greatly endanger the health of both mothers and babies, and their hazards are strongly associated with blood glucose levels. This study explored the quality of sleep and sleep disorders in pregnant women with diabetes.MethodsFrom June 2020 to July 2021, a total of 693 patients diagnosed with diabetes during pregnancy in Gansu Provincial Maternal and Child Health Hospital were used as the experiment group, including 626 patients with gestational diabetes mellitus (GDM) and 67 patients with pregestational diabetes mellitus (PGDM). At the same time, 709 women not having diabetes were randomly selected as the control group. To obtain the general situation of the participants, the participants were surveyed using the Pittsburgh Sleep Quality Index (PSQI) and the STOP-BANG (S, Snoring; T, Tiredness; O, Observed apnea; P, high blood Pressure; B, Body mass index &gt; 35 kg/ m(2); A, Age &gt; 50 years; N, Neck circumference &gt; 40 cm; G, male Gender) questionnaire. The differences in sleep quality and obstructive sleep apnea-hypopnea syndrome (OSAHS) were analyzed between the experiment group and the control group by using chi-square and t-test, and the clinical features and related factors of sleep disorder were analyzed.ResultsCompared with the control group, the age, pre-pregnancy weight, body mass index (BMI), and neck circumference were larger in the experimental group (P &lt; 0.05). The experimental group had higher PSQI scores for sleep quality, time to fall asleep score, sleep duration, sleep efficiency, sleep disorder, and daytime dysfunction than the control group (all P &lt; 0.001). Specific analysis of the clinical features of sleep disorders indicated that the experimental group scored higher than the control group (P &lt; 0.05). The analysis of the types of daytime dysfunction showed that the experiment group scored higher in terms of frequently feeling sleepy and lack of energy to do things than the control group (P &lt; 0.05). Analysis of STOP-BANG scores indicated that the proportion of patients with GDM or PGDM having fatigue, hypertension, BMI &gt; 35 kg/m(2), and neck circumference &gt; 40 cm was higher than that in the control group (P &lt; 0.05). According to regression analysis, sleep quality of patients with GDM was significantly impacted by the increases in age (OR: 1.243, CI:1.197-1.290), neck circumference (OR: 1.350, CI: 1.234-1.476), PSQI score (OR: 2.124, CI:1.656-2.724), and sleep efficiency score (OR: 3.083, CI:1.534-6.195), whereas that of patients with PGDM was impacted by age (OR: 1.191, CI:1.086-1.305), neck circumference (OR: 1.981, CI: 1.469-2.673), and PSQI score (OR: 7.835, CI: 2.383-25.761).ConclusionsPregnant women with diabetes had poorer sleep quality and a higher risk of developing OSAHS than those without diabetes. There may be some link between sleep quality and the onset of diabetic.</t>
  </si>
  <si>
    <t>[Wu, Qizhen; Meng, Zhaoyan; Liu, Qing; Zhang, Lili; Mao, Baohong; Wang, Cheng; Zhou, Min; Zhang, Zhi; Yang, Dehua; Jin, Ruirui; Yi, Tongying] Gansu Prov Matern &amp; Child Care Hosp, 143 North St, Lanzhou City 730050, Gansu Province, Peoples R China</t>
  </si>
  <si>
    <t>Yi, TY (corresponding author), Gansu Prov Matern &amp; Child Care Hosp, 143 North St, Lanzhou City 730050, Gansu Province, Peoples R China.</t>
  </si>
  <si>
    <t>421566129@qq.com</t>
  </si>
  <si>
    <t>10.1186/s12884-023-05905-x</t>
  </si>
  <si>
    <t>WOS:001052861400003</t>
  </si>
  <si>
    <t>Zhu, FZ; Jiang, ZY</t>
  </si>
  <si>
    <t>Zhu, FuZhen; Jiang, ZhaoYin</t>
  </si>
  <si>
    <t>Privacy-preserving routing using jointly established protocol in IoT network environment</t>
  </si>
  <si>
    <t>Privacy preserving; Detection probability; Inter-network; Intra-network; IoT network; Network energy</t>
  </si>
  <si>
    <t>SOURCE-LOCATION PRIVACY; WIRELESS; COMMUNICATION; SCHEME</t>
  </si>
  <si>
    <t>In this paper, network energy assesses the capacity of a node to convey messages to others. In most cases, network energy is created when two nodes interact with one another. If a node is part of the same network as the node it is connecting with, then it will be able to make an inter-network energy connection with the node it is meeting. In the case that this does not take place, there will be an accumulation of energy within the part of the network that is facing the node. A node with higher inter-network energy is considered suitable for forwarding. The energy optimisation is achieved using efficient identification of source and destination pairs. This work has considered two scenarios, i.e. lossless transmission and lossy transmission, for our experiments and evaluated the detection probability. The performance of the proposed PPM is evaluated in terms of delivery ratio, overhead and hops count performance measures. When the buffer size is set to 100 MB, PPM delivers 59% of messages with message overhead of 750 and it has a hop count of 2, which is comparable to the state-of-the-art methods. With lengthy lifetimes of IOT networks, PPM is capable of giving higher performance while maintaining the privacy of network. The detection probability for the lossy observations model is applied to a 10-node, 20-node, 30-node and 40-node IoT network.</t>
  </si>
  <si>
    <t>[Zhu, FuZhen; Jiang, ZhaoYin] Yangzhou Polytech Coll, Sch Informat Engn, Yangzhou, Peoples R China</t>
  </si>
  <si>
    <t>Zhu, FZ (corresponding author), Yangzhou Polytech Coll, Sch Informat Engn, Yangzhou, Peoples R China.</t>
  </si>
  <si>
    <t>101619@yzpc.edu.cn</t>
  </si>
  <si>
    <t>10.1186/s13638-023-02293-w</t>
  </si>
  <si>
    <t>P7PQ6</t>
  </si>
  <si>
    <t>WOS:001052560700001</t>
  </si>
  <si>
    <t>Ahmed, T; Khan, A</t>
  </si>
  <si>
    <t>Ahmed, Taskin; Khan, Abdullah</t>
  </si>
  <si>
    <t>Petrography of Badabagh Member sandstone of Jaisalmer Formation (Western Rajasthan, India): implications for provenance and tectonic setting</t>
  </si>
  <si>
    <t>Petrography; Badabagh Member; Jaisalmer Formation; Provenance; Malani igneous suites</t>
  </si>
  <si>
    <t>NEOGENE SIWALIK SANDSTONE; HIMALAYAN FORELAND BASIN; DEPOSITIONAL ENVIRONMENT; DETRITAL MODES; FORT MEMBER; GRAIN-SIZE; PETROLOGY; QUARTZ; SAND; PETROFACIES</t>
  </si>
  <si>
    <t>Petrographic, and petrofacies investigations were performed on thirty-three samples of medium to fine-grained (mostly fine), moderately to well-sorted sandstone from Bathonian Badabagh Member, Jaisalmer Formation, western Rajasthan, India. The grains are sub-angular to sub-rounded in shape, with some well-rounded quartz grains. The framework composition of sandstone consists mostly of monocrystalline and polycrystalline quartz, low- to high-grade metamorphic and sedimentary rock fragments, as well as subordinate feldspar with low plagioclase to total feldspar ratios and accessory minerals. Petrographic investigations reveal that sandstones from the Badabagh Member of the Jaisalmer Formation are dominantly quartz-arenite with a subordinate amount of sub-litharenite to sub-arkose. The sandstones have abundant metamorphic and sedimentary rock fragments having the former supersede the latter, which is derived from a continental block, recycled orogen provenance of quartzose lithic terrains under tropical humid climate as indicated by weathering index which signifies the moderate hills to low plains relief. The majority of the quartz in the sandstones is undulatory, indicating provenance with lower and middle-upper rank metamorphic affinity. Corroboration of paleocurrent data along with petrographical and sedimentological studies suggests that the Badabagh Member sandstone was predominantly derived from the rocks of Aravalli Delhi Fold Belt (ADFB) and Malani Igneous Suites, which is located to the south and southeast of the basin.</t>
  </si>
  <si>
    <t>[Ahmed, Taskin; Khan, Abdullah] Aligarh Muslim Univ, Dept Geol, Aligarh 202002, Uttar Pradesh, India</t>
  </si>
  <si>
    <t>Ahmed, T (corresponding author), Aligarh Muslim Univ, Dept Geol, Aligarh 202002, Uttar Pradesh, India.</t>
  </si>
  <si>
    <t>mdtashkin81@gmail.com</t>
  </si>
  <si>
    <t>2023 AUG 21</t>
  </si>
  <si>
    <t>10.1007/s43217-023-00147-5</t>
  </si>
  <si>
    <t>P6AN1</t>
  </si>
  <si>
    <t>WOS:001051482600001</t>
  </si>
  <si>
    <t>Cadiere, GB; Himpens, J; Poras, M; Pau, L; Boyer, N; Cadiere, B</t>
  </si>
  <si>
    <t>Cadiere, Guy-Bernard; Himpens, Jacques; Poras, Mathilde; Pau, Luca; Boyer, Nicolas; Cadiere, Benjamin</t>
  </si>
  <si>
    <t>First human surgery using a surgical assistance robotics device for laparoscopic cholecystectomies</t>
  </si>
  <si>
    <t>SURGICAL ENDOSCOPY AND OTHER INTERVENTIONAL TECHNIQUES</t>
  </si>
  <si>
    <t>Laparoscopic robotics; Robotic-assisted cholecystectomy; First in human; Clinical trial; Minimally invasive surgical procedure; Robotic surgical procedures</t>
  </si>
  <si>
    <t>TRIAL</t>
  </si>
  <si>
    <t>BackgroundOver the past 20 years, surgeons involved in soft tissue minimally invasive surgery have experienced the pros and cons of both conventional and tele-robotic laparoscopic approaches. The Maestro System, developed by Moon Surgical (Paris, France) aims to overcome the challenges inherent to both approaches thanks to a new concept that augments the surgeon's performance at the bedside during a laparoscopic procedure.MethodsThe current study aims to present the first human experience with laparoscopic cholecystectomy with the Maestro system on 10 patients.ResultsAll ten procedures were completed successfully. No significant complications related to the use of the Maestro system werenoted.ConclusionOur preliminary observations appear to support the benefits of the Maestro system in non-emergent laparoscopic cholecystectomies. It goes without saying that further research is necessary to demonstrate the safety of this approach in other procedures.</t>
  </si>
  <si>
    <t>[Cadiere, Guy-Bernard; Himpens, Jacques; Poras, Mathilde; Pau, Luca; Boyer, Nicolas] Hop Univ St Pierre, Digest Surg, ULB, Brussels, Belgium; [Cadiere, Benjamin] Digest Surg Inst Tzanck, St Laurent Du Var, France; [Poras, Mathilde] CHU St Pierre, Brussels, Belgium</t>
  </si>
  <si>
    <t>Universite Libre de Bruxelles; Vrije Universiteit Brussel; Universite Libre de Bruxelles; Vrije Universiteit Brussel</t>
  </si>
  <si>
    <t>Poras, M (corresponding author), Hop Univ St Pierre, Digest Surg, ULB, Brussels, Belgium.;Poras, M (corresponding author), CHU St Pierre, Brussels, Belgium.</t>
  </si>
  <si>
    <t>mathilde.poras@stpierre-bru.be</t>
  </si>
  <si>
    <t>Moon Surgical SAS (FR)</t>
  </si>
  <si>
    <t>This research was supported by Moon Surgical SAS (FR).</t>
  </si>
  <si>
    <t>0930-2794</t>
  </si>
  <si>
    <t>1432-2218</t>
  </si>
  <si>
    <t>SURG ENDOSC</t>
  </si>
  <si>
    <t>Surg. Endosc.</t>
  </si>
  <si>
    <t>10.1007/s00464-023-10296-3</t>
  </si>
  <si>
    <t>P7NN8</t>
  </si>
  <si>
    <t>WOS:001052505700001</t>
  </si>
  <si>
    <t>Calandrelli, R; Tuzza, L; Romeo, DM; Arpaia, C; Colosimo, C; Pilato, F</t>
  </si>
  <si>
    <t>Calandrelli, Rosalinda; Tuzza, Laura; Romeo, Domenico Marco; Arpaia, Chiara; Colosimo, Cesare; Pilato, Fabio</t>
  </si>
  <si>
    <t>Extremely Preterm Infants with a Near-total Absence of Cerebellum: Usefulness of Quantitative Magnetic Resonance in Predicting the Motor Outcome</t>
  </si>
  <si>
    <t>Extremely preterm infants; Near-total absence of cerebellum; MRI; Visual and volumetric scoring systems</t>
  </si>
  <si>
    <t>POSTERIOR CRANIAL FOSSA; BRAIN-INJURY; PREMATURE-INFANT; NEONATAL MRI; CHILDREN; ABNORMALITIES; HEMORRHAGE; HYPOPLASIA; HISTORY; ATROPHY</t>
  </si>
  <si>
    <t>This study aims to evaluate in extremely premature infants the severity of brain structural injury causing total absence or near-total absence of cerebellar hemispheres by using MRI visual and volumetric scoring systems. It also aims to assess the role of the score systems in predicting motor outcome. We developed qualitative and quantitative MRI scoring systems to grade the overall brain damage severity in 16 infants with total absence or near-total absence of cerebellar hemispheres. The qualitative scoring system assessed the severity of macrostructural abnormalities of cerebellum, brainstem, supratentorial gray and white matters, ventricles while the quantitative scoring system weighted the loss of brain tissue volumes, and gross motor function classification system (GMFCS) was used to assess motor function at 1- and 5-year follow-ups.Positive correlations between both MRI scores and GMFCS scales were detected at follow-ups (p &gt; 0.05), but only the volumetric score could identify those infants developing higher levels of motor impairment.Brain volumetric MRI offers an unbiassed assessment of prenatal brain damage. The quantitative scoring system, performed at term equivalent age, can be a helpful tool for predicting the long-term motor outcome in extremely preterm infants with a near-total absence of cerebellum.</t>
  </si>
  <si>
    <t>[Calandrelli, Rosalinda; Tuzza, Laura; Colosimo, Cesare] Fdn Policlin Univ Agostino Gemelli IRCCS, Dept Imaging Radiat Therapy &amp; Hematol, Radiol &amp; Neuroradiol Unit, Largo A Gemelli 1, I-00168 Rome, Italy; [Romeo, Domenico Marco; Arpaia, Chiara] Fdn Policlin Univ A Gemelli IRCCS, Pediat Neurol Unit, I-00168 Rome, Italy; [Romeo, Domenico Marco; Arpaia, Chiara] Univ Cattolica Sacro Cuore, Pediat Neurol Unit, I-00168 Rome, Italy; [Colosimo, Cesare] Univ Cattolica Sacro Cuore, Ist Radiol, Rome, Italy; [Pilato, Fabio] Univ Campus Biomed Roma, Dept Med &amp; Surg, Res Unit Neurol, Via Alvaro Portillo,21, I-00128 Rome, Italy; [Pilato, Fabio] Fdn Policlin Univ Campus Biomed, Via Alvaro Portillo,200, I-00128 Rome, Italy</t>
  </si>
  <si>
    <t>Catholic University of the Sacred Heart; IRCCS Policlinico Gemelli; Catholic University of the Sacred Heart; IRCCS Policlinico Gemelli; Catholic University of the Sacred Heart; IRCCS Policlinico Gemelli; Catholic University of the Sacred Heart; IRCCS Policlinico Gemelli; University Campus Bio-Medico - Rome Italy; Fondazione Policlinico Universitario Campus Bio-Medico</t>
  </si>
  <si>
    <t>Calandrelli, R (corresponding author), Fdn Policlin Univ Agostino Gemelli IRCCS, Dept Imaging Radiat Therapy &amp; Hematol, Radiol &amp; Neuroradiol Unit, Largo A Gemelli 1, I-00168 Rome, Italy.</t>
  </si>
  <si>
    <t>rosalinda.calandrelli@policlinicogemelli.it</t>
  </si>
  <si>
    <t>10.1007/s12311-023-01593-7</t>
  </si>
  <si>
    <t>P6UF0</t>
  </si>
  <si>
    <t>WOS:001051999000001</t>
  </si>
  <si>
    <t>Chen, CW; Bao, W; Chen, CW; Chen, LY; Wang, LD; Gong, HB</t>
  </si>
  <si>
    <t>Chen, Chunwei; Bao, Wei; Chen, Chengwen; Chen, Lingyao; Wang, Liudi; Gong, Haibin</t>
  </si>
  <si>
    <t>Association between estimated pulse wave velocity and all-cause mortality in patients with coronary artery disease: a cohort study from NHANES 2005-2008</t>
  </si>
  <si>
    <t>Estimated pulse wave velocity; Coronary artery disease; Risk factors; All cause mortality</t>
  </si>
  <si>
    <t>CARDIOVASCULAR RISK-FACTORS; PROGNOSTIC VALUE; STIFFNESS; POPULATION; PREDICTION; PREVENTION; BIOMARKERS; EVENTS; INDEX</t>
  </si>
  <si>
    <t>BackgroundArterial stiffness has been shown to be an independent risk factor for adverse events and all-cause mortality in patients. Although PWV is the gold standard for pulse wave velocity, its application in clinical practice is limited by the high cost and complexity. ePwv is a new, simple, non-invasive indicator of arterial stiffness. The aim of this study was to assess the relationship between ePwv and all-cause mortality in patients with coronary artery disease.MethodsThis is a cohort study, selected from NHANES 2005 to 2008, 402 patients with coronary artery disease were included. The ePWV was divided into two groups and KM survival curves were used to calculate cumulative mortality in patients with coronary artery disease. Restricted cubic spline were used to represent the relationship between ePWV and all-cause mortality in patients with coronary artery disease. Cox regression was used to diagnose the relationship between ePwv and all-cause mortality.ResultsThe mean age of the study subjects was 68.5 &amp; PLUSMN; 11.8 years, of which 282 (70.1%) were men and 120 (29.9%) were women. During 180 months of follow-up, 160 all-cause mortality occurred. KM survival curves indicated that all-cause mortality increased with increasing ePWV. The relationship between ePWV and all-cause mortality in patients with coronary artery disease was verified by cox models. Patients in higher ePWV tertile tended to have higher all-cause mortality. After complete multivariate adjustment, an increase in ePWV was positively associated with all-cause mortality (HR = 1.180, 95% confidence interval (CI): 1.056-1.320). The multivariate-adjusted HR and 95% CI for the highest ePWV tertile was 1.582 (95% CI: 0.968-2.587) compared to the lowest tertile. In addition, the association between ePWV and mortality was visualized employing restricted spline curves, in which we found curves indicating a possible threshold for the effect of ePWV on all-cause mortality, with HR less than 1 when ePWV was less than 11.15 m/s; thereafter, there was a tendency for HR to increase with enhanced ePWV. Subgroup analysis showed that the correlation between ePWV and mortality persisted in population subgroups.ConclusionOur findings suggest that higher ePWV is associated with increased all-cause mortality in patients with coronary artery disease, particularly when ePWV exceeds 11.15 m/s.</t>
  </si>
  <si>
    <t>[Chen, Chunwei; Bao, Wei; Chen, Chengwen; Chen, Lingyao; Wang, Liudi] Xuzhou Med Univ, Grad Sch, Xuzhou, Jiangsu, Peoples R China; [Chen, Chunwei; Chen, Lingyao; Wang, Liudi; Gong, Haibin] Xuzhou Med Univ, XuZhou Clin Sch, Xuzhou, Jiangsu, Peoples R China; [Gong, Haibin] Xuzhou Cardiovasc Dis Inst, Xuzhou, Jiangsu, Peoples R China</t>
  </si>
  <si>
    <t>Gong, HB (corresponding author), Xuzhou Med Univ, XuZhou Clin Sch, Xuzhou, Jiangsu, Peoples R China.;Gong, HB (corresponding author), Xuzhou Cardiovasc Dis Inst, Xuzhou, Jiangsu, Peoples R China.</t>
  </si>
  <si>
    <t>2420226596@qq.com</t>
  </si>
  <si>
    <t>AUG 21</t>
  </si>
  <si>
    <t>10.1186/s12872-023-03435-0</t>
  </si>
  <si>
    <t>P7AO0</t>
  </si>
  <si>
    <t>WOS:001052164700001</t>
  </si>
  <si>
    <t>Chi, DW; Tao, J; Hu, YL; Wang, HT; Wang, ZY; Xu, YF</t>
  </si>
  <si>
    <t>Chi, Dingwen; Tao, Jun; Hu, Yulai; Wang, Haotian; Wang, Zuyan; Xu, Yifan</t>
  </si>
  <si>
    <t>AUV-assisted information collection scheme with energy balance and low delay of underwater things</t>
  </si>
  <si>
    <t>WIRELESS NETWORKS</t>
  </si>
  <si>
    <t>Underwater acoustic sensing networks; Mobility model; Data collection; Random geometry; AUV; Trajectory planning</t>
  </si>
  <si>
    <t>EFFICIENT DATA-COLLECTION; PREDICTION; INTERNET</t>
  </si>
  <si>
    <t>Exploring underwater acoustic sensing networks to detect and monitor ocean characteristics provides a novel approach for marine environment monitoring, disaster warning and resource exploration. However, factors such as underwater acoustic communication, ocean currents and sensor power prevent the direct adoption of terrestrial wireless sensing networks. Moreover, most previous studies have simply increased the number of nodes while ignoring the interference caused by high node density. In this paper, data collection in an offshore tidal scenario is investigated by table forwarding based election (TFBE) scheme. To balance node energy and reduce energy consumption of autonomous underwater vehicles (AUVs), the improved algorithm (TFBE-A) is proposed. Meanwhile, in this scheme, we adopt AUVs to assist in collecting and put forward a 3D precision adjustable trajectory planning (3DPATP) algorithm. To better perform 3DPATP, the maximum minimum error estimation algorithm is presented to simplify the computer operations. Additionally, we study the probability distribution function of nodes in space, providing a foundation for arranging nodes and optimizing topology. Simulation results indicate that our algorithm outperforms compared strategies, particularly in latency and energy consumption.</t>
  </si>
  <si>
    <t>[Chi, Dingwen; Tao, Jun; Hu, Yulai; Wang, Haotian; Wang, Zuyan; Xu, Yifan] Southeast Univ, Sch Cyber Sci &amp; Engn, Nanjing 211189, Jiangsu, Peoples R China; [Chi, Dingwen; Tao, Jun; Hu, Yulai; Wang, Haotian; Wang, Zuyan; Xu, Yifan] Southeast Univ, Key Lab CNII, MOE, Nanjing 211189, Jiangsu, Peoples R China; [Tao, Jun] Purple Mt Labs Network &amp; Commun Secur, Nanjing 211111, Jiangsu, Peoples R China</t>
  </si>
  <si>
    <t>Southeast University - China; Southeast University - China</t>
  </si>
  <si>
    <t>Tao, J (corresponding author), Southeast Univ, Sch Cyber Sci &amp; Engn, Nanjing 211189, Jiangsu, Peoples R China.;Tao, J (corresponding author), Southeast Univ, Key Lab CNII, MOE, Nanjing 211189, Jiangsu, Peoples R China.;Tao, J (corresponding author), Purple Mt Labs Network &amp; Commun Secur, Nanjing 211111, Jiangsu, Peoples R China.</t>
  </si>
  <si>
    <t>dwchi@seu.edu.cn; juntao@seu.edu.cn; yl_hu@seu.edu.cn; haotianwang@seu.edu.cn; zywang92@seu.edu.cn; xyf@seu.edu.cn</t>
  </si>
  <si>
    <t>1022-0038</t>
  </si>
  <si>
    <t>1572-8196</t>
  </si>
  <si>
    <t>WIREL NETW</t>
  </si>
  <si>
    <t>Wirel. Netw.</t>
  </si>
  <si>
    <t>10.1007/s11276-023-03454-x</t>
  </si>
  <si>
    <t>Computer Science, Information Systems; Engineering, Electrical &amp; Electronic; Telecommunications</t>
  </si>
  <si>
    <t>Computer Science; Engineering; Telecommunications</t>
  </si>
  <si>
    <t>P7NT9</t>
  </si>
  <si>
    <t>WOS:001052511800005</t>
  </si>
  <si>
    <t>Ciliberto, C; Flamini, F; Knutsen, AL</t>
  </si>
  <si>
    <t>Ciliberto, Ciro; Flamini, Flaminio; Knutsen, Andreas Leopold</t>
  </si>
  <si>
    <t>Elliptic curves, ACM bundles and Ulrich bundles on prime Fano threefolds</t>
  </si>
  <si>
    <t>COLLECTANEA MATHEMATICA</t>
  </si>
  <si>
    <t>DEL PEZZO THREEFOLD; MODULI SPACES; VECTOR-BUNDLES; RANK-2; SHEAVES</t>
  </si>
  <si>
    <t>Let X be any smooth prime Fano threefold of degree 2g-2 in Pg+1, with g ? {3, ... , 10, 12}. We prove that for any integer d satisfying [ g+3/2 ] = d = g +3 the Hilbert scheme parametrizing smooth irreducible elliptic curves of degree d in X is nonempty and has a component of dimension d, which is furthermore reduced except for the case when (g, d) = (4, 3) and X is contained in a singular quadric. Consequently, we deduce that the moduli space of rank-two slope-stable ACM bundles F-d on X such that det(F-d) = O-X(1), c(2)(F-d) . O-X(1) = d and h(0)(F-d(-1)) = 0 is nonempty and has a component of dimension 2d - g - 2, which is furthermore reduced except for the case when (g, d) = (4, 3) and X is contained in a singular quadric. This completes the classification of rank-two ACM bundles on prime Fano three folds. Secondly, we prove that for every h ? Z(+) the moduli space of stable Ulrich bundles e of rank 2h and determinant O-X (3h) on X is nonempty and has a reduced component of dimension h(2)(g + 3) + 1; this result is optimal in the sense that there are no other Ulrich bundles occurring on X. This in particular shows that any prime Fano threefold is Ulrich wild.</t>
  </si>
  <si>
    <t>[Ciliberto, Ciro; Flamini, Flaminio] Univ Roma Tor Vergata, Dipartimento Matemat, Via Ric Sci, I-00173 Rome, Italy; [Knutsen, Andreas Leopold] Univ Bergen, Dept Math, Postboks 7800, N-5020 Bergen, Norway</t>
  </si>
  <si>
    <t>University of Rome Tor Vergata; University of Bergen</t>
  </si>
  <si>
    <t>Knutsen, AL (corresponding author), Univ Bergen, Dept Math, Postboks 7800, N-5020 Bergen, Norway.</t>
  </si>
  <si>
    <t>cilibert@mat.uniroma2.it; flamini@mat.uniroma2.it; andreas.knutsen@math.uib.no</t>
  </si>
  <si>
    <t>Flamini, Flaminio/D-9941-2013</t>
  </si>
  <si>
    <t>Flamini, Flaminio/0000-0001-6111-8529</t>
  </si>
  <si>
    <t>Istituto Nazionale di Alta Matematica F. Severi; MIUR Excellence Department Project [CUP E83C18000100006]; Meltzer Research Fund; Trond Mohn Foundation Project Pure Mathematics in Norway [261756]; Research Council of Norway</t>
  </si>
  <si>
    <t>Istituto Nazionale di Alta Matematica F. Severi; MIUR Excellence Department Project(Ministry of Education, Universities and Research (MIUR)); Meltzer Research Fund; Trond Mohn Foundation Project Pure Mathematics in Norway; Research Council of Norway(Research Council of Norway)</t>
  </si>
  <si>
    <t>C.~Ciliberto and F.~Flamini are members of GNSAGA of the Istituto Nazionale di Alta Matematica F. Severi and acknowledge support from the MIUR Excellence Department Project awarded to the Department of Mathematics, University of Rome Tor Vergata, CUP E83C18000100006. A.~L.~Knutsen acknowledges support from the Meltzer Research Fund, the Trond Mohn Foundation Project Pure Mathematics in Norway and grant 261756 of the Research Council of Norway.</t>
  </si>
  <si>
    <t>0010-0757</t>
  </si>
  <si>
    <t>2038-4815</t>
  </si>
  <si>
    <t>COLLECT MATH</t>
  </si>
  <si>
    <t>Collect. Math.</t>
  </si>
  <si>
    <t>10.1007/s13348-023-00413-9</t>
  </si>
  <si>
    <t>P7OP6</t>
  </si>
  <si>
    <t>WOS:001052533700002</t>
  </si>
  <si>
    <t>Cradit, NW; Aguinaga, J; Hayward, C</t>
  </si>
  <si>
    <t>Cradit, Nathaniel W.; Aguinaga, Jacob; Hayward, Caitlin</t>
  </si>
  <si>
    <t>Surveying the (Virtual) Landscape: A scoping review of XR in postsecondary learning environments</t>
  </si>
  <si>
    <t>XR; Extended reality; Higher education; Scoping review</t>
  </si>
  <si>
    <t>AUGMENTED REALITY; UNIVERSITY-STUDENTS</t>
  </si>
  <si>
    <t>As extended reality (XR) technologies become more prevalent in postsecondary learning environments around the world, this study offers a scoping review of published research on the topic. By leveraging a theoretical framework to examine data across the various domains comprising extended reality (i.e., augmented, mixed, and virtual reality), this study offers a uniquely comprehensive understanding of the implications and outcomes of multiple types of technology. Data were gathered from 88 publications with 46 meeting inclusion criteria. Literature sources included EBSCOHost, ERIC, ProQuest, PsycInfo, Web of Science, and WorldCat, and were analyzed using a PRISMA structure. The objective of this study was to chart the evidence and gaps in empirical understanding of XR in postsecondary learning, including effectiveness, implementation, technologies, affordances, limitations, accessibility, and the methodologies and locations of XR research. Notable findings included mixed evidence of XR's effectiveness as a postsecondary learning technology, clear limitations regarding required institutional infrastructure and support, and predominance of both headset technology and non-generalizable methodologies in existing research. The study also generated three key implications for future XR research: investigations of accessibility for diverse learners, studies designed to produce generalizable findings on learning effectiveness, and explorations of learning-driven XR implementation.</t>
  </si>
  <si>
    <t>[Cradit, Nathaniel W.; Aguinaga, Jacob; Hayward, Caitlin] Univ Michigan, Ctr Acad Innovat, 317 Maynard St, Ann Arbor, MI 48104 USA</t>
  </si>
  <si>
    <t>University of Michigan System; University of Michigan</t>
  </si>
  <si>
    <t>Cradit, NW (corresponding author), Univ Michigan, Ctr Acad Innovat, 317 Maynard St, Ann Arbor, MI 48104 USA.</t>
  </si>
  <si>
    <t>ncradit@umich.edu; jmagu@umich.edu; cholma@umich.edu</t>
  </si>
  <si>
    <t>Cradit, Nathaniel/0009-0004-8972-9005</t>
  </si>
  <si>
    <t>10.1007/s10639-023-12141-5</t>
  </si>
  <si>
    <t>P5NT3</t>
  </si>
  <si>
    <t>WOS:001051149600001</t>
  </si>
  <si>
    <t>El Anshasy, AA; Shamsuddin, M; Katsaiti, MS</t>
  </si>
  <si>
    <t>El Anshasy, Amany A.; Shamsuddin, Mrittika; Katsaiti, Marina-Selini</t>
  </si>
  <si>
    <t>Financial Wellbeing and International Migration Intentions: Evidence from Global Surveys</t>
  </si>
  <si>
    <t>JOURNAL OF HAPPINESS STUDIES</t>
  </si>
  <si>
    <t>Subjective financial well-being; Relative deprivation; International migration intentions; Gallup world poll</t>
  </si>
  <si>
    <t>RELATIVE DEPRIVATION; SATISFACTION; INCOME; INEQUALITY; HAPPINESS; PARADOX</t>
  </si>
  <si>
    <t>This paper investigates the role of subjective financial wellbeing (FWB) in international migration. A large body of literature established that higher relative income deprivation motivates migration. Most of this literature emphasizes income-based measures of relative deprivation (RD) and neglects to account for subjective perceptions of financial and economic wellbeing. We draw on rich global surveys from the Gallup World Poll (GWP) between 2009 and 2018, across 151 countries. Employing a range of indicators, after controlling for initial absolute income, we find that international migration intentions are not only positively related to income-based RD, but also to having unfavorable relative perceptions of financial and economic well-being. This suggests that both objective and subjective elements of FWB can reinforce migration desires. This relationship is not monotone throughout the income distribution. Richer individuals have higher propensity to migrate when pessimistic about future economic and financial prosperity. As would be expected, income-based RD appears to have a lesser effect on those in the top income quintile than it does on poorer people. Our results are robust to using different income-based and subjective FWB indicators, controlling for individual characteristics, country and time effects, and addressing endogeneity of both income and perceptions.</t>
  </si>
  <si>
    <t>[El Anshasy, Amany A.] United Arab Emirates Univ, Coll Business &amp; Econ, Dept Econ &amp; Finance, POB 15551, Abu Dhabi, U Arab Emirates; [Shamsuddin, Mrittika] Dalhousie Univ, Dept Econ, 6214 Univ Ave,POB 15000, Halifax, NS B3H 4R2, Canada; [Katsaiti, Marina-Selini] Agr Univ Athens, Athens, Greece; [Katsaiti, Marina-Selini] United Arab Emirates Univ, Al Ain, U Arab Emirates; [Katsaiti, Marina-Selini] Hellen Open Univ, Patras, Greece</t>
  </si>
  <si>
    <t>United Arab Emirates University; Dalhousie University; Agricultural University of Athens; United Arab Emirates University; Hellenic Open University</t>
  </si>
  <si>
    <t>El Anshasy, AA (corresponding author), United Arab Emirates Univ, Coll Business &amp; Econ, Dept Econ &amp; Finance, POB 15551, Abu Dhabi, U Arab Emirates.</t>
  </si>
  <si>
    <t>aelanshasy@uaeu.ac.ae; Mrittika.Shamsuddin@dal.ca; mskatsaiti@aua.gr</t>
  </si>
  <si>
    <t>1389-4978</t>
  </si>
  <si>
    <t>1573-7780</t>
  </si>
  <si>
    <t>J HAPPINESS STUD</t>
  </si>
  <si>
    <t>J. Happiness Stud.</t>
  </si>
  <si>
    <t>10.1007/s10902-023-00679-7</t>
  </si>
  <si>
    <t>Psychology, Multidisciplinary; Social Sciences, Interdisciplinary</t>
  </si>
  <si>
    <t>Psychology; Social Sciences - Other Topics</t>
  </si>
  <si>
    <t>S2ZU9</t>
  </si>
  <si>
    <t>WOS:001051992000001</t>
  </si>
  <si>
    <t>Flavie, CC; Daigneault, I; Lecomte, T; Francoeur, A; Brassard, A</t>
  </si>
  <si>
    <t>Flavie, Cossette-Cote; Daigneault, Isabelle; Lecomte, Tania; Francoeur, Audrey; Brassard, Audrey</t>
  </si>
  <si>
    <t>Explaining the Association Between Childhood Maltreatment and Psychological Adjustment in Youth in a Romantic Relationship (jul, 10.1007/s40653-023-00562-w, 2023)</t>
  </si>
  <si>
    <t>JOURNAL OF CHILD &amp; ADOLESCENT TRAUMA</t>
  </si>
  <si>
    <t>[Flavie, Cossette-Cote; Daigneault, Isabelle; Lecomte, Tania; Francoeur, Audrey] Univ Montreal, Psychol Dept, 90 Vincent DIndy Ave, Montreal, PQ H2V 2S9, Canada; [Brassard, Audrey] Univ Sherbrooke, Psychol Dept, 2500,Blvd Univ Sherbrooke, Sherbrooke, PQ J1K 2R1, Canada</t>
  </si>
  <si>
    <t>Universite de Montreal; University of Sherbrooke</t>
  </si>
  <si>
    <t>Flavie, CC (corresponding author), Univ Montreal, Psychol Dept, 90 Vincent DIndy Ave, Montreal, PQ H2V 2S9, Canada.</t>
  </si>
  <si>
    <t>flavie.cossette-cote@umontreal.ca</t>
  </si>
  <si>
    <t>1936-1521</t>
  </si>
  <si>
    <t>1936-153X</t>
  </si>
  <si>
    <t>J CHILD ADOLES TRAUM</t>
  </si>
  <si>
    <t>J. Child Adolesc. Trauma</t>
  </si>
  <si>
    <t>10.1007/s40653-023-00565-7</t>
  </si>
  <si>
    <t>Family Studies; Social Work</t>
  </si>
  <si>
    <t>P7NL8</t>
  </si>
  <si>
    <t>WOS:001052503700002</t>
  </si>
  <si>
    <t>Gantner, S; Epp, A; Pollotzek, M; Hempel, JM</t>
  </si>
  <si>
    <t>Gantner, Sophia; Epp, Alexandra; Pollotzek, Marlene; Hempel, John Martin</t>
  </si>
  <si>
    <t>Long-term results and quality of life after vibrant soundbridge implantation (VSBs) in children and adults with aural atresia</t>
  </si>
  <si>
    <t>Vibrant soundbridge (VSB); Active middle ear implants (AMEI); Aural atresia; Conductive hearing loss; Rehabilitation</t>
  </si>
  <si>
    <t>HEARING SCALE; SPEECH; EAR; VIBROPLASTY; MULTICENTER; ADOLESCENTS; TRANSDUCER; TORP; SSQ</t>
  </si>
  <si>
    <t>PurposeThe aim of this study was to evaluate the long-term effectiveness and acceptance of the active middle ear implant system Vibrant Soundbridge (VSB &amp; REG;, MED-EL, Austria) in patients with aural atresia or aplasia (children and adults).MethodsData from 51 patients (mean age 13.9 &amp; PLUSMN; 11.3 years), 42 (79.2%) children and adolescents, and 11 (20.8%) adults) who received a VSB implant between 2009 and 2019 at the Department of Otolaryngology at LMU Clinic Grosshadern, Munich were included in the study. Pure-tone audiometry, speech recognition in a quiet environment and in a noisy environment were performed preoperatively, during the first fitting of the audio processor, after 1-3 years, after 3-5 years, and after 5 years (if possible). The follow-up period ranged from 11 to 157 months with a mean of 58.6 months (4.8 years). Furthermore, the benefit of the VSB was evaluated by self-assessment questionnaires (Speech, Spatial, and Qualities of Hearing Scale, respectively, for parents).ResultsSignificant improvements were observed in hearing and speech comprehension immediately after the initial fitting of the VSB system (mean hearing gain 38.4 &amp; PLUSMN; 9.4 dB HL) and at follow-up intervals (1-3, 3-5 and after 5 years) for children and adults (p &lt; 0.01). The values remained stable over the long-term, indicating a sustained functional gain from the VSB (mean hearing gain 38.9 &amp; PLUSMN; 9.2 dB HL). The results of the self-assessments affirm the positive influence on hearing and speech comprehension with the VSB. With the VSB, there was an improvement of 41.3 &amp; PLUSMN; 13.7% in the Freiburg monosyllable test.ConclusionThese results (a stable hearing gain over the long term, a good tolerance of the implant and an improvement in quality of life) affirm the recommendation for using the active middle ear implant VSB as early as permitted for aural atresia and aplasia patients. This study represents the audiometric results with the (to date) largest collective of aural atresia patients and with a long follow-up period.</t>
  </si>
  <si>
    <t>[Gantner, Sophia; Pollotzek, Marlene; Hempel, John Martin] Ludwig Maximilian Univ Munich, Dept Otorhinolaryngol Head &amp; Neck Surg, Munich, Germany; [Epp, Alexandra] Univ Hosp, Paediat Hosp, Augsburg, Germany</t>
  </si>
  <si>
    <t>University of Munich</t>
  </si>
  <si>
    <t>Gantner, S (corresponding author), Ludwig Maximilian Univ Munich, Dept Otorhinolaryngol Head &amp; Neck Surg, Munich, Germany.</t>
  </si>
  <si>
    <t>sophia.gantner@med.uni-muenchen.de</t>
  </si>
  <si>
    <t>Open Access funding enabled and organized by Projekt DEAL. No funding was received for conducting this study.</t>
  </si>
  <si>
    <t>10.1007/s00405-023-08100-y</t>
  </si>
  <si>
    <t>P6VB1</t>
  </si>
  <si>
    <t>WOS:001052021100001</t>
  </si>
  <si>
    <t>Gohari, K; Kazemnejad, A; Mohammadi, M; Eskandari, F; Saberi, S; Esmaieli, M; Sheidaei, A</t>
  </si>
  <si>
    <t>Gohari, Kimiya; Kazemnejad, Anoshirvan; Mohammadi, Marjan; Eskandari, Farzad; Saberi, Samaneh; Esmaieli, Maryam; Sheidaei, Ali</t>
  </si>
  <si>
    <t>A Bayesian latent class extension of naive Bayesian classifier and its application to the classification of gastric cancer patients</t>
  </si>
  <si>
    <t>BMC MEDICAL RESEARCH METHODOLOGY</t>
  </si>
  <si>
    <t>Naive Bayesian classifier; Bayesian latent class analysis; Gibbs sampling; Expectation maximization algorithm; Gastric cancer</t>
  </si>
  <si>
    <t>FEATURE-SELECTION; GIBBS SAMPLER; MIXTURE</t>
  </si>
  <si>
    <t>BackgroundThe Naive Bayes (NB) classifier is a powerful supervised algorithm widely used in Machine Learning (ML). However, its effectiveness relies on a strict assumption of conditional independence, which is often violated in real-world scenarios. To address this limitation, various studies have explored extensions of NB that tackle the issue of non-conditional independence in the data. These approaches can be broadly categorized into two main categories: feature selection and structure expansion.In this particular study, we propose a novel approach to enhancing NB by introducing a latent variable as the parent of the attributes. We define this latent variable using a flexible technique called Bayesian Latent Class Analysis (BLCA). As a result, our final model combines the strengths of NB and BLCA, giving rise to what we refer to as NB-BLCA. By incorporating the latent variable, we aim to capture complex dependencies among the attributes and improve the overall performance of the classifier.MethodsBoth Expectation-Maximization (EM) algorithm and the Gibbs sampling approach were offered for parameter learning. A simulation study was conducted to evaluate the classification of the model in comparison with the ordinary NB model. In addition, real-world data related to 976 Gastric Cancer (GC) and 1189 Non-ulcer dyspepsia (NUD) patients was used to show the model's performance in an actual application. The validity of models was evaluated using the 10-fold cross-validation.ResultsThe presented model was superior to ordinary NB in all the simulation scenarios according to higher classification sensitivity and specificity in test data. The NB-BLCA model using Gibbs sampling accuracy was 87.77 (95% CI: 84.87-90.29). This index was estimated at 77.22 (95% CI: 73.64-80.53) and 74.71 (95% CI: 71.02-78.15) for the NB-BLCA model using the EM algorithm and ordinary NB classifier, respectively.ConclusionsWhen considering the modification of the NB classifier, incorporating a latent component into the model offers numerous advantages, particularly within medical and health-related contexts. By doing so, the researchers can bypass the extensive search algorithm and structure learning required in the local learning and structure extension approach. The inclusion of latent class variables allows for the integration of all attributes during model construction. Consequently, the NB-BLCA model serves as a suitable alternative to conventional NB classifiers when the assumption of independence is violated, especially in domains pertaining to health and medicine.</t>
  </si>
  <si>
    <t>[Gohari, Kimiya; Kazemnejad, Anoshirvan] Tarbiat Modares Univ, Fac Med Sci, Dept Biostat, Tehran, Iran; [Mohammadi, Marjan; Saberi, Samaneh; Esmaieli, Maryam] Pasteur Inst Iran, Biotechnol Res Ctr, Dept Med Biotechnol, HPGC Res Grp, Tehran, Iran; [Eskandari, Farzad] Allameh Tabatabai Univ, Dept Stat, Tehran, Iran; [Sheidaei, Ali] Univ Tehran Med Sci, Sch Publ Hlth, Dept Epidemiol &amp; Biostat, Tehran, Iran</t>
  </si>
  <si>
    <t>Tarbiat Modares University; Le Reseau International des Instituts Pasteur (RIIP); Pasteur Institute of Iran; Allameh Tabataba'i University; Tehran University of Medical Sciences</t>
  </si>
  <si>
    <t>Kazemnejad, A (corresponding author), Tarbiat Modares Univ, Fac Med Sci, Dept Biostat, Tehran, Iran.</t>
  </si>
  <si>
    <t>Kazem_an@modares.ac.ir</t>
  </si>
  <si>
    <t>AcknowledgmentsThis study is a part of the research process supported by Tarbiat Modares University to achieve a Ph.D. degree.</t>
  </si>
  <si>
    <t>1471-2288</t>
  </si>
  <si>
    <t>BMC MED RES METHODOL</t>
  </si>
  <si>
    <t>BMC Med. Res. Methodol.</t>
  </si>
  <si>
    <t>10.1186/s12874-023-02013-4</t>
  </si>
  <si>
    <t>P7ZD6</t>
  </si>
  <si>
    <t>WOS:001052808400001</t>
  </si>
  <si>
    <t>Gong, Y; Ge, LL; Li, QY; Gong, J; Chen, M; Gao, H; Kang, JH; Yu, T; Li, JW; Xu, HW</t>
  </si>
  <si>
    <t>Gong, Yu; Ge, Lingling; Li, Qiyou; Gong, Jing; Chen, Min; Gao, Hui; Kang, Jiahui; Yu, Ting; Li, Jiawen; Xu, Haiwei</t>
  </si>
  <si>
    <t>Ethanol Causes Cell Death and Neuronal Differentiation Defect During Initial Neurogenesis of the Neural Retina by Disrupting Calcium Signaling in Human Retinal Organoids</t>
  </si>
  <si>
    <t>STEM CELL REVIEWS AND REPORTS</t>
  </si>
  <si>
    <t>Retinal neurogenesis; Ethanol; Human retinal organoids; Cell death; Neuron differentiation; Calcium signaling pathway</t>
  </si>
  <si>
    <t>ALCOHOL SPECTRUM DISORDERS; OPTIC-NERVE; EXPOSURE; EXPRESSION; ACTIVATION</t>
  </si>
  <si>
    <t>Fetal Alcohol Syndrome (FAS) affects a significant proportion, exceeding 90%, of afflicted children, leading to severe ocular aberrations such as microphthalmia and optic nerve hypoplasia. During the early stages of pregnancy, the commencement of neural retina neurogenesis represents a critical period for human eye development, concurrently exposing the developing retinal structures to the highest risk of prenatal ethanol exposure due to a lack of awareness. Despite the paramount importance of this period, the precise influence and underlying mechanisms of short-term ethanol exposure on the developmental process of the human neural retina have remained largely elusive. In this study, we utilize the human embryonic stem cells derived retinal organoids (hROs) to recapitulate the initial retinal neurogenesis and find that 1% (v/v) ethanol slows the growth of hROs by inducing robust cell death and retinal ganglion cell differentiation defect. Bulk RNA-seq analysis and two-photon microscope live calcium imaging reveal altered calcium signaling dynamics derived from ethanol-induced down-regulation of RYR1 and CACNA1S. Moreover, the calcium-binding protein RET, one of the downstream effector genes of the calcium signaling pathway, synergistically integrates ethanol and calcium signals to abort neuron differentiation and cause cell death. To sum up, our study illustrates the effect and molecular mechanism of ethanol on the initial neurogenesis of the human embryonic neural retina, providing a novel interpretation of the ocular phenotype of FAS and potentially informing preventative measures for susceptible populations.</t>
  </si>
  <si>
    <t>[Gong, Yu; Ge, Lingling; Li, Qiyou; Gong, Jing; Chen, Min; Gao, Hui; Kang, Jiahui; Xu, Haiwei] Third Mil Med Univ, Army Med Univ, Southwest Hosp, Southwest Eye Hosp, Chongqing 400038, Peoples R China; [Gong, Yu; Ge, Lingling; Li, Qiyou; Gong, Jing; Chen, Min; Gao, Hui; Kang, Jiahui; Xu, Haiwei] Key Lab Visual Damage &amp; Regenerat &amp; Restorat Chong, Chongqing, Peoples R China; [Gong, Yu; Li, Jiawen] Chongqing Med Univ, Dept Ophthalmol, Univ Town Hosp, Chongqing, Peoples R China; [Gong, Jing] Chongqing Univ, Coll Bioengn, Key Lab Biorheol Sci &amp; Technol, Minist Educ, Chongqing 400044, Peoples R China; [Yu, Ting] 89th Hosp Peoples Liberat Army, Dept Clin Lab, Weifang, Peoples R China</t>
  </si>
  <si>
    <t>Army Medical University; Chongqing Medical University; Chongqing University</t>
  </si>
  <si>
    <t>Xu, HW (corresponding author), Third Mil Med Univ, Army Med Univ, Southwest Hosp, Southwest Eye Hosp, Chongqing 400038, Peoples R China.;Xu, HW (corresponding author), Key Lab Visual Damage &amp; Regenerat &amp; Restorat Chong, Chongqing, Peoples R China.;Li, JW (corresponding author), Chongqing Med Univ, Dept Ophthalmol, Univ Town Hosp, Chongqing, Peoples R China.</t>
  </si>
  <si>
    <t>800396@hospital.cqmu.edu.cn; xuhaiwei@tmmu.edu.cn</t>
  </si>
  <si>
    <t>Xu, Haiwei/0000-0002-8840-7918</t>
  </si>
  <si>
    <t>National Key Research and Development Program of China [2021YFA1101203]; National Natural Science Foundation of China [31930068]; General Project of Chongqing Natural Science Foundation [CSTB2022NSCQ-MSX0065]; Chongqing Medical University Program for Youth Innovation in Future Medicine [W0158]</t>
  </si>
  <si>
    <t>National Key Research and Development Program of China; National Natural Science Foundation of China(National Natural Science Foundation of China (NSFC)); General Project of Chongqing Natural Science Foundation; Chongqing Medical University Program for Youth Innovation in Future Medicine</t>
  </si>
  <si>
    <t>Funding This study was supported by funding from the National Key Research and Development Program of China grants 2021YFA1101203; the National Natural Science Foundation of China grants 31930068; General Project of Chongqing Natural Science Foundation CSTB2022NSCQ-MSX0065; Chongqing Medical University Program for Youth Innovation in Future Medicine W0158. The funding bodies had no role in study design, in the collection, analysis, or interpretation of data, in the writing of the report, or in the decision to submit the paper for publication.</t>
  </si>
  <si>
    <t>2629-3269</t>
  </si>
  <si>
    <t>2629-3277</t>
  </si>
  <si>
    <t>STEM CELL REV REP</t>
  </si>
  <si>
    <t>Stem Cell Rev. Rep.</t>
  </si>
  <si>
    <t>10.1007/s12015-023-10604-3</t>
  </si>
  <si>
    <t>P7OS7</t>
  </si>
  <si>
    <t>WOS:001052536800002</t>
  </si>
  <si>
    <t>Haman, M; Skolnik, M</t>
  </si>
  <si>
    <t>Haman, Michael; Skolnik, Milan</t>
  </si>
  <si>
    <t>Testing ChatGPT's Capabilities for Social Media Content Analysis</t>
  </si>
  <si>
    <t>This letter explores the potential of artificial intelligence models, specifically ChatGPT, for content analysis, namely for categorizing social media posts. The primary focus is on Twitter posts with the hashtag #plasticsurgery. Through integrating Python with the OpenAI API, the study provides a designed prompt to categorize tweet content. Looking forward, the utilization of AI in content analysis presents promising opportunities for advancing understanding of complex social phenomena.</t>
  </si>
  <si>
    <t>[Haman, Michael; Skolnik, Milan] Czech Univ Life Sci Prague, Fac Econ &amp; Management, Dept Humanities, Prague, Czech Republic</t>
  </si>
  <si>
    <t>Czech University of Life Sciences Prague</t>
  </si>
  <si>
    <t>Haman, M (corresponding author), Czech Univ Life Sci Prague, Fac Econ &amp; Management, Dept Humanities, Prague, Czech Republic.</t>
  </si>
  <si>
    <t>haman@pef.czu.cz; skolnikm@pef.czu.cz</t>
  </si>
  <si>
    <t>Haman, Michael/AAV-6062-2020; Školník, Milan/R-6334-2018</t>
  </si>
  <si>
    <t>Haman, Michael/0000-0001-5772-2045; Školník, Milan/0000-0002-0672-219X</t>
  </si>
  <si>
    <t>10.1007/s00266-023-03607-5</t>
  </si>
  <si>
    <t>P7OH9</t>
  </si>
  <si>
    <t>WOS:001052525900012</t>
  </si>
  <si>
    <t>Hellsten, L</t>
  </si>
  <si>
    <t>Hellsten, Laura</t>
  </si>
  <si>
    <t>Dance as a liberating practice into divine darkness?: A systematic theologian re-reads Philo of Alexandria's descriptions of dance</t>
  </si>
  <si>
    <t>POSTMEDIEVAL-A JOURNAL OF MEDIEVAL CULTURAL STUDIES</t>
  </si>
  <si>
    <t>RELIGION</t>
  </si>
  <si>
    <t>In this article, I show how a deeper understanding of Lived Theology can enrich discussions about historical dance practices. I elaborate on the teachings of Philo of Alexandria (c. 20 BCE-50) and how his descriptions of dancing indicate that such practices may be understood as worship and contemplation. I further suggest that dancing in Philo's texts, especially On the Contemplative Life, can be understood as an exegetical practice. I describe how a supersessionist logic insensitive to traditions of Lived Theology has operated in the theological discourse on Philo and thus has been unable to recognise these dimensions of the described dancing.</t>
  </si>
  <si>
    <t>[Hellsten, Laura] Abo Akad Univ, Fac Arts Psychol &amp; Theol, Turku, Finland</t>
  </si>
  <si>
    <t>Abo Akademi University</t>
  </si>
  <si>
    <t>Hellsten, L (corresponding author), Abo Akad Univ, Fac Arts Psychol &amp; Theol, Turku, Finland.</t>
  </si>
  <si>
    <t>laura.hellsten@abo.fi</t>
  </si>
  <si>
    <t>2040-5960</t>
  </si>
  <si>
    <t>2040-5979</t>
  </si>
  <si>
    <t>POSTMEDIEVAL</t>
  </si>
  <si>
    <t>Postmedieval</t>
  </si>
  <si>
    <t>10.1057/s41280-023-00284-0</t>
  </si>
  <si>
    <t>Cultural Studies; Medieval &amp; Renaissance Studies</t>
  </si>
  <si>
    <t>Cultural Studies; Arts &amp; Humanities - Other Topics</t>
  </si>
  <si>
    <t>P7OQ5</t>
  </si>
  <si>
    <t>WOS:001052534600001</t>
  </si>
  <si>
    <t>Jakimiuk, A; Piechal, A; Wiercinska-Drapalo, A; Nowaczyk, A; Mirowska-Guzel, D</t>
  </si>
  <si>
    <t>Jakimiuk, Alicja; Piechal, Agnieszka; Wiercinska-Drapalo, Alicja; Nowaczyk, Alicja; Mirowska-Guzel, Dagmara</t>
  </si>
  <si>
    <t>Central nervous system disorders after use of dolutegravir: evidence from preclinical and clinical studies</t>
  </si>
  <si>
    <t>Dolutegravir; Central nervous system; Adverse effects; HIV; Antiretroviral drugs</t>
  </si>
  <si>
    <t>CEREBROSPINAL-FLUID; ANTIVIRAL ACTIVITY; ADVERSE EVENTS; EFAVIRENZ CONCENTRATIONS; INTEGRASE INHIBITORS; DRUG TRANSPORTERS; PHARMACOKINETICS; HIV; PROTEIN; BLOOD</t>
  </si>
  <si>
    <t>The evaluation of dolutegravir based on available preclinical and clinical studies reveals a risk of central nervous system (CNS) disorders associated with long-term use of the drug. The available literature on the pharmacokinetics of the drug, including its penetration of the blood-brain barrier, was reviewed, as well as clinical trials assessing the incidence of adverse effects in the CNS and the frequency of its discontinuation. This paper also summarizes the impact of factors affecting the occurrence of CNS disorders and indicates the key role of pharmacovigilance in the process of supplementing knowledge on the safety of drugs, especially those that are newly registered.</t>
  </si>
  <si>
    <t>[Jakimiuk, Alicja; Piechal, Agnieszka; Mirowska-Guzel, Dagmara] Med Univ Warsaw, Ctr Preclin Res &amp; Technol, Dept Clin &amp; Expt Pharmacol, Banacha 1b, PL-02097 Warsaw, Poland; [Wiercinska-Drapalo, Alicja] Med Univ Warsaw, Prov Infect Dis Hosp Warsaw, Dept Hepatol &amp; Infect &amp; Trop Dis, Wolska 37, PL-01201 Warsaw, Poland; [Nowaczyk, Alicja] Nicolaus Copernicus Univ Torun, Fac Pharm, Dept Organ Chem, Ludw Rydygier Coll Med Bydgoszcz, 2 dr A Jurasza, PL-85094 Bydgoszcz, Poland</t>
  </si>
  <si>
    <t>Medical University of Warsaw; Medical University of Warsaw; Nicolaus Copernicus University</t>
  </si>
  <si>
    <t>Mirowska-Guzel, D (corresponding author), Med Univ Warsaw, Ctr Preclin Res &amp; Technol, Dept Clin &amp; Expt Pharmacol, Banacha 1b, PL-02097 Warsaw, Poland.</t>
  </si>
  <si>
    <t>dmirowska@wum.edu.pl</t>
  </si>
  <si>
    <t>; Wiercinska-Drapalo, Alicja/V-5930-2018</t>
  </si>
  <si>
    <t>Mirowska-Guzel, Dagmara/0000-0001-6294-3256; Wiercinska-Drapalo, Alicja/0000-0001-5921-1409</t>
  </si>
  <si>
    <t>Warszawski Uniwersytet Medyczny [1M9/N/2023]</t>
  </si>
  <si>
    <t>Warszawski Uniwersytet Medyczny</t>
  </si>
  <si>
    <t>&amp; nbsp;This work was supported by statutory grant of Warszawski Uniwersytet Medyczny, 1M9/N/2023.</t>
  </si>
  <si>
    <t>10.1007/s43440-023-00515-y</t>
  </si>
  <si>
    <t>P6VL6</t>
  </si>
  <si>
    <t>WOS:001052031600001</t>
  </si>
  <si>
    <t>Kakikawa, Y; Shimamura, K; Kawano, S</t>
  </si>
  <si>
    <t>Kakikawa, Yuko; Shimamura, Kaito; Kawano, Shuichi</t>
  </si>
  <si>
    <t>Bayesian fused lasso modeling via horseshoe prior</t>
  </si>
  <si>
    <t>JAPANESE JOURNAL OF STATISTICS AND DATA SCIENCE</t>
  </si>
  <si>
    <t>Fusion of coefficients; Hierarchical Bayesian model; Horseshoe prior; Markov chain Monte Carlo</t>
  </si>
  <si>
    <t>REGRESSION SHRINKAGE; SELECTION</t>
  </si>
  <si>
    <t>Bayesian fused lasso is one of the sparse Bayesian methods, which shrinks both regression coefficients and their successive differences simultaneously. In this paper, we propose a Bayesian fused lasso modeling via horseshoe prior. By assuming a horseshoe prior on the difference of successive regression coefficients, the proposed method enables us to prevent over-shrinkage of those differences. We also propose a Bayesian nearly hexagonal operator for regression with shrinkage and equality selection with horseshoe prior, which imposes priors on all combinations of differences of regression coefficients. Simulation studies and an application to real data show that the proposed method gives better performance than existing methods.</t>
  </si>
  <si>
    <t>[Kakikawa, Yuko] Grad Univ Adv Studies SOKENDAI, Dept Stat Sci, 10-3 Midori Cho, Tachikawa, Tokyo 1908562, Japan; [Shimamura, Kaito] NTT Adv Technol Corp, Tokyo Opera City Tower,3-20-2 Nishi Shinjuku,Shinj, Tokyo 1631436, Japan; [Kawano, Shuichi] Kyushu Univ, Fac Math, 744 Motooka,Nishi Ku, Fukuoka 8190395, Japan</t>
  </si>
  <si>
    <t>Graduate University for Advanced Studies - Japan; NTT Advanced Technology; Kyushu University</t>
  </si>
  <si>
    <t>Kakikawa, Y (corresponding author), Grad Univ Adv Studies SOKENDAI, Dept Stat Sci, 10-3 Midori Cho, Tachikawa, Tokyo 1908562, Japan.</t>
  </si>
  <si>
    <t>kakikawa.yuko@ism.ac.jp</t>
  </si>
  <si>
    <t>KAWANO, SHUICHI/AFP-9961-2022</t>
  </si>
  <si>
    <t>KAWANO, SHUICHI/0000-0002-0804-0141</t>
  </si>
  <si>
    <t>JST [JPMJFS2136]; JSPS KAKENHI [JP19K11854, JP23K11008, JP23H03352, JP23H00809]</t>
  </si>
  <si>
    <t>JST(Japan Science &amp; Technology Agency (JST)); JSPS KAKENHI(Ministry of Education, Culture, Sports, Science and Technology, Japan (MEXT)Japan Society for the Promotion of ScienceGrants-in-Aid for Scientific Research (KAKENHI))</t>
  </si>
  <si>
    <t>The authors thank the reviewers for their helpful comments and constructive suggestions. Y. K. was supported by JST, the establishment of university fellowships towards the creation of science technology innovation, Grant Number JPMJFS2136. S. K. was supported by JSPS KAKENHI Grant Numbers JP19K11854, JP23K11008, JP23H03352, and JP23H00809. The computational resource was provided by the Super Computer System, Human Genome Center, Institute of Medical Science, The University of Tokyo.</t>
  </si>
  <si>
    <t>2520-8756</t>
  </si>
  <si>
    <t>2520-8764</t>
  </si>
  <si>
    <t>JPN J STAT DATA SCI</t>
  </si>
  <si>
    <t>Jpn. J. Stat. Data Sci.</t>
  </si>
  <si>
    <t>10.1007/s42081-023-00213-2</t>
  </si>
  <si>
    <t>P6VD6</t>
  </si>
  <si>
    <t>WOS:001052023600002</t>
  </si>
  <si>
    <t>Karpov, N; Zhang, HY; Zhang, Q</t>
  </si>
  <si>
    <t>Karpov, Nikolai; Zhang, Haoyu; Zhang, Qin</t>
  </si>
  <si>
    <t>MinJoin plus plus : a fast algorithm for string similarity joins under edit distance</t>
  </si>
  <si>
    <t>VLDB JOURNAL</t>
  </si>
  <si>
    <t>String similarity joins; Edit distance; Local hash minima</t>
  </si>
  <si>
    <t>EFFICIENT ALGORITHM</t>
  </si>
  <si>
    <t>We study the problem of computing similarity joins under edit distance on a set of strings. Edit similarity joins is a fundamental problem in databases, data mining and bioinformatics. It finds many applications in data cleaning and integration, collaborative filtering, genome sequence assembly, etc. This problem has attracted a lot of attention in the past two decades. However, all previous algorithms either cannot scale to long strings and large similarity thresholds, or suffer from imperfect accuracy. In this paper, we propose a new algorithm for edit similarity joins using a novel string partition-based approach. We show that, theoretically, our algorithm finds all similar pairs with high probability and runs in linear time (plus a data-dependent verification step). The algorithm can also be easily parallelized. Experiments on real-world datasets show that our algorithm outperforms the state-of-the-art algorithms for edit similarity joins by orders of magnitudes in running time and achieves perfect accuracy on most datasets that we have tested.</t>
  </si>
  <si>
    <t>[Karpov, Nikolai; Zhang, Qin] Indiana Univ, Bloomington 47405, IN USA; [Zhang, Haoyu] Meta Inc, Menlo Pk, CA USA</t>
  </si>
  <si>
    <t>Indiana University System; Indiana University Bloomington</t>
  </si>
  <si>
    <t>Zhang, Q (corresponding author), Indiana Univ, Bloomington 47405, IN USA.</t>
  </si>
  <si>
    <t>nkarpov@iu.edu; kedayuge@gmail.com; qzhangcs@indiana.edu</t>
  </si>
  <si>
    <t>NSF [CCF-1844234]</t>
  </si>
  <si>
    <t>NSF(National Science Foundation (NSF))</t>
  </si>
  <si>
    <t>N. Karpov, H. Zhang, and Q. Zhang are supported in part by NSF CCF-1844234.</t>
  </si>
  <si>
    <t>1066-8888</t>
  </si>
  <si>
    <t>0949-877X</t>
  </si>
  <si>
    <t>VLDB J</t>
  </si>
  <si>
    <t>VLDB J.</t>
  </si>
  <si>
    <t>10.1007/s00778-023-00806-z</t>
  </si>
  <si>
    <t>Computer Science, Hardware &amp; Architecture; Computer Science, Information Systems</t>
  </si>
  <si>
    <t>P6UN9</t>
  </si>
  <si>
    <t>WOS:001052007900001</t>
  </si>
  <si>
    <t>Khattar, N; Sharma, P; Ahlawat, V; Berar, U; Diwan, PK</t>
  </si>
  <si>
    <t>Khattar, Nidhi; Sharma, Piyush; Ahlawat, Vishal; Berar, Urmila; Diwan, P. K.</t>
  </si>
  <si>
    <t>Impact of quercetin concentration on the thermal stability of ultra high molecular weight polyethylene: a thermogravimetric study</t>
  </si>
  <si>
    <t>REACTION KINETICS MECHANISMS AND CATALYSIS</t>
  </si>
  <si>
    <t>UHMWPE; Quercetin; Reaction mechanism; Kinetic triplets; Deconvolution; Thermodynamic parameters</t>
  </si>
  <si>
    <t>TRIBOLOGICAL PROPERTIES; ACTIVATION-ENERGY; ELECTRON-BEAMS; CROSS-LINKING; GAMMA-RAYS; UHMWPE; STABILIZATION; ANTIOXIDANTS; RADIATION; OXIDATION</t>
  </si>
  <si>
    <t>The impact of quercetin concentration (0.1-1.0 wt%) on the thermal stability of Ultra high molecular weight polyethylene (UHMWPE), in temperature region 50-600 &amp; DEG;C, at 5 &amp; DEG;C/min is examined by utilizing the thermogravimetric (TGA/DTA) technique. The activation energies of these thermograms are determined by utilizing the model fitting kinetic method (Coats and Redfern). Through this, 0.4 wt% is found to be the optimum quercetin concentration. UHMWPE sample at optimized quercetin concentration is further subjected to three other heating rates (10, 15 and 20 &amp; DEG;C), in same temperature region. The complexities involved in thermal decomposition are resolved by using the deconvolution technique, adopting a bi-Gaussian asymmetric function. Activation energies of these deconvoluted peaks, obtained through Starink and Friedman kinetic models, follow a similar trend. By utilizing activation energy, a random nucleation reaction mechanism involved in thermal decomposition is identified. Finally, the pre-exponential factor, change in entropy (&amp; UDelta;S), change in enthalpy (&amp; UDelta;H) and change in Gibbs free energy (&amp; UDelta;G) are determined.</t>
  </si>
  <si>
    <t>[Khattar, Nidhi; Berar, Urmila; Diwan, P. K.] Kurukshetra Univ, Dept Appl Sci, UIET, Kurukshetra 136119, India; [Sharma, Piyush] Virginia Tech Ctr Excellence Emerging Mat, Thapar Inst Engn &amp; Technol, Patiala 147004, India; [Ahlawat, Vishal] Kurukshetra Univ, Dept Mech Engn, UIET, Kurukshetra 136119, India</t>
  </si>
  <si>
    <t>Kurukshetra University; Thapar Institute of Engineering &amp; Technology; Kurukshetra University</t>
  </si>
  <si>
    <t>Diwan, PK (corresponding author), Kurukshetra Univ, Dept Appl Sci, UIET, Kurukshetra 136119, India.</t>
  </si>
  <si>
    <t>diwanpk74@gmail.com</t>
  </si>
  <si>
    <t>1878-5190</t>
  </si>
  <si>
    <t>1878-5204</t>
  </si>
  <si>
    <t>REACT KINET MECH CAT</t>
  </si>
  <si>
    <t>React. Kinet. Mech. Catal.</t>
  </si>
  <si>
    <t>10.1007/s11144-023-02472-2</t>
  </si>
  <si>
    <t>P6VK8</t>
  </si>
  <si>
    <t>WOS:001052030800001</t>
  </si>
  <si>
    <t>Kim, YY; Park, TS; Park, JS; Min, DJ; Shin, YS; Lee, HW; Jeong, RD; Hong, JS</t>
  </si>
  <si>
    <t>Kim, Ye-Yeong; Park, Tae-Seon; Park, Ji-Soo; Min, Dong-Joo; Shin, You-Seop; Lee, Hyeong-Woo; Jeong, Rae-Dong; Hong, Jin-Sung</t>
  </si>
  <si>
    <t>First report of Corydalis speciosa Maxim. being a natural host plant for cucumber mosaic virus in Korea</t>
  </si>
  <si>
    <t>JOURNAL OF PLANT PATHOLOGY</t>
  </si>
  <si>
    <t>Coat protein; CMV subgroup IB; Specious corydalis</t>
  </si>
  <si>
    <t>[Kim, Ye-Yeong; Park, Tae-Seon; Park, Ji-Soo; Min, Dong-Joo; Shin, You-Seop; Hong, Jin-Sung] Kangwon Natl Univ, Interdisciplinary Program Smart Agr, Chunchon 24341, South Korea; [Lee, Hyeong-Woo] SpeegeneBio Co Ltd, Seongnam, South Korea; [Jeong, Rae-Dong] Chonnam Natl Univ, Dept Appl Biol, Gwangju 61185, South Korea</t>
  </si>
  <si>
    <t>Kangwon National University; Chonnam National University</t>
  </si>
  <si>
    <t>Hong, JS (corresponding author), Kangwon Natl Univ, Interdisciplinary Program Smart Agr, Chunchon 24341, South Korea.</t>
  </si>
  <si>
    <t>jinsunghong@kangwon.ac.kr</t>
  </si>
  <si>
    <t>Korea Institute of Planning and Evaluation for Technology in Food, Agriculture and Forestry (IPET) through Crop Viruses and Pests Response Industry Technology Development Program for Ministry of Agriculture, Food and Rural Affairs (MAFRA) [321105-3]; Cooperative Research Program for Agricultural Science amp; Technology Development Rural Development Administration, Republic of Korea [PJ014983]</t>
  </si>
  <si>
    <t>Korea Institute of Planning and Evaluation for Technology in Food, Agriculture and Forestry (IPET) through Crop Viruses and Pests Response Industry Technology Development Program for Ministry of Agriculture, Food and Rural Affairs (MAFRA)(Ministry of Agriculture, Food &amp; Rural Affairs (MAFRA), Republic of KoreaInstitute of Planning &amp; Evaluation for Technology in Food, Agriculture, Forestry, &amp; Fisheries (iPET), Republic of Korea); Cooperative Research Program for Agricultural Science amp; Technology Development Rural Development Administration, Republic of Korea</t>
  </si>
  <si>
    <t>This research was financially supported by Korea Institute of Planning and Evaluation for Technology in Food, Agriculture and Forestry (IPET) through Crop Viruses and Pests Response Industry Technology Development Program for Ministry of Agriculture, Food and Rural Affairs (MAFRA) (Project No. 321105-3) and Cooperative Research Program for Agricultural Science &amp; amp; Technology Development (Project No. PJ014983) Rural Development Administration, Republic of Korea.</t>
  </si>
  <si>
    <t>1125-4653</t>
  </si>
  <si>
    <t>2239-7264</t>
  </si>
  <si>
    <t>J PLANT PATHOL</t>
  </si>
  <si>
    <t>J. Plant Pathol.</t>
  </si>
  <si>
    <t>10.1007/s42161-023-01495-x</t>
  </si>
  <si>
    <t>P7OJ0</t>
  </si>
  <si>
    <t>WOS:001052527000002</t>
  </si>
  <si>
    <t>Kobayashi, S; Bando, H; Taketomi, A; Takamoto, T; Shinozaki, E; Shiozawa, M; Hara, H; Yamazaki, K; Komori, K; Matsuhashi, N; Kato, T; Kagawa, Y; Yokota, M; Oki, E; Komine, K; Takahashi, S; Wakabayashi, M; Yoshino, T</t>
  </si>
  <si>
    <t>Kobayashi, Shin; Bando, Hideaki; Taketomi, Akinobu; Takamoto, Takeshi; Shinozaki, Eiji; Shiozawa, Manabu; Hara, Hiroki; Yamazaki, Kentaro; Komori, Koji; Matsuhashi, Nobuhisa; Kato, Takeshi; Kagawa, Yoshinori; Yokota, Mitsuru; Oki, Eiji; Komine, Keigo; Takahashi, Shinichiro; Wakabayashi, Masashi; Yoshino, Takayuki</t>
  </si>
  <si>
    <t>NEXUS trial: a multicenter phase II clinical study evaluating the efficacy and safety of the perioperative use of encorafenib, binimetinib, and cetuximab in patients with previously untreated surgically resectable BRAF V600E mutant colorectal oligometastases</t>
  </si>
  <si>
    <t>BRAF V600E; Colorectal cancer; Oligometastases; Resectable; Encorafenib; Binimetinib; Cetuximab; BEACON</t>
  </si>
  <si>
    <t>PLUS CETUXIMAB; RAS MUTATIONS; POOLED ANALYSIS; CANCER; STANDARD; IMPACT; KRAS; CARE</t>
  </si>
  <si>
    <t>BackgroundThe optimal treatment strategy for resectable BRAF V600E mutant colorectal oligometastases (CRM) has not been established due to the rarity and rapid progression of the disease. Since the unresectable recurrence rate is high, development of novel perioperative therapies are warranted. On December 2020, the BEACON CRC triplet regimen of encorafenib, binimetinib, and cetuximab was approved for unresectable metastatic colorectal cancer in Japan.MethodsThe NEXUS trial is a multicenter phase II clinical study evaluating the efficacy and safety of the perioperative use of encorafenib, binimetinib, and cetuximab in patients with previously untreated surgically resectable BRAF V600E mutant CRM. The key inclusion criteria are as follows: histologically diagnosed with colorectal adeno/adenosquamous carcinoma; RAS wild-type and BRAF V600E mutation by tissue or blood; and previously untreated resectable distant metastases. The triplet regimen (encorafenib: 300 mg daily; binimetinib: 45 mg twice daily; cetuximab: 400 mg/m(2), then 250 mg/m(2) weekly, 28 days/cycle) is administered for 3 cycles each before and after curative resection. The primary endpoint of the study is the 1-year progression-free survival (PFS) rate and the secondary end points are the PFS, disease-free survival, overall survival, and objective response rate. The sample size is 32 patients. Endpoints in the NEXUS trial as well as integrated analysis with the nationwide registry data will be considered for seeking regulatory approval for the perioperative use of the triplet regimen.DiscussionThe use of the triplet regimen in the perioperative period is expected to be safe and effective in patients with resectable BRAF V600E mutant CRM.</t>
  </si>
  <si>
    <t>[Kobayashi, Shin] Natl Canc Ctr Hosp East, Dept Hepatobiliary &amp; Pancreat Surg, 6-5-1 Kashiwanoha, Kashiwa, Chiba 2770882, Japan; [Bando, Hideaki; Yoshino, Takayuki] Natl Canc Ctr Hosp East, Dept Gastroenterol &amp; Gastrointestinal Oncol, Kashiwa, Japan; [Taketomi, Akinobu] Hokkaido Univ Hosp, Dept Gastroenterol Surg 1, Sapporo, Japan; [Takamoto, Takeshi] Natl Canc Ctr, Dept Hepatobiliary &amp; Pancreat Surg, Tokyo, Japan; [Shinozaki, Eiji] Canc Inst Hosp JFCR, Gastrointestinal Oncol Dept, Tokyo, Japan; [Shiozawa, Manabu] Kanagawa Canc Ctr, Dept Gastrointestinal Surg, Yokohama, Japan; [Hara, Hiroki] Saitama Canc Ctr, Gastroenterol Dept, Ina, Japan; [Yamazaki, Kentaro] Shizuoka Canc Ctr, Div Gastrointestinal Oncol, Shizuoka, Japan; [Komori, Koji] Aichi Canc Ctr Hosp, Dept Gastroenterol Surg, Nagoya, Japan; [Matsuhashi, Nobuhisa] Gifu Univ Hosp, Dept Gastroenterol Surg, Pediat Surg, Gifu, Japan; [Kato, Takeshi] Natl Hosp Org Osaka Natl Hosp, Dept Surg, Osaka, Japan; [Kagawa, Yoshinori] Osaka Gen Med Ctr, Dept Gastroenterol Surg, Osaka, Japan; [Yokota, Mitsuru] Kurashiki Cent Hosp, Dept Gen Surg, Kurashiki, Japan; [Oki, Eiji] Kyushu Univ, Grad Sch Med Sci, Dept Surg &amp; Sci, Fukuoka, Japan; [Komine, Keigo] Tohoku Univ Hosp, Dept Clin Oncol, Sendai, Japan; [Takahashi, Shinichiro] Tokai Univ, Dept Gastroenterol Surg, Sch Med, Isehara, Japan; [Wakabayashi, Masashi] Natl Canc Ctr Hosp East, Div Promot Drug &amp; Diagnost Dev, Kashiwa, Japan</t>
  </si>
  <si>
    <t>National Cancer Center - Japan; National Cancer Center - Japan; Hokkaido University; National Cancer Center - Japan; Japanese Foundation for Cancer Research; Kanagawa Prefectural Cancer Center; Shizuoka Cancer Center; Aichi Cancer Center; Gifu University; Osaka National Hospital; Kurashiki Central Hospital; Kyushu University; Tohoku University; Tokai University; National Cancer Center - Japan</t>
  </si>
  <si>
    <t>Kobayashi, S (corresponding author), Natl Canc Ctr Hosp East, Dept Hepatobiliary &amp; Pancreat Surg, 6-5-1 Kashiwanoha, Kashiwa, Chiba 2770882, Japan.</t>
  </si>
  <si>
    <t>shkobaya@east.ncc.go.jp</t>
  </si>
  <si>
    <t>Oki, Eiji/AFO-6423-2022</t>
  </si>
  <si>
    <t>Oki, Eiji/0000-0002-9763-9366</t>
  </si>
  <si>
    <t>10.1186/s12885-023-11311-5</t>
  </si>
  <si>
    <t>P7AY2</t>
  </si>
  <si>
    <t>WOS:001052175000001</t>
  </si>
  <si>
    <t>Kohnehshahri, MK; Sarkesh, A; Khosroshahi, LM; HajiEsmailPoor, Z; Aghebati-Maleki, A; Yousefi, M; Aghebati-Maleki, L</t>
  </si>
  <si>
    <t>Kohnehshahri, Mahsa Khayyati; Sarkesh, Aila; Khosroshahi, Leila Mohamed; HajiEsmailPoor, Zanyar; Aghebati-Maleki, Ali; Yousefi, Mehdi; Aghebati-Maleki, Leili</t>
  </si>
  <si>
    <t>Current status of skin cancers with a focus on immunology and immunotherapy</t>
  </si>
  <si>
    <t>Skin cancer; Melanoma; Non-melanoma skin cancer; Monoclonal antibody</t>
  </si>
  <si>
    <t>SQUAMOUS-CELL CARCINOMA; REGULATORY T-CELLS; RISK-FACTORS; TRANSPLANT RECIPIENTS; MELANOMA; EPIDEMIOLOGY; MECHANISMS; EXPRESSION; IMMUNITY; PREVALENCE</t>
  </si>
  <si>
    <t>Skin cancer is one of the most widespread cancers, with a significant global health effect. UV-induced DNA damage in skin cells triggers them to grow and proliferate out of control, resulting in cancer development. Two common types of skin cancer include melanoma skin cancer (MSC) and non-melanoma skin cancer (NMSC). Melanoma is the most lethal form of skin cancer, and NMSC includes basal cell carcinoma (BCC), squamous cell carcinoma (SCC), and other forms. The incidence of skin cancer is increasing in part owing to a demographic shift toward an aging population, which is more prone to NMSC, imposing a considerable financial strain on public health services. The introduction of immunostimulatory approaches for cancer cell eradication has led to significant improvements in skin cancer treatment. Over the last three decades, monoclonal antibodies have been used as powerful human therapeutics besides scientific tools, and along with the development of monoclonal antibody production and design procedures from chimeric to humanized and then fully human monoclonal antibodies more than 6 monoclonal antibodies have been approved by the food and drug administration (FDA) and have been successful in skin cancer treatment. In this review, we will discuss the epidemiology, immunology, and therapeutic approaches of different types of skin cancer,</t>
  </si>
  <si>
    <t>[Kohnehshahri, Mahsa Khayyati] Urmia Univ, Fac Vet Med, Dept Microbiol, Orumiyeh, Iran; [Kohnehshahri, Mahsa Khayyati] Urmia Univ, Inst Biotechnol, Dept Cellular &amp; Mol Biotechnol, Orumiyeh, Iran; [Aghebati-Maleki, Leili] Tabriz Univ Med Sci, Immunol Res Ctr, Tabriz, Iran; [Sarkesh, Aila; HajiEsmailPoor, Zanyar] Tabriz Univ Med Sci, Students Res Comm, Tabriz, Iran; [Khosroshahi, Leila Mohamed] Univ Tehran Med Sci, Sch Med, Dept Immunol, Tehran, Iran; [Aghebati-Maleki, Ali] Tabriz Univ Med Sci, Stem Cell Res Ctr, Tabriz, Iran; [Yousefi, Mehdi] Tabriz Univ Med Sci, Sch Med, Dept Immunol, Tabriz, Iran</t>
  </si>
  <si>
    <t>Urmia University; Urmia University; Tabriz University of Medical Science; Tabriz University of Medical Science; Tehran University of Medical Sciences; Tabriz University of Medical Science; Tabriz University of Medical Science</t>
  </si>
  <si>
    <t>Aghebati-Maleki, L (corresponding author), Tabriz Univ Med Sci, Immunol Res Ctr, Tabriz, Iran.</t>
  </si>
  <si>
    <t>leili_aghebati_maleki@yahoo.com</t>
  </si>
  <si>
    <t>Haji Esmail Poor, Zanyar/0000-0002-2410-5654</t>
  </si>
  <si>
    <t>Tabriz University of Medical Sciences, Iran [66841, 66813, 71408]</t>
  </si>
  <si>
    <t>Tabriz University of Medical Sciences, Iran</t>
  </si>
  <si>
    <t>This study was supported by Research Vice-Chancellor at Tabriz University of Medical Sciences, Iran [Grant No. 66841, 66813 and 71408].</t>
  </si>
  <si>
    <t>10.1186/s12935-023-03012-7</t>
  </si>
  <si>
    <t>P7ZG9</t>
  </si>
  <si>
    <t>WOS:001052811700001</t>
  </si>
  <si>
    <t>Liu, RH; Ye, HJ; Peng, Y; Yi, CY; Lin, JX; Wu, HS; Diao, XW; Mao, HP; Huang, FX; Yang, X</t>
  </si>
  <si>
    <t>Liu, Ruihua; Ye, Hongjian; Peng, Yuan; Yi, Chunyan; Lin, Jianxiong; Wu, Haishan; Diao, Xiangwen; Mao, Haiping; Huang, Fengxian; Yang, Xiao</t>
  </si>
  <si>
    <t>Incremental peritoneal dialysis and survival outcomes: a propensity-matched cohort study</t>
  </si>
  <si>
    <t>JOURNAL OF NEPHROLOGY</t>
  </si>
  <si>
    <t>Peritoneal dialysis; Incremental dialysis; Mortality; Residual kidney function</t>
  </si>
  <si>
    <t>RESIDUAL KIDNEY-FUNCTION; FUNCTION DECLINE; RENAL-FUNCTION; INITIATION; ADEQUACY; HEMODIALYSIS; MORTALITY; VOLUME; RISK</t>
  </si>
  <si>
    <t>Background The advantages of an incremental dialysis start are not fully clear. We aimed to evaluate the association of incremental initiation of peritoneal dialysis with mortality.Methods Incident peritoneal dialysis patients with a catheter placed at our hospital between 2008 and 2017 were included. All patients were followed up until December 31, 2019. Patients were categorized into different groups according to the initial daily dialysis exchanges, and were matched at a ratio of 1:2 with propensity score matching. Multiple variables including age, sex, residual kidney function, urine volume, hemoglobin, serum albumin and other important variables were included for the matching. Primary outcomes were all-cause and cardiovascular mortality.Results A total of 1315 patients with a mean age of 45.9 years were enrolled. The mean glomerular filtration rate was 4.32 ml/min/1.73 m(2) at start of dialysis. Two hundred eighty-five patients in the incremental group and 502 in the full dose group were matched for age, sex, residual kidney function, urine volume, hemoglobin, serum albumin and other important variables. Patient survival and cardiovascular event-free survival were similar between the two groups. However, during the first 6 years of peritoneal dialysis, patients in the incremental group had better survival (P = 0.011) and cardiovascular event-free survival (P = 0.044) than the full dose group, while such advantages disappeared when dialysis vintage became longer. Further analysis showed that the incremental group (vs full dose dialysis) had a 39% lower risk (95% CI 0.42-0.90, P = 0.012) of all-cause mortality and a 41% decreased risk (95% CI 0.35-0.99, P = 0.047) of cardiovascular mortality during the first 6 years of dialysis. Additionally, the cumulative hazard for anuria was significantly lower in the incremental group versus the full dose group (P = 0.006).Conclusions Our study shows a time-related survival advantage for incremental peritoneal dialysis patients, suggesting that an incremental regimen for starting peritoneal dialysis is feasible and is not associated with worse outcomes.</t>
  </si>
  <si>
    <t>[Liu, Ruihua; Ye, Hongjian; Peng, Yuan; Yi, Chunyan; Lin, Jianxiong; Wu, Haishan; Diao, Xiangwen; Mao, Haiping; Huang, Fengxian; Yang, Xiao] Sun Yat Sen Univ, Affiliated Hosp 1, Dept Nephrol, Guangzhou 510080, Guangdong, Peoples R China; [Liu, Ruihua; Ye, Hongjian; Peng, Yuan; Wu, Haishan; Diao, Xiangwen; Mao, Haiping; Huang, Fengxian; Yang, Xiao] Sun Yat Sen Univ, NHC Key Lab Clin Nephrol, Guangzhou 510080, Peoples R China; [Liu, Ruihua; Ye, Hongjian; Peng, Yuan; Wu, Haishan; Diao, Xiangwen; Mao, Haiping; Huang, Fengxian; Yang, Xiao] Guangdong Prov Key Lab Nephrol, Guangzhou 510080, Peoples R China</t>
  </si>
  <si>
    <t>Sun Yat Sen University; Sun Yat Sen University</t>
  </si>
  <si>
    <t>Yang, X (corresponding author), Sun Yat Sen Univ, Affiliated Hosp 1, Dept Nephrol, Guangzhou 510080, Guangdong, Peoples R China.;Yang, X (corresponding author), Sun Yat Sen Univ, NHC Key Lab Clin Nephrol, Guangzhou 510080, Peoples R China.;Yang, X (corresponding author), Guangdong Prov Key Lab Nephrol, Guangzhou 510080, Peoples R China.</t>
  </si>
  <si>
    <t>yxiao@mail.sysu.edu.cn</t>
  </si>
  <si>
    <t>Guangdong Basic and Applied Basic Research Foundation [2019A1515011775]; Guangdong Provincial Key Laboratory of Nephrology [2020B1212060028]; NHC Key Laboratory of Clinical Nephrology (Sun Yat-Sen University)</t>
  </si>
  <si>
    <t>Guangdong Basic and Applied Basic Research Foundation; Guangdong Provincial Key Laboratory of Nephrology; NHC Key Laboratory of Clinical Nephrology (Sun Yat-Sen University)</t>
  </si>
  <si>
    <t>&amp; nbsp;This work was supported by the Guangdong Basic and Applied Basic Research Foundation (Grant no. 2019A1515011775), Guangdong Provincial Key Laboratory of Nephrology (Grant no. 2020B1212060028) and NHC Key Laboratory of Clinical Nephrology (Sun Yat-Sen University).</t>
  </si>
  <si>
    <t>1121-8428</t>
  </si>
  <si>
    <t>1724-6059</t>
  </si>
  <si>
    <t>J NEPHROL</t>
  </si>
  <si>
    <t>J. Nephrol.</t>
  </si>
  <si>
    <t>10.1007/s40620-023-01735-4</t>
  </si>
  <si>
    <t>P7NU2</t>
  </si>
  <si>
    <t>WOS:001052512100001</t>
  </si>
  <si>
    <t>Mahajan, V; Chouhan, R; Jamwal, VL; Kapoor, N; Gandhi, SG</t>
  </si>
  <si>
    <t>Mahajan, Vidushi; Chouhan, Rekha; Jamwal, Vijay Lakshmi; Kapoor, Nitika; Gandhi, Sumit G. G.</t>
  </si>
  <si>
    <t>A wound inducible chalcone synthase gene from Dysoxylum gotadhora (DbCHS) regulates flavonoid biosynthesis</t>
  </si>
  <si>
    <t>PHYSIOLOGY AND MOLECULAR BIOLOGY OF PLANTS</t>
  </si>
  <si>
    <t>Chalcone synthase; Dysoxylum gotadhora; Dysoxylum binectariferum; Flavonoids; Antimicrobial activity; Secondary metabolites</t>
  </si>
  <si>
    <t>POLYKETIDE SYNTHASES; EXPRESSION; ROHITUKINE; CLONING; BINECTARIFERUM; PROTEIN; DYSLIPIDEMIA; ARABIDOPSIS; METABOLISM; PROGRAMS</t>
  </si>
  <si>
    <t>Chalcone synthase (CHS) is a type III polyketide synthase and a key enzyme of the phenylpropanoid pathway that generates precursors for flavonoid biosynthesis. The tree species D. gotadhora is known for having an abundance of rohitukine, which has anti-inflammatory and immune-modulating effects. In this study, we used the leaves of D. gotadhora to clone CHS gene (DbCHS). The 1188-bp open reading frame (ORF) was part of the 1373-bp full-length DbCHS clone. Compared to other parts of the plant, DbCHS is expressed more in the leaves and fruits. This is linked to anti-microbial action against a panel of microbes in these tissues. The leaves and seeds extracts inhibit Bacillus subtilis, Streptococcus pyogenes, Bacillus cereus, and Candida albicans. When a plant is hurt, it leaves its tissues open to attack by microbes. To protect themselves, plants often make chemicals that kill microbes. We found that wounding had a big effect on the production of DbCHS. Based on these tests and the results of phylogenetic analysis and molecular docking, we believe that DbCHS is a wound-inducible enzyme that is needed to make flavonoids, which may give the plant antimicrobial properties.</t>
  </si>
  <si>
    <t>[Mahajan, Vidushi; Chouhan, Rekha; Jamwal, Vijay Lakshmi; Kapoor, Nitika; Gandhi, Sumit G. G.] CSIR Indian Inst Integrat Med, Canal Rd, Jammu 180001, India; [Mahajan, Vidushi; Jamwal, Vijay Lakshmi; Kapoor, Nitika; Gandhi, Sumit G. G.] Acad Sci &amp; Innovat Res AcSIR, Ghaziabad 201002, India; [Chouhan, Rekha] Guru Nanak Dev Univ, Amritsar 143005, Punjab, India</t>
  </si>
  <si>
    <t>Council of Scientific &amp; Industrial Research (CSIR) - India; CSIR - Indian Institute of Integrative Medicine (IIIM); Academy of Scientific &amp; Innovative Research (AcSIR); Guru Nanak Dev University</t>
  </si>
  <si>
    <t>Gandhi, SG (corresponding author), CSIR Indian Inst Integrat Med, Canal Rd, Jammu 180001, India.;Gandhi, SG (corresponding author), Acad Sci &amp; Innovat Res AcSIR, Ghaziabad 201002, India.</t>
  </si>
  <si>
    <t>sumit@iiim.res.in</t>
  </si>
  <si>
    <t>CSIR [HCP038]; ICMR</t>
  </si>
  <si>
    <t>CSIR(Council of Scientific &amp; Industrial Research (CSIR) - India); ICMR(Indian Council of Medical Research (ICMR))</t>
  </si>
  <si>
    <t>VM and RC are thankful to CSIR for JRF and SRF fellowships. NK is thankful to ICMR for JRF and SRF fellowships. SGG acknowledges financial support from CSIR Phytopharma Mission: HCP038.</t>
  </si>
  <si>
    <t>0971-5894</t>
  </si>
  <si>
    <t>0974-0430</t>
  </si>
  <si>
    <t>PHYSIOL MOL BIOL PLA</t>
  </si>
  <si>
    <t>Physiol. Mol. Biol. Plants</t>
  </si>
  <si>
    <t>10.1007/s12298-023-01344-2</t>
  </si>
  <si>
    <t>P6UY6</t>
  </si>
  <si>
    <t>WOS:001052018600001</t>
  </si>
  <si>
    <t>Mayr, KF; Agnolucci, P</t>
  </si>
  <si>
    <t>Mayr, Kentaro Florian; Agnolucci, Paolo</t>
  </si>
  <si>
    <t>Heterogeneous Impacts in Voluntary Agreements: A Changes-in-Changes Approach to the UK Climate Change Agreements</t>
  </si>
  <si>
    <t>Voluntary agreements; Environmental tax; Environmental subsidies; Energy; Changes-in-changes; Climate Change Agreements</t>
  </si>
  <si>
    <t>ENVIRONMENTAL AGREEMENTS; 33/50 PROGRAM; POLLUTION; PARTICIPATION; EFFICIENCY; EMISSIONS</t>
  </si>
  <si>
    <t>The limited microeconometric evidence on the efficacy of environmental Negotiated Agreements (NAs) is an obstacle to both their introduction and effective design. We help fill this gap by providing evidence on the impact of the second Climate Change Agreements (CCAs) on business electricity consumption and employment. The CCAs are NAs offering a reduction on the Climate Change Levy (CCL), an energy consumption tax, in exchange for commitments to improve energy efficiency. We use the novel changes-in-changes method to account for heterogeneity in treatment effects. Our results indicate that the second CCAs yielded improved outcomes compared to the counterfactual of full CCL with an average reduction of - 4.81% in electricity consumption. They also reveal the importance of allowing for heterogeneity, as the impact on electricity consumption at the identified deciles varied between - 9.33 and 12.54%. This is a marked difference from the first CCAs which were found to increase consumption. The heterogeneity in treatment response is corroborated when extending the study to two large industrial sectors in the sample and when studying firms selecting differing target reporting methods. Confirming the findings from earlier studies of the first scheme, our results indicate a non-statistically significant reduction in employment, about - 4.6% on average, for the second CCAs.</t>
  </si>
  <si>
    <t>[Mayr, Kentaro Florian] Univ Coll London Energy, 325, 14 Upper Woburn Pl, London WC1H 0NN, England; [Agnolucci, Paolo] UCL, Inst Sustainable Resources, London, England; [Agnolucci, Paolo] World Bank, Prospects Grp, Washington, DC USA</t>
  </si>
  <si>
    <t>University of London; University College London; The World Bank</t>
  </si>
  <si>
    <t>Mayr, KF (corresponding author), Univ Coll London Energy, 325, 14 Upper Woburn Pl, London WC1H 0NN, England.</t>
  </si>
  <si>
    <t>k.f.mayr@ucl.ac.uk</t>
  </si>
  <si>
    <t>EPSRC [EP/R513143/1]; UK Energy Research Centre [EP/S029575/1]</t>
  </si>
  <si>
    <t>EPSRC(UK Research &amp; Innovation (UKRI)Engineering &amp; Physical Sciences Research Council (EPSRC)); UK Energy Research Centre</t>
  </si>
  <si>
    <t>We would like to thank Mary Anderson (CAG Consultants), Laura Bell, Laura Edwards (both from the Department for Business, Energy and Industrial Strategy-BEIS), and the three anonymous reviewers for their thoughtful and valuable contributions towards this paper. Kentaro Mayr is grateful for the funding provided by the EPSRC (EP/R513143/1). Paolo Agnolucci would like to acknowledge funding from the UK Energy Research Centre (EP/S029575/1).</t>
  </si>
  <si>
    <t>10.1007/s10640-023-00797-z</t>
  </si>
  <si>
    <t>P6VU8</t>
  </si>
  <si>
    <t>WOS:001052040800001</t>
  </si>
  <si>
    <t>Meziani, S; Moussi, A; Chaouchi, S; Djema, O; Berouaken, M; Yaddaden, C</t>
  </si>
  <si>
    <t>Meziani, S.; Moussi, A.; Chaouchi, S.; Djema, O.; Berouaken, M.; Yaddaden, C.</t>
  </si>
  <si>
    <t>Nickel and Copper Electrochemical Deposition for Silicon Photovoltaic Metallization (vol 15, pg 4119, 2023)</t>
  </si>
  <si>
    <t>SILICON</t>
  </si>
  <si>
    <t>[Meziani, S.; Moussi, A.; Chaouchi, S.; Djema, O.; Berouaken, M.; Yaddaden, C.] Res Ctr Semicond Technol Energet, 02 BD Frantz Fanon,BP 140,7 Merveilles, Algiers, Algeria</t>
  </si>
  <si>
    <t>Meziani, S (corresponding author), Res Ctr Semicond Technol Energet, 02 BD Frantz Fanon,BP 140,7 Merveilles, Algiers, Algeria.</t>
  </si>
  <si>
    <t>mezianisam@yahoo.fr; A-moussi@CRTSE.dz; Chaouchi.Sofiane@CRTSE.dz; djemaoussama@CRTSE.dz; BerouakenMalika@CRTSE.dz; yaddadenechafiaa@CRTSE.dz</t>
  </si>
  <si>
    <t>1876-990X</t>
  </si>
  <si>
    <t>1876-9918</t>
  </si>
  <si>
    <t>SILICON-NETH</t>
  </si>
  <si>
    <t>Silicon</t>
  </si>
  <si>
    <t>10.1007/s12633-023-02625-x</t>
  </si>
  <si>
    <t>Chemistry, Physical; Materials Science, Multidisciplinary</t>
  </si>
  <si>
    <t>Chemistry; Materials Science</t>
  </si>
  <si>
    <t>P7OS1</t>
  </si>
  <si>
    <t>WOS:001052536200001</t>
  </si>
  <si>
    <t>Moreira, ARP; Belchior, FM; Maluf, RV; Almeida, CAS</t>
  </si>
  <si>
    <t>Moreira, A. R. P.; Belchior, F. M.; Maluf, R. V.; Almeida, C. A. S.</t>
  </si>
  <si>
    <t>Bulk fields localization on thick string-like brane in f(T) gravity</t>
  </si>
  <si>
    <t>GAUGE-FIELDS; MODELS; FERMIONS</t>
  </si>
  <si>
    <t>This paper aims to investigate the influence of torsion on bulk fields in the codimension two thick brane in f(T) modified teleparallel gravity. It is shown that the brane supports the localization of gauge field zero mode without an extra coupling. However, Kalb-Ramond and fermionic fields require a suitable coupling. Then, it is proposed a geometrical coupling based on results in 5D thick brane in modified teleparallel gravities. The Kalb-Ramond field is coupled to torsion scalar T through a gauge-invariant interaction. For the case of fermionic fields, we study the Dirac fermions and gravitino with a derivative geometrical coupling. For all of the fields, it obtained massive and resonant modes by employing the Schodinger-like approach.</t>
  </si>
  <si>
    <t>[Moreira, A. R. P.; Belchior, F. M.; Maluf, R. V.; Almeida, C. A. S.] Univ Fed Ceara UFC, Dept Fis, CP 6030,Campus Pici, BR-60455760 Fortaleza, CE, Brazil; [Maluf, R. V.] Univ Valencia, Ctr Mixto Univ Valencia, Dept Fis Teor, CSIC, Burjassot 46100, Valencia, Spain; [Maluf, R. V.] Univ Valencia, Ctr Mixto Univ Valencia, IFIC, CSIC, Burjassot 46100, Valencia, Spain</t>
  </si>
  <si>
    <t>Universidade Federal do Ceara; Consejo Superior de Investigaciones Cientificas (CSIC); CSIC - UAM - Institut de Fisica Teorica (IFT); University of Valencia; Consejo Superior de Investigaciones Cientificas (CSIC); CSIC - Instituto de Fisica Corpuscular (IFIC); University of Valencia</t>
  </si>
  <si>
    <t>Almeida, CAS (corresponding author), Univ Fed Ceara UFC, Dept Fis, CP 6030,Campus Pici, BR-60455760 Fortaleza, CE, Brazil.</t>
  </si>
  <si>
    <t>carlos@fisica.ufc.br</t>
  </si>
  <si>
    <t>Almeida, Carlos Alberto/E-2195-2013</t>
  </si>
  <si>
    <t>Almeida, Carlos Alberto/0000-0002-4841-761X</t>
  </si>
  <si>
    <t>Fundacao Cearense de Apoio ao Desenvolvimento Cientifico e Tecnologico (FUNCAP); Coordenacao de Aperfeicoamento de Pessoal de Nivel Superior (CAPES); Conselho Nacional de Desenvolvimento Cientifico e Tecnologico (CNPq) [200879/2022-7, 309553/2021-0]</t>
  </si>
  <si>
    <t>Fundacao Cearense de Apoio ao Desenvolvimento Cientifico e Tecnologico (FUNCAP)(Fundacao Cearense de Apoio ao Desenvolvimento Cientifico e Tecnologico (FUNCAP)); Coordenacao de Aperfeicoamento de Pessoal de Nivel Superior (CAPES)(Coordenacao de Aperfeicoamento de Pessoal de Nivel Superior (CAPES)); Conselho Nacional de Desenvolvimento Cientifico e Tecnologico (CNPq)(Conselho Nacional de Desenvolvimento Cientifico e Tecnologico (CNPQ))</t>
  </si>
  <si>
    <t>&amp; nbsp;The authors thank the Fundacao Cearense de Apoio ao Desenvolvimento Cientifico e Tecnologico (FUNCAP), the Coordenacao de Aperfeicoamento de Pessoal de Nivel Superior (CAPES) and the Conselho Nacional de Desenvolvimento Cientifico e Tecnologico (CNPq), Grants no. 200879/2022-7 (RVM) and no. 309553/2021-0 (CASA) for financial support. R. V. Maluf acknowledges the Departament de Fisica Teorica de la Universitat de Valencia for the kind hospitality.</t>
  </si>
  <si>
    <t>10.1140/epjp/s13360-023-04343-0</t>
  </si>
  <si>
    <t>P7YR3</t>
  </si>
  <si>
    <t>WOS:001052796100002</t>
  </si>
  <si>
    <t>Mulas, R; Zucal, G</t>
  </si>
  <si>
    <t>Mulas, Raffaella; Zucal, Giulio</t>
  </si>
  <si>
    <t>A measure-theoretic representation of graphs</t>
  </si>
  <si>
    <t>Network distances; Graph limits; Action convergence; Graphops</t>
  </si>
  <si>
    <t>LIMITS</t>
  </si>
  <si>
    <t>Inspired by the notion of action convergence in graph limit theory, we introduce a measure-theoretic representation of matrices, and we use it to define a new notion of pseudo-metric on the space of matrices. Moreover, we show that such pseudo-metric is a metric on the subspace of adjacency or Laplacian matrices for graphs. Hence, in particular, we obtain a metric for isomorphism classes of graphs. Additionally, we study how some properties of graphs translate in this measure representation, and we show how our analysis contributes to a simpler understanding of action convergence of graphops.</t>
  </si>
  <si>
    <t>[Mulas, Raffaella; Zucal, Giulio] Max Planck Inst Math Sci, Leipzig, Germany; [Mulas, Raffaella] Vrije Univ Amsterdam, Amsterdam, Netherlands</t>
  </si>
  <si>
    <t>Max Planck Society; Vrije Universiteit Amsterdam</t>
  </si>
  <si>
    <t>Zucal, G (corresponding author), Max Planck Inst Math Sci, Leipzig, Germany.</t>
  </si>
  <si>
    <t>zucal@mis.mpg.de</t>
  </si>
  <si>
    <t>10.1007/s10998-023-00536-3</t>
  </si>
  <si>
    <t>P6AH8</t>
  </si>
  <si>
    <t>WOS:001051477300001</t>
  </si>
  <si>
    <t>Najafi, M; Gholipour, K; Amerzadeh, M; Kiaei, MZ; Kalhor, R</t>
  </si>
  <si>
    <t>Najafi, Mahdieh; Gholipour, Kamal; Amerzadeh, Mohammad; Kiaei, Mohammad Zakaria; Kalhor, Rohollah</t>
  </si>
  <si>
    <t>A framework for elderly participation in Primary Health Care in Tabriz Health complexes</t>
  </si>
  <si>
    <t>Elderly; Primary Health Care; Health complexes</t>
  </si>
  <si>
    <t>OLDER-ADULTS; CHRONIC DISEASES; GENERAL-PRACTICE; INTERVENTION; COMMUNICATION; INVOLVEMENT; IMPROVE; QUALITY; PEOPLE; IMPACT</t>
  </si>
  <si>
    <t>BackgroundA framework for increasing elderly participation in Primary Health Care (PHC) is a vital issue considering the growing population. After examining the situation and elderly participation in the provision of PHC in the health complexes of Tabriz City, the present study presents the framework of elderly participation in PHC.MethodsThis is a mixed-method study. First, we reviewed the models of elderly participation in PHC worldwide using a comprehensive search of literature. Then, we extracted the service providers' and the elderly's views regarding the obstacles and solutions for the elderly participation in PHC in Iran using the interviews and focus group discussions (FGD). We conducted three FGDs (8-10 people) and seven individual interviews. Data were analyzed using the content analysis method. We developed the proposed framework for the participation of the elderly in PHC using a panel of experts and checked and confirmed the framework's validity using the Delphi technique with 11 experts from the content validity index and modified kappa coefficient.ResultsBased on the result of included studies in the systematic review, the characteristics of the participation models were classified into five areas: the characteristics of the service user, the main facilitator of the intervention, the type of ownership of the center, the subject and the method of participation. The solutions and obstacles, and problems presented by the service providers and users in different areas include 12 themes (elderly participation, home care, and self-care, respect for the elderly, cooperation of different organizations, service package for the elderly, referral system, planning for the elderly, considering insurance for the elderly, the role of informing the elderly, mental health of the elderly, physical space of centers and training of elderly caregivers) and 46 sub-themes. The final framework also includes five themes (approaches and strategies to attract participation, indicators, and consequences of participation of the elderly, implementation strategies of elderly care, implementation infrastructure and goals and areas of participation of the elderly) and sub-themes.ConclusionThe results of the study indicate that the final framework obtained should be used based on a systematic model for elderly participation in PHC and should be implemented and followed up based on local strategies and specific indicators, considering all capacities.</t>
  </si>
  <si>
    <t>[Najafi, Mahdieh] Qazvin Univ Med Sci, Student Res Comm, Sch Publ Hlth, Qazvin, Iran; [Gholipour, Kamal] Tabriz Univ Med Sci, Tabriz Hlth Serv Management Res Ctr, Sch Management &amp; Med Informat, Dept Hlth Policy &amp; Management, Tabriz, Iran; [Amerzadeh, Mohammad; Kalhor, Rohollah] Qazvin Univ Med Sci, Res Inst Prevent Noncommunicable Dis, Social Determinants Hlth Res Ctr, Qazvin, Iran; [Kiaei, Mohammad Zakaria] Qazvin Univ Med Sci, Sch Publ Hlth, Hlth Serv Management, Qazvin, Iran</t>
  </si>
  <si>
    <t>Qazvin University of Medical Sciences (QUMS); Tabriz University of Medical Science; Qazvin University of Medical Sciences (QUMS); Qazvin University of Medical Sciences (QUMS)</t>
  </si>
  <si>
    <t>Kalhor, R (corresponding author), Qazvin Univ Med Sci, Res Inst Prevent Noncommunicable Dis, Social Determinants Hlth Res Ctr, Qazvin, Iran.</t>
  </si>
  <si>
    <t>r.kalhor@gmail.com</t>
  </si>
  <si>
    <t>10.1186/s12877-023-04217-1</t>
  </si>
  <si>
    <t>P6ZR4</t>
  </si>
  <si>
    <t>WOS:001052141900001</t>
  </si>
  <si>
    <t>Ohsumi, S</t>
  </si>
  <si>
    <t>Ohsumi, Shozo</t>
  </si>
  <si>
    <t>Reply to Is venous thromboembolism a time-dependent event in breast cancer patients taking tamoxifen?</t>
  </si>
  <si>
    <t>BREAST CANCER</t>
  </si>
  <si>
    <t>[Ohsumi, Shozo] Matsuyama Shimin Hosp, Dept Surg, 2-6-5 Otemachi, Matsuyama, Ehime 7900067, Japan</t>
  </si>
  <si>
    <t>Ohsumi, S (corresponding author), Matsuyama Shimin Hosp, Dept Surg, 2-6-5 Otemachi, Matsuyama, Ehime 7900067, Japan.</t>
  </si>
  <si>
    <t>s.ohsumi@matsuyama-shimin-hsp.or.jp</t>
  </si>
  <si>
    <t>1340-6868</t>
  </si>
  <si>
    <t>1880-4233</t>
  </si>
  <si>
    <t>BREAST CANCER-TOKYO</t>
  </si>
  <si>
    <t>Breast Cancer</t>
  </si>
  <si>
    <t>10.1007/s12282-023-01495-w</t>
  </si>
  <si>
    <t>Oncology; Obstetrics &amp; Gynecology</t>
  </si>
  <si>
    <t>P7NU5</t>
  </si>
  <si>
    <t>WOS:001052512400001</t>
  </si>
  <si>
    <t>Riaz, M; Majid, M; Mir, J</t>
  </si>
  <si>
    <t>Riaz, Majid; Majid, Muhammad; Mir, Junaid</t>
  </si>
  <si>
    <t>High dynamic range multimedia: better affective agent for human emotional experience</t>
  </si>
  <si>
    <t>High dynamic range; HDR multimedia; Emotion elicitation; Affective agents</t>
  </si>
  <si>
    <t>MODEL; HDR</t>
  </si>
  <si>
    <t>Affective computing is an important research area for developing an emotion recognition system. In such systems, stimuli for emotion elicitation are standard dynamic range (SDR) multimedia content. This study uses high dynamic range (HDR) multimedia content that effectively presents the scene's inherent colors and high dynamic range of luminance as stimuli for emotion elicitation, and its impact on human emotional experience with different personality traits is explored. For this purpose, four low and high-valence multimedia clips in SDR and HDR versions were shown to sixty subjects. Their emotional experience was recorded on a valence-arousal plane, which is then statistically analyzed in terms of the type of content and human personality traits. The results of the t-test with a 95% confidence interval show that HDR multimedia content elicits better emotions than SDR multimedia content and can be effectively utilized in emotion recognition systems for better emotion elicitation.</t>
  </si>
  <si>
    <t>[Riaz, Majid; Majid, Muhammad] Univ Engn &amp; Technol, Dept Comp Engn, Taxila, Pakistan; [Mir, Junaid] Univ Engn &amp; Technol, Dept Elect Engn, Taxila, Pakistan</t>
  </si>
  <si>
    <t>University of Engineering &amp; Technology Taxila; University of Engineering &amp; Technology Taxila</t>
  </si>
  <si>
    <t>Mir, J (corresponding author), Univ Engn &amp; Technol, Dept Elect Engn, Taxila, Pakistan.</t>
  </si>
  <si>
    <t>engineermajid787@gmail.com; m.majid@uettaxila.edu.pk; junaid.mir@uettaxila.edu.pk</t>
  </si>
  <si>
    <t>project entitled Brain Activity Analysis in response to High Dynamic Range content using Electroencephalography - Higher Education Commission (HEC) of Pakistan [21-1951/SRGP/RD/HEC/2018]</t>
  </si>
  <si>
    <t>project entitled Brain Activity Analysis in response to High Dynamic Range content using Electroencephalography - Higher Education Commission (HEC) of Pakistan</t>
  </si>
  <si>
    <t>This study was supported by the project entitled Brain Activity Analysis in response to High Dynamic Range content using Electroencephalography funded by the Higher Education Commission (HEC) of Pakistan under the Start-Up Research Grant Program (21-1951/SRGP/R &amp; D/HEC/2018).</t>
  </si>
  <si>
    <t>10.1007/s11042-023-16524-1</t>
  </si>
  <si>
    <t>Q0AU5</t>
  </si>
  <si>
    <t>WOS:001054228300005</t>
  </si>
  <si>
    <t>Ryang, TH; Choe, YH; Kim, YG; Ryo, SJ; Kim, JY</t>
  </si>
  <si>
    <t>Ryang, Tae-Hung; Choe, Yong-Hyon; Kim, Yong-Gil; Ryo, Se-Jong; Kim, Jong-Yon</t>
  </si>
  <si>
    <t>Quantum correlation dynamics of a three-qubit XXZ spin chain with spin-orbit coupling in the presence of intrinsic decoherence</t>
  </si>
  <si>
    <t>Intrinsic decoherence; Quantum correlations; Spin-orbit coupling; Three-qubit spin chain</t>
  </si>
  <si>
    <t>ANISOTROPIC SUPEREXCHANGE INTERACTION; ENTANGLEMENT</t>
  </si>
  <si>
    <t>We study on the quantum correlation dynamics of a three-qubit Heisenberg XXZ spin chain with spin-orbit coupling under the intrinsic decoherence. Mixed Werner state is assumed to be an initial state and the system evolves according to the exact Milburn's equation, not to the approximate one. The time evolution of the density matrix is calculated accurately, based on a new method other than the ones used in previous studies which studied intrinsic decoherence in two-qubit systems. We use the concurrence and quantum discord as computational measures to investigate the effects of various parameters on quantum correlations. It is shown that quantum correlation characteristics are irrespective of whether the system is ferromagnetic or antiferromagnetic. In contrast to Dzyaloshinskii-Moriya interaction, Kaplan-Shekhtman-Entin-Wohlman-Aharony interaction can be used to modify the frequency of quantum correlations. In general, under the intrinsic decoherence, quantum discord is more robust than entanglement, but it is possible to manipulate the anisotropic parameter to overcome decoherence and maintain the entanglement stably.</t>
  </si>
  <si>
    <t>[Ryang, Tae-Hung; Choe, Yong-Hyon; Ryo, Se-Jong; Kim, Jong-Yon] Univ Sci, Dept Phys, Pyongyang, South Korea; [Kim, Yong-Gil] Univ Sci, Sci Lib, Pyongyang, South Korea</t>
  </si>
  <si>
    <t>Ryang, TH (corresponding author), Univ Sci, Dept Phys, Pyongyang, South Korea.</t>
  </si>
  <si>
    <t>rth1991@star-co.net.kp</t>
  </si>
  <si>
    <t>Department of Physics, University of Science, Pyongyang, DPR Korea</t>
  </si>
  <si>
    <t>This work was supported by the Department of Physics, University of Science, Pyongyang, DPR Korea.</t>
  </si>
  <si>
    <t>10.1007/s11128-023-04055-5</t>
  </si>
  <si>
    <t>P7YL7</t>
  </si>
  <si>
    <t>WOS:001052790500001</t>
  </si>
  <si>
    <t>Sawa, M; Mizuochi, M; Matsumura, K; Aihara, M; Yamagami, S; Yamashita, H; Kaburaki, T</t>
  </si>
  <si>
    <t>Sawa, Mitsuru; Mizuochi, Masaharu; Matsumura, Kazunori; Aihara, Makoto; Yamagami, Satoru; Yamashita, Hidetoshi; Kaburaki, Toshikatsu</t>
  </si>
  <si>
    <t>A novel instrument to determine hue discrimination (vol 67, pg 353 , 2023)</t>
  </si>
  <si>
    <t>JAPANESE JOURNAL OF OPHTHALMOLOGY</t>
  </si>
  <si>
    <t>[Sawa, Mitsuru; Aihara, Makoto; Yamagami, Satoru; Yamashita, Hidetoshi; Kaburaki, Toshikatsu] Publ Interest Inc Fdn Isshinkai, Tokyo, Japan; [Sawa, Mitsuru; Yamagami, Satoru] Nihon Univ, Tokyo, Japan; [Mizuochi, Masaharu; Matsumura, Kazunori] Kowa Co, Tokyo, Japan; [Aihara, Makoto] Univ Tokyo, Tokyo, Japan; [Yamashita, Hidetoshi] Yamagata Univ, Yamagata, Japan; [Kaburaki, Toshikatsu] Jichi Med Univ, Saitama Med Ctr, Omiya, Japan</t>
  </si>
  <si>
    <t>Nihon University; Kowa Company, Ltd.; University of Tokyo; Yamagata University; Jichi Medical University</t>
  </si>
  <si>
    <t>Sawa, M (corresponding author), Publ Interest Inc Fdn Isshinkai, Tokyo, Japan.;Sawa, M (corresponding author), Nihon Univ, Tokyo, Japan.</t>
  </si>
  <si>
    <t>sawamtr@ivy.ocn.ne.jp</t>
  </si>
  <si>
    <t>0021-5155</t>
  </si>
  <si>
    <t>1613-2246</t>
  </si>
  <si>
    <t>JPN J OPHTHALMOL</t>
  </si>
  <si>
    <t>Jpn. J. Ophthalmol.</t>
  </si>
  <si>
    <t>10.1007/s10384-023-01019-1</t>
  </si>
  <si>
    <t>P7NN7</t>
  </si>
  <si>
    <t>WOS:001052505600001</t>
  </si>
  <si>
    <t>Schneider, M</t>
  </si>
  <si>
    <t>Schneider, Matthias</t>
  </si>
  <si>
    <t>Treatment of mandibular trauma through the ages</t>
  </si>
  <si>
    <t>MKG-CHIRURGIE</t>
  </si>
  <si>
    <t>Surgical procedures; Osteosynthesis; Bone plates; Diagnostic radiology; Antibiotics</t>
  </si>
  <si>
    <t>CONDYLAR NECK FRACTURES; SURGICAL-TREATMENT; OSTEOSYNTHESIS</t>
  </si>
  <si>
    <t>A close look at the past facilitates understanding of the biomechanical principles of current trauma treatment methods and enables optimization through readoption of partly forgotten techniques. Since the time of Hippocrates, various methods to treat mandibular fractures have been described, all with the aim of repositioning and immobilizing the bone fragments. In recent decades, the perfection of anesthesia and diagnostic radiology, the introduction of antibiotics, and the development of instruments and osteosynthesis materials have significantly reduced morbidity.</t>
  </si>
  <si>
    <t>[Schneider, Matthias] Praxis Mund Kiefer &amp; Plast Gesichtschirurg, Dr Kulz Ring 15, D-01067 Dresden, Germany; [Schneider, Matthias] Stadt Klinikum Dresden, Belegabteilung Mund Kiefer &amp; Gesichtschirurg, Dresden, Germany</t>
  </si>
  <si>
    <t>Technische Universitat Dresden; Municipal Hospital Dresden</t>
  </si>
  <si>
    <t>Schneider, M (corresponding author), Praxis Mund Kiefer &amp; Plast Gesichtschirurg, Dr Kulz Ring 15, D-01067 Dresden, Germany.</t>
  </si>
  <si>
    <t>m.schneider@mkgdresden.de</t>
  </si>
  <si>
    <t>2731-748X</t>
  </si>
  <si>
    <t>2731-7498</t>
  </si>
  <si>
    <t>MKG-Chir.</t>
  </si>
  <si>
    <t>10.1007/s12285-023-00432-2</t>
  </si>
  <si>
    <t>P7MV5</t>
  </si>
  <si>
    <t>WOS:001052487400001</t>
  </si>
  <si>
    <t>Schorderet, C; Bastiaenen, CHG; de Bie, RA; Marechal, M; Vuilleumier, N; Allet, L</t>
  </si>
  <si>
    <t>Schorderet, Chloe; Bastiaenen, Caroline H. G.; de Bie, Robert A.; Marechal, Marc; Vuilleumier, Noemie; Allet, Lara</t>
  </si>
  <si>
    <t>Development of a tool to assess environmental factors to support home care - a Delphi study</t>
  </si>
  <si>
    <t>Environmental factors; Home care; Environment; Assessment; Delphi</t>
  </si>
  <si>
    <t>SELF-ASSESSMENT TOOL; HEALTH; INTERVENTION; QUALITY; MODEL</t>
  </si>
  <si>
    <t>Background Living in an adequate environment suited to one's abilities and needs is an essential condition to function in daily life. However, no complete tool currently exists to provide a rapid overview of a person's environment, both material (accommodation and auxiliary means) and social (entourage and available services). Our aim was to develop a tool to identify potentially problematic environmental factors and to determine when an in-depth assessment is necessary. Methods Health professionals experienced in home-based treatment participated in a three-round Delphi process. The first round aimed to define which items the tool should contain, the second to collect participants' opinions on a first version of the tool, and the third to collect the participants' opinions on the adapted version of the tool. Results A total of 29 people participated in the first round, 21 in the second and 18 in the third. The final tool contains 205 items divided into four categories (basic information about the inhabitant and their home, inhabitant's level of independence and autonomy, home, tools and means at the inhabitant's disposition) and two annexes (stairs to access to the home, internal staircase to the dwelling). Conclusions A complete tool allowing professionals working in patients' homes to obtain an overview of the environmental factors that could represent obstacles to the independence of the inhabitant, or to the possibility of providing quality care could be developed. This tool is very complete but relatively long. To facilitate its usability, it would be relevant that a digital version to focus on individual relevant categories be elaborated.</t>
  </si>
  <si>
    <t>[Schorderet, Chloe; Allet, Lara] Univ Appl Sci &amp; Arts Western Switzerland, Sch Hlth Sci, HES SO Valais Wallis, Valais, Sion, Switzerland; [Schorderet, Chloe; Bastiaenen, Caroline H. G.; de Bie, Robert A.] Maastricht Univ, Care &amp; Publ Hlth Res Inst CAPHRI, Dept Epidemiol, Maastricht, Netherlands; [Schorderet, Chloe; Allet, Lara] Sense Innovat &amp; Res Ctr, Lausanne, Switzerland; [Schorderet, Chloe; Allet, Lara] Sense Innovat &amp; Res Ctr, Sion, Switzerland; [Marechal, Marc; Vuilleumier, Noemie] Neuchatel Lung Assoc, Neuchatel, Switzerland; [Allet, Lara] Univ Hosp, Dept Community Med, Geneva, Switzerland; [Allet, Lara] Univ Geneva, Geneva, Switzerland</t>
  </si>
  <si>
    <t>University of Applied Sciences &amp; Arts Western Switzerland; Maastricht University; University of Geneva; University of Geneva</t>
  </si>
  <si>
    <t>Schorderet, C (corresponding author), Univ Appl Sci &amp; Arts Western Switzerland, Sch Hlth Sci, HES SO Valais Wallis, Valais, Sion, Switzerland.;Schorderet, C (corresponding author), Maastricht Univ, Care &amp; Publ Hlth Res Inst CAPHRI, Dept Epidemiol, Maastricht, Netherlands.;Schorderet, C (corresponding author), Sense Innovat &amp; Res Ctr, Lausanne, Switzerland.</t>
  </si>
  <si>
    <t>chloe.schorderet@hevs.ch</t>
  </si>
  <si>
    <t>10.1186/s12877-023-04207-3</t>
  </si>
  <si>
    <t>WOS:001052141900007</t>
  </si>
  <si>
    <t>Shamsaie, P; Hosseini, SE; Asadi, G; Sharifan, A</t>
  </si>
  <si>
    <t>Shamsaie, Parisa; Hosseini, Seyed Ebrahim; Asadi, Gholamhassan; Sharifan, Anousheh</t>
  </si>
  <si>
    <t>Production and Characterization of a Novel Symbiotic Plant-based Beverage Rich in Antioxidant Phenolic: Mung Bean and Rye Sprouts</t>
  </si>
  <si>
    <t>Mung bean; Prebiotic; Probiotic; Rye sprouts; Symbiotic; Antioxidant</t>
  </si>
  <si>
    <t>LACTOBACILLUS-CASEI; FERMENTATION; STABILITY; SURVIVAL; STRAIN; JUICE</t>
  </si>
  <si>
    <t>There is an increasing demand for non-dairy probiotic food due to the constraints associated with dairy probiotics. In this study, a co-culture synbiotic beverage was prepared using a mixture of mung bean and rye sprouts inoculated with Lactobacillus plantarum (B-28) and Lactobacillus casei (B-29), along with inulin and oligofructose as prebiotics. The effects of prebiotic addition and starter culture on the survival of probiotics during cold storage and simulated gastric conditions were examined. Additionally, titratable acidity, pH, phenolic content, antioxidant activity, and sensory characteristics were evaluated over a 28-day period. The resulting product demonstrated good survival for L. casei (10(7) CFU.ml(-1)) and L. plantarum (10(6) CFU.ml(-1)) after 4 weeks under refrigeration with no significant changes in quality. The samples exhibited significantly high total phenolic content (TPC), ranging from 19.18 to 25.75 mg GAE/100 mL, which L. casei-containing drinks exhibited the highest TPC activity (p &lt; 0.05). All treatments showed a significant reduction in probiotic survival during gastrointestinal digestion in the laboratory conditions (p &lt; 0.05), although more than 50% survival was observed for all strains. The addition of prebiotics to the beverages led to a significant decrease in phenolic content (p &lt; 0.05), but improved sensory scores. The highest turbidity was observed in the sample containing both probiotics and inulin on the 28th day at 38.1 (NTU). In general, the synergistic effect of probiotics was more pronounced when used together with both prebiotics in the beverages compared to their individual use. The results suggest that the production of this beverage could serve as a nutritious alternative to lactose-sensitive dairy beverages and contribute to the development of future probiotic food products.</t>
  </si>
  <si>
    <t>[Shamsaie, Parisa; Hosseini, Seyed Ebrahim; Asadi, Gholamhassan; Sharifan, Anousheh] Islamic Azad Univ, Dept Food Sci &amp; Technol, Sci &amp; Res Branch, Tehran, Iran</t>
  </si>
  <si>
    <t>Hosseini, SE (corresponding author), Islamic Azad Univ, Dept Food Sci &amp; Technol, Sci &amp; Res Branch, Tehran, Iran.</t>
  </si>
  <si>
    <t>parisa.shamsaee1402@gmail.com; ebhoseini@srbiau.ac.ir</t>
  </si>
  <si>
    <t>10.1007/s11130-023-01093-3</t>
  </si>
  <si>
    <t>R0RI4</t>
  </si>
  <si>
    <t>WOS:001051146900001</t>
  </si>
  <si>
    <t>Tuiyott, A; Garrett, RC; Carter, L; Schweitzer, B; Maurer, K; Fisher, TJ</t>
  </si>
  <si>
    <t>Tuiyott, Alison; Garrett, Robert C. C.; Carter, Lydia; Schweitzer, Benjamin; Maurer, Karsten; Fisher, Thomas J. J.</t>
  </si>
  <si>
    <t>Immigrant residency and happiness in New York City</t>
  </si>
  <si>
    <t>Data expo; Happiness score; Immigrant residency; New York City housing and Vacancy survey</t>
  </si>
  <si>
    <t>We explore the quality of life of immigrants in New York City through housing and neighborhood conditions by creating a happiness metric to measure a household's quality of life. Utilizing data provided by the New York City Housing and Vacancy Survey, the New York City Police Department, the New York City Department of Education, the New York City Department of Health and Mental Hygiene, along with reports from Happy City and the New Economics Foundation, a happiness score was assigned to each sub-borough in New York City. This happiness score evaluated five main domains: work, place, community, education, and health. As a result of this analysis, we discovered higher happiness scores were associated with lower percentages of immigrant households.</t>
  </si>
  <si>
    <t>[Tuiyott, Alison; Garrett, Robert C. C.; Carter, Lydia; Schweitzer, Benjamin; Maurer, Karsten; Fisher, Thomas J. J.] Miami Univ, Dept Stat, Oxford, OH 45056 USA</t>
  </si>
  <si>
    <t>Fisher, TJ (corresponding author), Miami Univ, Dept Stat, Oxford, OH 45056 USA.</t>
  </si>
  <si>
    <t>fishert4@miamioh.edu</t>
  </si>
  <si>
    <t>10.1007/s00180-023-01392-y</t>
  </si>
  <si>
    <t>P6US8</t>
  </si>
  <si>
    <t>WOS:001052012800001</t>
  </si>
  <si>
    <t>Xue, TE; Zhang, QY; Zhang, ZJ; Duan, K; Xiang, W</t>
  </si>
  <si>
    <t>Xue, Tianen; Zhang, Qiangyong; Zhang, Zhenjie; Duan, Kang; Xiang, Wen</t>
  </si>
  <si>
    <t>Geo-mechanical model test on excavation and support of deep tunnel crossing a fault under hydro-mechanical coupled condition</t>
  </si>
  <si>
    <t>ACTA GEOTECHNICA</t>
  </si>
  <si>
    <t>Deep tunnel crossing fault; Excavation stability; Geo-mechanical model test; Hydro-mechanical coupling; Support control</t>
  </si>
  <si>
    <t>WATER INRUSH; NUMERICAL-SIMULATION; MUD INRUSH; EVOLUTION; PRESSURE; ZONE; SOIL</t>
  </si>
  <si>
    <t>With the increase of burial depth, complex geological conditions such as high in situ stress, high seepage pressure and weak faults bring many adverse effects to the construction of deep tunnels. Taking Xianglushan Tunnel of Yunnan Water Diversion Project as the engineering background, we conduct a three-dimensional geo-mechanical model test under hydro-mechanical coupling to investigate the excavation stability and the supporting control of a deep tunnel crossing a weak fault. The test results reveal that: (1) The fault has adverse effects on the distribution of physical fields. In the fault, the stress of the surrounding rock is in the plastic state; the displacement and seepage pressure are larger. Accordingly, the contact pressure and seepage pressure of the lining become larger. (2) The distribution of contact pressure and seepage pressure on the lining is uneven. The contact pressure of the lining at the vault and the bottom is generally larger than that at the hance. The largest seepage pressure appears at the bottom, while the smallest at the vault. (3) There is a coupling effect between the stress field and the seepage field in the surrounding rock. The stress field affects the seepage field by changing the deformation of the surrounding rock. The seepage field simultaneously acts to the stress field. Test results obtained in this study will provide an experimental basis for further theoretical studies and engineering designs.</t>
  </si>
  <si>
    <t>[Xue, Tianen; Zhang, Qiangyong] Shandong Univ, Res Ctr Geotech &amp; Struct Engn, Jinan, Peoples R China; [Zhang, Zhenjie] 801 Inst Hydrogeol &amp; Engn Geol, Shandong Prov Bur Geol &amp; Mineral Resources, Jinan, Peoples R China; [Zhang, Zhenjie] Shandong Engn Res Ctr Environm Protect &amp; Remediat, Jinan, Peoples R China; [Duan, Kang] Shandong Univ, Sch Civil Engn, Jinan, Peoples R China; [Xiang, Wen] Shandong Univ, Sch Qilu Transportat, Jinan, Peoples R China</t>
  </si>
  <si>
    <t>Shandong University; Shandong University; Shandong University</t>
  </si>
  <si>
    <t>Zhang, QY (corresponding author), Shandong Univ, Res Ctr Geotech &amp; Struct Engn, Jinan, Peoples R China.;Zhang, ZJ (corresponding author), 801 Inst Hydrogeol &amp; Engn Geol, Shandong Prov Bur Geol &amp; Mineral Resources, Jinan, Peoples R China.;Zhang, ZJ (corresponding author), Shandong Engn Res Ctr Environm Protect &amp; Remediat, Jinan, Peoples R China.</t>
  </si>
  <si>
    <t>qiangyongz@sdu.edu.cn; zhangzj_2018@163.com</t>
  </si>
  <si>
    <t>Xue, Tianen/0009-0009-7327-5746</t>
  </si>
  <si>
    <t>Natural Science Foundation of China [42172292]; Taishan Scholars Project Special Funding; Shandong Energy Group [SNKJ2022A01-R26]</t>
  </si>
  <si>
    <t>Natural Science Foundation of China(National Natural Science Foundation of China (NSFC)); Taishan Scholars Project Special Funding; Shandong Energy Group</t>
  </si>
  <si>
    <t>This study was financially supported by Natural Science Foundation of China (No. 42172292), Taishan Scholars Project Special Funding and Shandong Energy Group (No. SNKJ2022A01-R26).</t>
  </si>
  <si>
    <t>1861-1125</t>
  </si>
  <si>
    <t>1861-1133</t>
  </si>
  <si>
    <t>ACTA GEOTECH</t>
  </si>
  <si>
    <t>Acta Geotech.</t>
  </si>
  <si>
    <t>10.1007/s11440-023-02001-4</t>
  </si>
  <si>
    <t>P6UK3</t>
  </si>
  <si>
    <t>WOS:001052004300002</t>
  </si>
  <si>
    <t>Zhang, N; Liang, JL; Li, DH</t>
  </si>
  <si>
    <t>Zhang, Na; Liang, Jinling; Li, Dehao</t>
  </si>
  <si>
    <t>PID Output-Feedback Control and Filtering for Positive Roesser System</t>
  </si>
  <si>
    <t>CIRCUITS SYSTEMS AND SIGNAL PROCESSING</t>
  </si>
  <si>
    <t>Roesser model; Positive system; PID output-feedback control; Exponential stability; l(1)-Gain bound</t>
  </si>
  <si>
    <t>STABILITY; MODELS; GAIN</t>
  </si>
  <si>
    <t>This paper considers the output-feedback-based proportional-integral-derivative (PID) control and filtering problems for the discrete-discrete Roesser system with disturbances. A PID output-feedback controller, where the integral loop is with fixed time-window, is first constructed for the two-dimensional system. By means of co positive Lyapunov function approach, sufficient conditions are proposed to ensure that the resulting closed-loop system is positive, exponentially stable and has an l(1)-gain bound ?. In addition, the gains of desired PID controller are then appropriately parameterized by solutions to certain linear programming problems. An illustrated example is provided to show effectiveness of the PID controller designed.</t>
  </si>
  <si>
    <t>[Zhang, Na; Liang, Jinling] Southeast Univ, Sch Math, Nanjing 210096, Peoples R China; [Li, Dehao] Jinling Inst Technol, Coll Sci, Nanjing 211169, Peoples R China</t>
  </si>
  <si>
    <t>Southeast University - China; Jinling Institute of Technology</t>
  </si>
  <si>
    <t>Liang, JL (corresponding author), Southeast Univ, Sch Math, Nanjing 210096, Peoples R China.</t>
  </si>
  <si>
    <t>220201682@seu.edu.cn; jinlliang@seu.edu.cn; lidehao300@163.com</t>
  </si>
  <si>
    <t>National Key Research and Development Program of China [2018AAA0100202]; Research Foundation of Jinling Institute of Technology [Jit-b-202047]; Fundamental Research Funds for the Central Universities [2242023K40010]</t>
  </si>
  <si>
    <t>National Key Research and Development Program of China; Research Foundation of Jinling Institute of Technology; Fundamental Research Funds for the Central Universities(Fundamental Research Funds for the Central Universities)</t>
  </si>
  <si>
    <t>AcknowledgementsThis work was supported in part by the National Key Research and Development Program of China under Grant 2018AAA0100202, in part by the Research Foundation of Jinling Institute of Technology under Grant Jit-b-202047, and in part by the Fundamental Research Funds for the Central Universities under Grant 2242023K40010.</t>
  </si>
  <si>
    <t>0278-081X</t>
  </si>
  <si>
    <t>1531-5878</t>
  </si>
  <si>
    <t>CIRC SYST SIGNAL PR</t>
  </si>
  <si>
    <t>Circuits Syst. Signal Process.</t>
  </si>
  <si>
    <t>10.1007/s00034-023-02484-2</t>
  </si>
  <si>
    <t>P6OV8</t>
  </si>
  <si>
    <t>WOS:001051859200001</t>
  </si>
  <si>
    <t>Banerjee, O; Cicowiez, M; Malek, Z; Verburg, PH; Vargas, R; Goodwin, S; Bagstad, KJ; Murillo, JA</t>
  </si>
  <si>
    <t>Banerjee, Onil; Cicowiez, Martin; Malek, ZIga; Verburg, Peter H.; Vargas, Renato; Goodwin, Sean; Bagstad, Kenneth J.; Murillo, Josue Avila</t>
  </si>
  <si>
    <t>Banking on strong rural livelihoods and the sustainable use of natural capital in post-conflict Colombia</t>
  </si>
  <si>
    <t>Dynamic computable general equilibrium (CGE) model; Ecosystem services modeling; Land use land cover modeling; Natural capital; Payment for ecosystem services; Habitat banking; Biodiversity</t>
  </si>
  <si>
    <t>LAND-USE; ENVIRONMENTAL SERVICES; SOIL-EROSION; CYANOBACTERIA; VALUATION; PROGRAMS; DYNAMICS; PAYMENTS; CLIMATE; BLOOMS</t>
  </si>
  <si>
    <t>In post-conflict Colombia, the government has prioritized resettlement of displaced people through development of strong rural livelihoods and the sustainable use of natural capital. In this paper, we considered government proposals for expanding payment for ecosystem services (PES) and sustainable silvopastoral systems, and private-sector investment in habitat banking. We coupled the Integrated Economic-Environmental Model (IEEM) with spatially explicit land use and land cover change and ecosystem services models to assess the potential impacts of these programs through the lens of wealth and sustainable economic development. This innovative workflow integrates dynamic endogenous feedbacks between natural capital, ecosystem services and the economic system, and can be applied to other country contexts. Results show that PES and habitat banking programs are strong investment propositions (Net Present Value of US$4.4 and $4.9 billion, respectively), but only when moving beyond conventional economic analysis to include non-market ecosystem services. Where a portfolio investment approach is taken and PES is implemented with sustainable silvopastoral systems, investment returns would reach US$7.1 billion. This paper provides a detailed evaluation of the benefits of investing in rural livelihoods and enhancing Colombia's natural capital base, with empirical evidence to inform the spatial targeting of policies to maximize economic, environmental and social outcomes.</t>
  </si>
  <si>
    <t>[Banerjee, Onil; Murillo, Josue Avila] Climate Change &amp; Sustainable Dev, Interamer Dev Bank, 1300 Nw York Ave NW, Washington, DC 20577 USA; [Cicowiez, Martin] Univ Nacl La Plata, Fac Ciencias Econ, Calle 6 entre 47 &amp; 48, 3er piso, oficina 312, RA-1900 La Plata, Argentina; [Malek, ZIga; Verburg, Peter H.] Vrije Univ Amsterdam, Inst Environm Studies IVM, De Boelelaan 1087, NL-1081 HV Amsterdam, Netherlands; [Vargas, Renato] CHW Res, 40 Ave 52-90 zona 16 Edif Trento Suite 403, Guatemala City 01016, Guatemala; [Goodwin, Sean] Univ Basque Country, BC3 Basque Ctr Climate Change, Sede Bldg 1,1st Floor,Sci Campus, Leioa 48940, Spain; [Bagstad, Kenneth J.] US Geol Survey, Geosci &amp; Environm Change Sci Ctr, POB 25046,MS 980, Denver, CO 80225 USA</t>
  </si>
  <si>
    <t>Inter-American Development Bank; National University of La Plata; Vrije Universiteit Amsterdam; Basque Centre for Climate Change (BC3); University of Basque Country; United States Department of the Interior; United States Geological Survey</t>
  </si>
  <si>
    <t>Banerjee, O (corresponding author), Climate Change &amp; Sustainable Dev, Interamer Dev Bank, 1300 Nw York Ave NW, Washington, DC 20577 USA.</t>
  </si>
  <si>
    <t>obanerjee@gmail.com</t>
  </si>
  <si>
    <t>Malek, Žiga/I-2517-2019; Verburg, Peter/A-8469-2010</t>
  </si>
  <si>
    <t>Malek, Žiga/0000-0002-6981-6708; Verburg, Peter/0000-0002-6977-7104</t>
  </si>
  <si>
    <t>Inter-American Development Bank; Department for Environment, Food and Rural Affairs (UK); U.S. Geological Survey's Land Change Science Program</t>
  </si>
  <si>
    <t>Inter-American Development Bank; Department for Environment, Food and Rural Affairs (UK)(Department for Environment, Food &amp; Rural Affairs (DEFRA)); U.S. Geological Survey's Land Change Science Program</t>
  </si>
  <si>
    <t>&amp; nbsp;This study was funded by the Inter-American Development Bank and the Department for Environment, Food and Rural Affairs (UK). Support for Kenneth J. Bagstad's time was provided by the U.S. Geological Survey's Land Change Science Program.</t>
  </si>
  <si>
    <t>2023 AUG 20</t>
  </si>
  <si>
    <t>10.1007/s10668-023-03740-w</t>
  </si>
  <si>
    <t>P5OQ0</t>
  </si>
  <si>
    <t>WOS:001051172300001</t>
  </si>
  <si>
    <t>Wang, Z; Yoo, SH; Oh, SK; Kim, EH; Wang, Z; Fu, ZW; Jiang, YP; Pedrycz, W</t>
  </si>
  <si>
    <t>Wang, Zhen; Yoo, Sung-Hoon; Oh, Sung-Kwun; Kim, Eun-Hu; Wang, Zheng; Fu, Zunwei; Jiang, Yuepeng; Pedrycz, Witold</t>
  </si>
  <si>
    <t>A study on hand gesture recognition algorithm realized with the aid of efficient feature extraction method and convolution neural networks: design and its application to VR environment</t>
  </si>
  <si>
    <t>Hand gesture recognition (HRG); Human-computer interaction (HCI); Time of flight (ToF) camera; Convolution neural network (CNN); Virtual reality (VR)</t>
  </si>
  <si>
    <t>MULTIOBJECTIVE OPTIMIZATION; CLASSIFICATION; VISION; CNN</t>
  </si>
  <si>
    <t>Humans maintain and develop interrelationships through various forms of communication, including verbal and nonverbal communications. Gestures, which constitute one of the most significant forms of nonverbal communication, convey meaning through diverse forms and movements across cultures. In recent decades, research efforts aimed at providing more natural, human-centered means of interacting with computers have garnered increasing interest. Technological advancements in real-time, vision-based hand motion recognition have become progressively suitable for human-computer interaction, aided by computer vision and pattern recognition techniques. Consequently, we propose an effective system for recognizing hand gestures using time-of-flight (ToF) cameras. The hand gesture recognition system outlined in the proposed method incorporates hand shape analysis, as well as robust fingertip and palm center detection. Furthermore, depth sensors, such as ToF cameras, enhance finger detection and hand gesture recognition performance, even in dark or complex backgrounds. Hand shape recognition is performed by comparing newly recognized hand gestures with pre-trained models using a YOLO algorithm-based convolutional neural network. The proposed hand gesture recognition system is implemented in real-world virtual reality applications, and its performance is evaluated based on detection performance and recognition rate outputs. Two distinct gesture recognition datasets, each emphasizing different aspects, were employed. The analysis of results and associated parameters was conducted to evaluate the performance and effectiveness. Experimental results demonstrate that the proposed system achieves competitive classification performance compared to conventional machine learning models evaluated on standard evaluation benchmarks.</t>
  </si>
  <si>
    <t>[Wang, Zhen] Univ Suwon, Sch Comp Sci, Hwaseong Si 445743, Gyeonggi Do, South Korea; [Yoo, Sung-Hoon; Oh, Sung-Kwun; Wang, Zheng] Univ Suwon, Sch Elect &amp; Elect Engn, Hwaseong Si 445743, Gyeonggi Do, South Korea; [Oh, Sung-Kwun; Kim, Eun-Hu; Wang, Zheng; Fu, Zunwei] Linyi Univ, Res Ctr Big Data &amp; Artificial Intelligence, Linyi 276005, Peoples R China; [Oh, Sung-Kwun] Seokyeong Univ, Dept Elect Engn, Seoul 02713, South Korea; [Jiang, Yuepeng] Northwestern Polytech Univ, Sch Comp Sci, Xian 710072, Peoples R China; [Pedrycz, Witold] Univ Alberta, Dept Elect &amp; Comp Engn, Edmonton, AB T6R 2V4, Canada; [Pedrycz, Witold] Istinye Univ, Fac Engn &amp; Nat Sci, Dept Comp Engn, Istanbul, Turkiye; [Pedrycz, Witold] Polish Acad Sci, Syst Res Inst, Warsaw, Poland</t>
  </si>
  <si>
    <t>Suwon University; Suwon University; Linyi University; Seokyeong University; Northwestern Polytechnical University; University of Alberta; Istinye University; Polish Academy of Sciences; Systems Research Institute of the Polish Academy of Sciences</t>
  </si>
  <si>
    <t>Oh, SK (corresponding author), Univ Suwon, Sch Elect &amp; Elect Engn, Hwaseong Si 445743, Gyeonggi Do, South Korea.;Oh, SK; Kim, EH (corresponding author), Linyi Univ, Res Ctr Big Data &amp; Artificial Intelligence, Linyi 276005, Peoples R China.;Oh, SK (corresponding author), Seokyeong Univ, Dept Elect Engn, Seoul 02713, South Korea.</t>
  </si>
  <si>
    <t>ohsk@suwon.ac.kr; eunhu84@gmail.com</t>
  </si>
  <si>
    <t>WANG, ZHEN/0000-0003-3927-0115</t>
  </si>
  <si>
    <t>National Research Foundation of Korea (NRF) - Korea Government (MSIT) [NRF-2021R1F1A1056102, NRF-2023K2A9A2A0 6060385]; Shandong Excellent Young Scientists Fund Program (Overseas) in China; Taishan Young Scholar Experts Project in China; Basic Science Research Program through the National Research Foundation of Korea (NRF) - Ministry of Education [NRF2022R1I1A1A01071671]</t>
  </si>
  <si>
    <t>National Research Foundation of Korea (NRF) - Korea Government (MSIT)(National Research Foundation of KoreaMinistry of Science, ICT &amp; Future Planning, Republic of KoreaMinistry of Science &amp; ICT (MSIT), Republic of Korea); Shandong Excellent Young Scientists Fund Program (Overseas) in China; Taishan Young Scholar Experts Project in China; Basic Science Research Program through the National Research Foundation of Korea (NRF) - Ministry of Education(National Research Foundation of KoreaMinistry of Education (MOE), Republic of KoreaNational Research Council for Economics, Humanities &amp; Social Sciences, Republic of Korea)</t>
  </si>
  <si>
    <t>This work was supported by the National Research Foundation of Korea (NRF) grant funded by the Korea Government (MSIT) (NRF-2021R1F1A1056102 &amp; amp; NRF-2023K2A9A2A0 6060385), and by Shandong Excellent Young Scientists Fund Program (Overseas) in China and by Taishan Young Scholar Experts Project in China, and also by Basic Science Research Program through the National Research Foundation of Korea (NRF) funded by the Ministry of Education (NRF2022R1I1A1A01071671).</t>
  </si>
  <si>
    <t>10.1007/s00500-023-09077-w</t>
  </si>
  <si>
    <t>P5NU3</t>
  </si>
  <si>
    <t>WOS:001051150600001</t>
  </si>
  <si>
    <t>Blasone, M; Giacosa, F; Smaldone, L; Torrieri, G</t>
  </si>
  <si>
    <t>Blasone, Massimo; Giacosa, Francesco; Smaldone, Luca; Torrieri, Giorgio</t>
  </si>
  <si>
    <t>Neutrino oscillations in the interaction picture</t>
  </si>
  <si>
    <t>EUROPEAN PHYSICAL JOURNAL C</t>
  </si>
  <si>
    <t>QUANTUM-FIELD THEORY; DECAY</t>
  </si>
  <si>
    <t>We study the mixing of different kind of fields (scalar in 0+1D, scalar in 3+1D, fermion in 3+1D) treating the mixing term as an interaction. To this aim, we employ the usual perturbative series in the interaction picture. We find that expression for flavor changing probability exhibits corrections with respect to the usual quantum mechanical (e.g. neutrino) oscillation formula, in agreement with the result previously obtained in the non-perturbative flavor Fock space approach.</t>
  </si>
  <si>
    <t>[Blasone, Massimo; Smaldone, Luca] Univ Salerno, Dipartimento Fis, Via Giovanni Paolo 2132, I-84084 Fisciano, SA, Italy; [Blasone, Massimo; Smaldone, Luca] INFN, Grp Collegato Salerno, Sez Napoli, Salerno, Italy; [Giacosa, Francesco; Torrieri, Giorgio] Jan Kochanowski Univ Humanities &amp; Sci, Inst Phys, ul Uniwersytecka 7, PL-25406 Kielce, Poland; [Giacosa, Francesco] Goethe Univ Frankfurt, Inst Theoret Phys, Max von Laue Str 1, D-60438 Frankfurt, Germany; [Torrieri, Giorgio] Univ Estadual Campinas, Inst Fis Gleb Wataghin, BR-13083859 Campinas, SP, Brazil</t>
  </si>
  <si>
    <t>University of Salerno; Istituto Nazionale di Fisica Nucleare (INFN); Jan Kochanowski University; Goethe University Frankfurt; Universidade Estadual de Campinas</t>
  </si>
  <si>
    <t>Smaldone, L (corresponding author), Univ Salerno, Dipartimento Fis, Via Giovanni Paolo 2132, I-84084 Fisciano, SA, Italy.;Smaldone, L (corresponding author), INFN, Grp Collegato Salerno, Sez Napoli, Salerno, Italy.</t>
  </si>
  <si>
    <t>lsmaldone@unisa.it</t>
  </si>
  <si>
    <t>Giacosa, Francesco/AAN-8942-2020; Smaldone, Luca/JBJ-0154-2023</t>
  </si>
  <si>
    <t>Giacosa, Francesco/0000-0002-7290-9366; Smaldone, Luca/0000-0002-6738-5537</t>
  </si>
  <si>
    <t>Polish National Science Center [2018/31/D/ST2/02048]; Bolsa de produtividade CNPQ; Bolsa de pesquisa FAPESP; Participation to Tematico FAPESP; Polish National Agency for Academic Exchange; Polish National Science Centre (NCN) via the OPUS project; [306152/2020-7]; [2021/01700-2]; [2017/05685-2]; [BPN/ULM/2021/1/00039]; [2019/33/B/ST2/00613]</t>
  </si>
  <si>
    <t>Polish National Science Center; Bolsa de produtividade CNPQ; Bolsa de pesquisa FAPESP(Fundacao Amazonia de Amparo a Estudos e Pesquisas (FAPESPA)); Participation to Tematico FAPESP; Polish National Agency for Academic Exchange(Polish National Agency for Academic Exchange (NAWA)); Polish National Science Centre (NCN) via the OPUS project; ; ; ; ;</t>
  </si>
  <si>
    <t>L.S. was supported by the Polish National Science Center grant 2018/31/D/ST2/02048. G.T.&amp; nbsp;acknowledges support from Bolsa de produtividade CNPQ 306152/2020-7, Bolsa de pesquisa FAPESP 2021/01700-2, Participation to Tematico FAPESP, 2017/05685-2 and the grant BPN/ULM/2021/1/00039 from the Polish National Agency for Academic Exchange. F. G. thanks S. Mrowczynski for useful discussions and financial support from the Polish National Science Centre (NCN) via the OPUS project 2019/33/B/ST2/00613.</t>
  </si>
  <si>
    <t>1434-6044</t>
  </si>
  <si>
    <t>1434-6052</t>
  </si>
  <si>
    <t>EUR PHYS J C</t>
  </si>
  <si>
    <t>Eur. Phys. J. C</t>
  </si>
  <si>
    <t>AUG 19</t>
  </si>
  <si>
    <t>10.1140/epjc/s10052-023-11867-3</t>
  </si>
  <si>
    <t>Physics, Particles &amp; Fields</t>
  </si>
  <si>
    <t>P6BF7</t>
  </si>
  <si>
    <t>WOS:001051501400001</t>
  </si>
  <si>
    <t>da Rocha, R; Silva, PHO</t>
  </si>
  <si>
    <t>da Rocha, R.; Silva, P. H. O.</t>
  </si>
  <si>
    <t>Configurational entropy and shape complexity of strange vector kaons in AdS/QCD</t>
  </si>
  <si>
    <t>INFORMATION; MESONS; KINKS</t>
  </si>
  <si>
    <t>The mass spectrum of strange vector kaons resonances is scrutinized, using AdS/QCD with a deformed dilaton that arises from the constituent quark masses. Both the differential configurational entropy and the differential configurational complexity are computed and used to achieve the mass spectrum of strange vector kaons resonances with higher radial quantum numbers. This approach amalgamates AdS/QCD and the experimental mass spectrum of already detected strange vector kaons in the Particle Data Group, providing a hybrid technique to study the next generation of strange vector kaons resonances.</t>
  </si>
  <si>
    <t>[da Rocha, R.] Fed Univ ABC, Ctr Math, BR-09580210 Santo Andre, Brazil; [Silva, P. H. O.] Fed Univ ABC, Ctr Phys, BR-09580210 Santo Andre, Brazil</t>
  </si>
  <si>
    <t>da Rocha, R (corresponding author), Fed Univ ABC, Ctr Math, BR-09580210 Santo Andre, Brazil.</t>
  </si>
  <si>
    <t>roldao.rocha@ufabc.edu.br; silva.pedro@ufabc.edu.br</t>
  </si>
  <si>
    <t>da Rocha, Roldao/B-7682-2012</t>
  </si>
  <si>
    <t>da Rocha, Roldao/0000-0003-3978-532X</t>
  </si>
  <si>
    <t>Sao Paulo Research Foundation FAPESP [2021/01089-1, 2022/01734-7]; National Council for Scientific and Technological Development-CNPq [303390/2019-0]; Coordination for the Improvement of Higher Education Personnel (CAPES-Brazil) [001]</t>
  </si>
  <si>
    <t>Sao Paulo Research Foundation FAPESP(Fundacao de Amparo a Pesquisa do Estado de Sao Paulo (FAPESP)); National Council for Scientific and Technological Development-CNPq(Conselho Nacional de Desenvolvimento Cientifico e Tecnologico (CNPQ)); Coordination for the Improvement of Higher Education Personnel (CAPES-Brazil)(Coordenacao de Aperfeicoamento de Pessoal de Nivel Superior (CAPES))</t>
  </si>
  <si>
    <t>RdR &amp; nbsp;is grateful to The Sao Paulo Research Foundation FAPESP (Grant No. 2021/01089-1 and No. 2022/01734-7) and the National Council for Scientific and Technological Development-CNPq (Grant No. 303390/2019-0), for partial financial support. PHOS thanks to Coordination for the Improvement of Higher Education Personnel (CAPES-Brazil) (Grant No. 001).</t>
  </si>
  <si>
    <t>10.1140/epjp/s13360-023-04372-9</t>
  </si>
  <si>
    <t>P4XJ9</t>
  </si>
  <si>
    <t>WOS:001050705800001</t>
  </si>
  <si>
    <t>Fujihara, T; Shono, A; Katayama, N; Nikai, T; Shiratsuki, Y; Amano, Y; Saito, Y</t>
  </si>
  <si>
    <t>Fujihara, Tatsuya; Shono, Atsuko; Katayama, Nozomi; Nikai, Tetsuro; Shiratsuki, Yohei; Amano, Yoshihiro; Saito, Yoji</t>
  </si>
  <si>
    <t>Whole lung lavage decreases physiological dead space in patients with pulmonary alveolar proteinosis: two case reports</t>
  </si>
  <si>
    <t>Pulmonary alveolar proteinosis; Whole lung lavage; Carbon dioxide elimination per breath; Enghoff's dead space</t>
  </si>
  <si>
    <t>BackgroundPulmonary alveolar proteinosis (PAP) is a rare disease characterized by progressive accumulation of the alveolar surfactant. Whole lung lavage (WLL) using a high volume of warmed saline remains the standard therapy. However, no established bedside monitoring tool can evaluate the physiological effect of WLL in the perioperative period. Indirect calorimetry, which is generally used to measure resting energy expenditure, can detect carbon dioxide (CO2) production and mixed-expired partial pressure of CO2 breath by breath. In this physiological study, we calculated CO2 elimination per breath (VTCO2,br) and Enghoff's dead space using indirect calorimetry and measured the extravascular lung water index to reveal the effect of WLL.Case presentationWe measured VTCO2,br, Enghoff's dead space, and the extravascular lung water and cardiac indices before and after WLL to assess the reduction in shunt by washing out the surfactant. A total of four WLLs were performed in two PAP patients. The first case involved an Asian 62-year-old man who presented with a 3-month history of dyspnea on exertion. The second case involved an Asian 48-year-old woman with no symptoms. VTCO2,br increased, and the Enghoff's dead space decreased at 12 h following WLL. An increase in the extravascular lung water was detected immediately following WLL, leading to a transient increase in Enghoff's dead space.ConclusionWLL can increase efficient alveolar ventilation by washing out the accumulated surfactant. However, the lavage fluid may be absorbed into the lung tissues immediately after WLL and result in an increase in the extravascular lung water.</t>
  </si>
  <si>
    <t>[Fujihara, Tatsuya] Shimane Prefectural Cent Hosp, Div Emergency, 4-1-1 Himebara, Izumo, Shimane 6938555, Japan; [Fujihara, Tatsuya] Shimane Prefectural Cent Hosp, Crit Care Dept, 4-1-1 Himebara, Izumo, Shimane 6938555, Japan; [Shono, Atsuko] Showa Univ, Dept Intens Care Med, Sch Med, Tokyo, Japan; [Katayama, Nozomi; Nikai, Tetsuro; Saito, Yoji] Shimane Univ, Fac Med, Dept Anesthesiol, Izumo, Japan; [Shiratsuki, Yohei; Amano, Yoshihiro] Shimane Univ, Fac Med, Div Med Oncol, Izumo, Japan; [Shiratsuki, Yohei; Amano, Yoshihiro] Shimane Univ, Fac Med, Resp Med Dept Internal Med, Izumo, Japan</t>
  </si>
  <si>
    <t>Showa University; Shimane University; Shimane University; Shimane University</t>
  </si>
  <si>
    <t>Fujihara, T (corresponding author), Shimane Prefectural Cent Hosp, Div Emergency, 4-1-1 Himebara, Izumo, Shimane 6938555, Japan.;Fujihara, T (corresponding author), Shimane Prefectural Cent Hosp, Crit Care Dept, 4-1-1 Himebara, Izumo, Shimane 6938555, Japan.</t>
  </si>
  <si>
    <t>tatsuyahujihara898@gmail.com</t>
  </si>
  <si>
    <t>10.1186/s13256-023-04085-8</t>
  </si>
  <si>
    <t>P3TQ5</t>
  </si>
  <si>
    <t>WOS:001049905700001</t>
  </si>
  <si>
    <t>Hafeez, A; Cipriano, LE; Kim, RB; Zaric, GS; Schwarz, UI; Sarma, S</t>
  </si>
  <si>
    <t>Hafeez, Aneeka; Cipriano, Lauren E.; Kim, Richard B.; Zaric, Gregory S.; Schwarz, Ute I.; Sarma, Sisira</t>
  </si>
  <si>
    <t>Cost-Effectiveness Analysis of Pharmacogenomics (PGx)-Based Warfarin, Apixaban, and Rivaroxaban Versus Standard Warfarin for the Management of Atrial Fibrillation in Ontario, Canada</t>
  </si>
  <si>
    <t>PHARMACOECONOMICS</t>
  </si>
  <si>
    <t>ACUTE MYOCARDIAL-INFARCTION; ORAL ANTICOAGULANTS; ISCHEMIC-STROKE; SECONDARY PREVENTION; RISK-FACTORS; MORTALITY; THERAPY; EVENTS; RATES; METAANALYSIS</t>
  </si>
  <si>
    <t>ObjectiveTo assess the cost-effectiveness of pharmacogenomics (PGx)-based warfarin (i.e., warfarin dosing following genetic testing), apixaban, and rivaroxaban oral anticoagulation versus standard warfarin for the treatment of newly diagnosed patients with nonvalvular atrial fibrillation (AF) aged &amp; GE; 65 years.MethodsWe developed a Markov decision-analytic model to compare costs [2017 Canadian dollars (C$)] and quality-adjusted life years (QALYs) from the Ontario health care payer perspective over a life-time horizon. The parameters used in the model were derived from the published literature, the Ontario health care administrative database, and expert opinion. To account for the uncertainty of model parameters, we conducted extensive deterministic and probabilistic sensitivity analyses. The results were summarized using incremental cost-effectiveness ratios (ICERs) and cost-effectiveness acceptability curves.ResultsWe found that PGx-based warfarin had an ICER of C$17,584/QALY compared with standard warfarin, and apixaban had an ICER of C$64,590/QALY compared with PGx-based warfarin in our base-case analysis. Rivaroxaban was extendedly dominated by PGx-based warfarin and apixaban. The probabilistic sensitivity analysis showed that apixaban, rivaroxaban, PGx-based warfarin, and standard warfarin were cost-effective at some willingness-to-pay (WTP) thresholds. PGx-based warfarin had a higher probability of being cost-effective than apixaban (51.3% versus 14.3%) at a WTP threshold of C$50,000/QALY. At a WTP threshold of C$100,000/QALY, apixaban had a higher probability of being cost-effective than PGx-based warfarin (54.6% versus 22.6%).ConclusionWe found that PGx-based warfarin for patients with AF is cost-effective at a WTP threshold of C$50,000/QALY. Apixaban had a higher probability of being cost-effective (&gt; 50%) at a WTP threshold of C$93,000/QALY.</t>
  </si>
  <si>
    <t>[Hafeez, Aneeka; Cipriano, Lauren E.; Zaric, Gregory S.; Sarma, Sisira] Western Univ, Dept Epidemiol &amp; Biostat, London, ON, Canada; [Cipriano, Lauren E.; Zaric, Gregory S.] Western Univ, Ivey Business Sch, London, ON, Canada; [Kim, Richard B.; Schwarz, Ute I.] Western Univ, Dept Med, Div Clin Pharmacol, London, ON, Canada; [Kim, Richard B.; Schwarz, Ute I.] Western Univ, Dept Physiol &amp; Pharmacol, London, ON, Canada; [Sarma, Sisira] ICES Inst Clin Evaluat Sci, Toronto, ON, Canada</t>
  </si>
  <si>
    <t>Western University (University of Western Ontario); Western University (University of Western Ontario); Western University (University of Western Ontario); Western University (University of Western Ontario)</t>
  </si>
  <si>
    <t>Sarma, S (corresponding author), Western Univ, Dept Epidemiol &amp; Biostat, London, ON, Canada.;Sarma, S (corresponding author), ICES Inst Clin Evaluat Sci, Toronto, ON, Canada.</t>
  </si>
  <si>
    <t>ahafeez2@uwo.ca; lcipriano@ivey.ca; Richard.Kim@lhsc.on.ca; gzaric@ivey.ca; Ute.Schwarz@lhsc.on.ca; ssarma2@uwo.ca</t>
  </si>
  <si>
    <t>Ontario Ministry of Research, Innovation and Science [RE08-063]; Canadian Institutes of Health Research (CIHR) Personalized Health Catalyst [385209]; CIHR Canada Graduate Scholarship; University of Western Ontario; ICES; Ontario Ministry of Health (MOH); Ontario Ministry of Long-Term Care (MLTC)</t>
  </si>
  <si>
    <t>Ontario Ministry of Research, Innovation and Science; Canadian Institutes of Health Research (CIHR) Personalized Health Catalyst(Canadian Institutes of Health Research (CIHR)); CIHR Canada Graduate Scholarship(Canadian Institutes of Health Research (CIHR)); University of Western Ontario; ICES; Ontario Ministry of Health (MOH); Ontario Ministry of Long-Term Care (MLTC)</t>
  </si>
  <si>
    <t>This work was supported by the Ontario Ministry of Research, Innovation and Science (Ontario Research Fund-Research Excellence Grant [RE08-063], Principal Investigator: Kim RB), and Canadian Institutes of Health Research (CIHR) Personalized Health Catalyst Grant [Application No. 385209], Principal Investigator: Schwarz UI. Aneeka Hafeez would like to thank for funding from the CIHR Canada Graduate Scholarship and University of Western Ontario (Western Graduate Research Scholarship). This study was supported by ICES, which is funded by an annual grant from the Ontario Ministry of Health (MOH) and the Ontario Ministry of Long-Term Care (MLTC).</t>
  </si>
  <si>
    <t>1170-7690</t>
  </si>
  <si>
    <t>1179-2027</t>
  </si>
  <si>
    <t>Pharmacoeconomics</t>
  </si>
  <si>
    <t>2023 AUG 19</t>
  </si>
  <si>
    <t>10.1007/s40273-023-01309-z</t>
  </si>
  <si>
    <t>Economics; Health Care Sciences &amp; Services; Health Policy &amp; Services; Pharmacology &amp; Pharmacy</t>
  </si>
  <si>
    <t>Business &amp; Economics; Health Care Sciences &amp; Services; Pharmacology &amp; Pharmacy</t>
  </si>
  <si>
    <t>P4QP2</t>
  </si>
  <si>
    <t>WOS:001050511600001</t>
  </si>
  <si>
    <t>Jagadeesan, J; Subashree, D; Kirupanithi, DN</t>
  </si>
  <si>
    <t>Jagadeesan, J.; Subashree, D.; Kirupanithi, D. Nancy</t>
  </si>
  <si>
    <t>An Optimized Ensemble Support Vector Machine-Based Extreme Learning Model for Real-Time Big Data Analytics and Disaster Prediction</t>
  </si>
  <si>
    <t>COGNITIVE COMPUTATION</t>
  </si>
  <si>
    <t>Big data; Data preprocessing; City councils evolution (CCE); Ensemble support vector machine extreme learning machine (ESVM-ELM); Apache Spark platform</t>
  </si>
  <si>
    <t>The capacity to interact with environments, understand them, and make judgments on time defines smartness, the foundation of smart cities, and civilizations. The main motivation of this study is to satisfy the need for a real-time disaster-related application that increases the demand for novel techniques that are scalable with big data. The main aim of this paper is to analyze the input data to find the crucial features and accurately classify them into their appropriate disaster class with the help of social media. The disaster dataset contains numerous features which increase the dimensionality of the dataset. The existing techniques consume higher runtime memory for large training datasets and suffered from different drawbacks such as oversampling, computational cost, low speed, data imbalance, concept drift, and computational complexity. To overcome these drawbacks, this study presents a novel city councils evolution (CCE)-optimized ensemble support vector machine-based extreme learning machine (ESVM-ELM) model on Apache Spark for predicting disaster events in big data. The traditional serial processing issue is overcome in this paper using an appropriate parallelization technique which improves the speedup of the model and improves the time taken for classification. The ESVM-ELM model performs well with imbalanced datasets and handles the concept drift problem efficiently. The use of the CCE algorithm for optimizing the ESVM-ELM model offers improved accuracy, a better convergence rate, and minimal computational complexity. The efficiency of our model is demonstrated by validation using the disaster tweets dataset and comparison with the four underlying approaches, namely, naive Bayes, ELM, FCM, and Log-Based Abnormal Task Detection. The cross-validation method is utilized in this paper to generate an ensemble of ELM classifiers for decision-making utilizing an ESVM-ELM algorithm. The proposed model offers improvements in terms of accuracy, precision, recall, and F-measure values when compared to different baseline models. The experimental results demonstrated the efficiency of the ESVM-ELM model in improving the prediction accuracy, speedup, and scale-up for big data classification with reasonable processing time.</t>
  </si>
  <si>
    <t>[Jagadeesan, J.] Vinayaka Missions Res Fdn, Aarupadai Veedu Inst Technol, Dept Comp Sci &amp; Engn, Chennai 613104, Tamil Nadu, India; [Subashree, D.] NITTE Meenakshi Inst Technol, Dept Informat Sci &amp; Engn, Bangalore, Karnataka, India; [Kirupanithi, D. Nancy] Sathyabama Inst Sci &amp; Technol, Dept Comp Sci &amp; Engn, Chennai, Tamil Nadu, India</t>
  </si>
  <si>
    <t>Vinayaka Mission's Research Foundation; Aarupadai Veedu Institute Of Technology; Nitte Meenakshi Institute of Technology; Sathyabama Institute of Science &amp; Technology</t>
  </si>
  <si>
    <t>Jagadeesan, J (corresponding author), Vinayaka Missions Res Fdn, Aarupadai Veedu Inst Technol, Dept Comp Sci &amp; Engn, Chennai 613104, Tamil Nadu, India.</t>
  </si>
  <si>
    <t>jagdeesan@gmail.com</t>
  </si>
  <si>
    <t>1866-9956</t>
  </si>
  <si>
    <t>1866-9964</t>
  </si>
  <si>
    <t>COGN COMPUT</t>
  </si>
  <si>
    <t>Cogn. Comput.</t>
  </si>
  <si>
    <t>10.1007/s12559-023-10176-x</t>
  </si>
  <si>
    <t>Computer Science, Artificial Intelligence; Neurosciences</t>
  </si>
  <si>
    <t>Computer Science; Neurosciences &amp; Neurology</t>
  </si>
  <si>
    <t>P4XY1</t>
  </si>
  <si>
    <t>WOS:001050720400001</t>
  </si>
  <si>
    <t>Kataoka, Y; Thamrin, AH; Van Meter, R</t>
  </si>
  <si>
    <t>Kataoka, Yuka; Thamrin, Achmad Husni; Van Meter, Rodney</t>
  </si>
  <si>
    <t>ORP Gym: Online Oral Repetition Practice Support System for Large-scale Japanese-Speaking Courses Abroad</t>
  </si>
  <si>
    <t>Large-scale speaking course; Learning management system; Computer-mediated speaking practice and feedback; Online oral assessment</t>
  </si>
  <si>
    <t>CORRECTIVE FEEDBACK; WRITTEN FEEDBACK; LANGUAGE; LEARNERS; ENGLISH; ASR; PRONUNCIATION; YOUNG; SIZE</t>
  </si>
  <si>
    <t>Japanese language courses abroad tend to be large in scale, and they provide insufficient speaking practice during classroom hours. Computer-mediated speaking practice and feedback are promising for improving both the efficiency and the effect of language courses. Using an action research methodology, we observed detailed problems in a Japanese-speaking course at an Indian university in the first cycle and introduced a learning management system (LMS) to enable individual monitoring and feedback and oral assessments/exams in the second cycle. From the third cycle onward, the proposed LMS was extended as an online oral repetition practice support system (ORP Gym) to increase the number of computer-mediated oral assessments and to provide speaking practice and feedback throughout the course. Oral exam scores through the cyclic trials during the five-year action research were found to have significantly improved after the beginning of the ORP Gym. This research presents the practical difficulties with and lessons from extending the LMS to improve the quality and quantity of large-scale speaking courses abroad.</t>
  </si>
  <si>
    <t>[Kataoka, Yuka; Thamrin, Achmad Husni] Keio Univ, Grad Sch Media &amp; Governance, 5322 Endo, Fujisawa, Kanagawa 2520882, Japan; [Van Meter, Rodney] Keio Univ, Fac Environm &amp; Informat Studies, 5322 Endo, Fujisawa, Kanagawa 2520882, Japan</t>
  </si>
  <si>
    <t>Keio University; Keio University</t>
  </si>
  <si>
    <t>Kataoka, Y (corresponding author), Keio Univ, Grad Sch Media &amp; Governance, 5322 Endo, Fujisawa, Kanagawa 2520882, Japan.</t>
  </si>
  <si>
    <t>shori@sfc.wide.ad.jp</t>
  </si>
  <si>
    <t>JSPS KAKENHI [20J20043]</t>
  </si>
  <si>
    <t>This work was supported by JSPS KAKENHI Grant Number 20J20043</t>
  </si>
  <si>
    <t>10.1007/s11213-023-09657-9</t>
  </si>
  <si>
    <t>P5KZ0</t>
  </si>
  <si>
    <t>WOS:001051076600001</t>
  </si>
  <si>
    <t>Kokts-Porietis, RL; Morielli, AR; McNeil, J; Benham, JL; Courneya, KS; Cook, LS; Friedenreich, CM</t>
  </si>
  <si>
    <t>Kokts-Porietis, Renee L.; Morielli, Andria R.; McNeil, Jessica; Benham, Jamie L.; Courneya, Kerry S.; Cook, Linda S.; Friedenreich, Christine M.</t>
  </si>
  <si>
    <t>Prospective cohort of pre- and post-diagnosis alcohol consumption and cigarette smoking on survival outcomes: an Alberta Endometrial Cancer Cohort Study</t>
  </si>
  <si>
    <t>CANCER CAUSES &amp; CONTROL</t>
  </si>
  <si>
    <t>Endometrial cancer; Survival; Mortality; Smoking; Alcohol</t>
  </si>
  <si>
    <t>TOTAL PHYSICAL-ACTIVITY; TOBACCO USE; MORTALITY; RISK; EPIDEMIOLOGY; DRINKING; QUESTIONNAIRE; METAANALYSIS; DRINKERS; DIET</t>
  </si>
  <si>
    <t>Purpose To examine the independent and joint relationships between cigarette smoking and alcohol consumption with survival outcomes after endometrial cancer diagnosis. Methods Pre- and post-diagnosis smoking and drinking histories were obtained from endometrial cancer survivors diagnosed between 2002 and 2006 during in-person interviews at-diagnosis and at similar to 3 years post-diagnosis. Participants were followed until death or January 2022. Multivariable-adjusted hazard ratios (HRs) and 95% confidence intervals (CIs) were estimated with Cox proportional hazards regression for associations with disease-free survival (DFS) and overall survival (OS). Results During a median 16.9 years of follow-up (IQR = 15.5-18.1 years), 152 of the 540 participants had a DFS event (recurrence: n = 73; deaths: n = 79) and 134 died overall. Most participants in this cohort were current drinkers (pre = 61.3%; post = 64.7%) while few were current cigarette smokers (pre = 12.8%; post = 11.5%). Pre-diagnosis alcohol consumption was not associated with survival, yet post-diagnosis alcohol intake &gt;= 2 drinks/week was associated with worse OS compared with lifetime abstention (HR = 2.36, 95%CI = 1.00-5.54) as well as light intake (HR = 3.87, 95% CI = 1.67-8.96). Increased/consistently high alcohol intake patterns were associated with worse OS (HR = 2.91, 95% CI = 1.15-7.37) compared with patterns of decreased/ceased intake patterns after diagnosis. A harmful dose-response relationship per each additional pre-diagnosis smoking pack-year with OS was noted among ever smokers. In this cohort, smoking and alcohol individually were not associated with DFS and combined pre-diagnosis smoking and alcohol intakes were not associated with either outcome. Conclusion Endometrial cancer survivors with higher alcohol intakes after diagnosis had poorer OS compared with women who had limited exposure. Larger studies powered to investigate the individual and joint impacts of cigarette smoking and alcohol use patterns are warranted to provide additional clarity on these modifiable prognostic factors.</t>
  </si>
  <si>
    <t>[Kokts-Porietis, Renee L.; Morielli, Andria R.; Friedenreich, Christine M.] Alberta Hlth Serv, Dept Canc Epidemiol &amp; Prevent Res, Canc Care Alberta, Calgary, AB, Canada; [McNeil, Jessica] Univ North Carolina Greensboro, Fac Hlth &amp; Human Sci, Dept Kinesiol, Greensboro, NC USA; [Benham, Jamie L.] Univ Calgary, Cumming Sch Med, Dept Med, Calgary, AB, Canada; [Courneya, Kerry S.] Univ Alberta, Fac Kinesiol Sport &amp; Recreat, Edmonton, AB, Canada; [Cook, Linda S.] Univ Colorado, Colorado Sch Publ Hlth, Dept Epidemiol, Aurora, CO USA; [Benham, Jamie L.; Cook, Linda S.; Friedenreich, Christine M.] Univ Calgary, Cumming Sch Med, Dept Community Hlth Sci, Calgary, AB, Canada; [Friedenreich, Christine M.] Univ Calgary, Cumming Sch Med, Dept Oncol, Calgary, AB, Canada</t>
  </si>
  <si>
    <t>University of Calgary; Alberta Health Services (AHS); University of North Carolina; University of North Carolina Greensboro; University of Calgary; University of Alberta; Colorado School of Public Health; University of Colorado System; University of Colorado Anschutz Medical Campus; University of Calgary; University of Calgary</t>
  </si>
  <si>
    <t>Friedenreich, CM (corresponding author), Alberta Hlth Serv, Dept Canc Epidemiol &amp; Prevent Res, Canc Care Alberta, Calgary, AB, Canada.;Friedenreich, CM (corresponding author), Univ Calgary, Cumming Sch Med, Dept Community Hlth Sci, Calgary, AB, Canada.;Friedenreich, CM (corresponding author), Univ Calgary, Cumming Sch Med, Dept Oncol, Calgary, AB, Canada.</t>
  </si>
  <si>
    <t>Christine.Friedenreich@albertahealthservices.ca</t>
  </si>
  <si>
    <t>0957-5243</t>
  </si>
  <si>
    <t>1573-7225</t>
  </si>
  <si>
    <t>CANCER CAUSE CONTROL</t>
  </si>
  <si>
    <t>Cancer Causes Control</t>
  </si>
  <si>
    <t>10.1007/s10552-023-01777-w</t>
  </si>
  <si>
    <t>Oncology; Public, Environmental &amp; Occupational Health</t>
  </si>
  <si>
    <t>P4SA1</t>
  </si>
  <si>
    <t>WOS:001050548500001</t>
  </si>
  <si>
    <t>Li, ML; Ma, QF; Su, TT; Wang, ZY; Tong, HB</t>
  </si>
  <si>
    <t>Li, Menglu; Ma, Qingfeng; Su, Tingting; Wang, Zhanyong; Tong, Haibin</t>
  </si>
  <si>
    <t>Effect of Polycaprolactone Microplastics on Soil Microbial Communities and Plant Growth</t>
  </si>
  <si>
    <t>Polycaprolactone; Microplastics; Microbial communities; Oilseed rape; Lettuce; Short-term effects</t>
  </si>
  <si>
    <t>POLY(EPSILON-CAPROLACTONE) PCL; BACTERIAL COMMUNITY; PHOTOSYNTHESIS; BIODEGRADATION; NANOPLASTICS; PSEUDOMONAS; IMPACTS; FILM</t>
  </si>
  <si>
    <t>Microplastics (MPs), especially those of biodegradable plastic origin, have received sufficient attention. However, the effects of polycaprolactone (PCL) microplastics on soil microbial communities and plant growth have not been fully explored. The study aimed to evaluate the effect of MPs on soil microbial communities and plant growth. We performed 16 S rDNA high-throughput sequencing to analyze the soil bacterial composition after exposure to different concentration PCL-MPs(0.02, 0.2 and 2%, W/W) for 30 days. Additionally, we conducted pot experiments to investigate the effect of soil with PCL-MPs on the growth of oilseed rape and lettuce. According to &amp; alpha;-diversity analysis, the presence of PCL-MPs did not have an impact on the structure and diversity of the soil microbial community, and there was no significant difference in microbial communities between soils containing different with varying concentrations of PCL-MPs based on &amp; beta;-diversity analysis. However, the relative abundance of Proteobacteria decreased and Acidobacteria increased in soils with low and medium concentrations of PCL-MPs. Despite this change, the dominant species (Actinobacteria, Acidobacteria, Proteobacteria, and Chloroflexi) remained unchanged in each sample in terms of relative abundance and order. The pot experiments revealed that that PCL-MPs caused a temporary decrease in soluble protein in the leaves of both oilseed rape and lettuce, but this effect disappeared over time. The chlorophyll levels in both plants were not significantly affected by PCL-MPs. However, there was a significant difference in MDA levels, with no effect on oilseed rape but a reduction in lettuce. PCL-MPs also caused a decrease in POD in both plants. Based on these results, it can be concluded that PCL-MPs do not have an impact on soil microbial communities and the growth of oilseed rape and lettuce.</t>
  </si>
  <si>
    <t>[Li, Menglu; Ma, Qingfeng; Su, Tingting] Liaoning Petrochem Univ, Sch Petrochem Engn, Fushun 113001, Peoples R China; [Ma, Qingfeng] Changchun GeneSci Pharmaceut Co Ltd, Changchun 130012, Peoples R China; [Wang, Zhanyong] Shenyang Agr Univ, Coll Biosci &amp; Biotechnol, Shenyang 110866, Peoples R China; [Tong, Haibin] Wenzhou Univ, Coll Life &amp; Environm Sci, Zhejiang Prov Key Lab Water Environm &amp; Marine Biol, Wenzhou 325035, Peoples R China</t>
  </si>
  <si>
    <t>Liaoning Petrochemical University; Shenyang Agricultural University; Wenzhou University</t>
  </si>
  <si>
    <t>Su, TT (corresponding author), Liaoning Petrochem Univ, Sch Petrochem Engn, Fushun 113001, Peoples R China.;Wang, ZY (corresponding author), Shenyang Agr Univ, Coll Biosci &amp; Biotechnol, Shenyang 110866, Peoples R China.;Tong, HB (corresponding author), Wenzhou Univ, Coll Life &amp; Environm Sci, Zhejiang Prov Key Lab Water Environm &amp; Marine Biol, Wenzhou 325035, Peoples R China.</t>
  </si>
  <si>
    <t>sutingting1978@126.com; wangzy125@gmail.com; tonghb@wzu.edu.cn</t>
  </si>
  <si>
    <t>National Natural Science Foundation of China [32270117]; Talent Program of Shenyang Agricultural University [2021Y001]</t>
  </si>
  <si>
    <t>National Natural Science Foundation of China(National Natural Science Foundation of China (NSFC)); Talent Program of Shenyang Agricultural University</t>
  </si>
  <si>
    <t>This work was supported by National Natural Science Foundation of China (Grant No. 32270117) and the Talent Program of Shenyang Agricultural University (Grant No. 2021Y001)</t>
  </si>
  <si>
    <t>10.1007/s10924-023-03028-0</t>
  </si>
  <si>
    <t>P6FY4</t>
  </si>
  <si>
    <t>WOS:001051625400002</t>
  </si>
  <si>
    <t>Li, Q; Zhou, MT; Ren, TF; Jiang, CB; Chen, Y</t>
  </si>
  <si>
    <t>Li, Qiang; Zhou, Ming-Tuo; Ren, Tian-Feng; Jiang, Cheng-Bin; Chen, Yong</t>
  </si>
  <si>
    <t>Partitioning multi-layer edge network for neural network collaborative computing</t>
  </si>
  <si>
    <t>Neural network; Edge computing; Collaborative computing; Genetic algorithm</t>
  </si>
  <si>
    <t>INTELLIGENCE; CLOUD</t>
  </si>
  <si>
    <t>There is a trend to deploy neural network on edge devices in recent years. While the mainstream of research often concerns with single edge device processing and edge-cloud two-layer neural network collaborative computing, in this paper, we propose partitioning multi-layer edge network for neural network collaborative computing. With the proposed method, sub-models of neural network are deployed on multi-layer edge devices along the communication path from end users to cloud. Firstly, we propose an optimal path selection method to form a neural network collaborative computing path with lowest communication overhead. Secondly, we establish a time-delay optimization mathematical model to evaluate the effects of different partitioning solutions. To find the optimal partition solution, an ordered elitist genetic algorithm (OEGA) is proposed. The experimental results show that, compared with traditional cloud computing, single-device edge computing and edge-cloud collaborative computing, the proposed multi-layer edge network collaborative computing has a smaller runtime delay with limited bandwidth resources, and because of the pipeline computing characteristics, the proposed method has a better response speed when processing large number of requests. Meanwhile, the OEGA algorithm has better performance than conventional methods, and the optimized partitioning method outperforms other methods like random and evenly partition.</t>
  </si>
  <si>
    <t>[Li, Qiang] State Grid Informat &amp; Telecommun Co Ltd, Beijing, Peoples R China; [Zhou, Ming-Tuo; Ren, Tian-Feng; Jiang, Cheng-Bin; Chen, Yong] Jushri Technol Inc, Shanghai, Peoples R China</t>
  </si>
  <si>
    <t>State Grid Corporation of China</t>
  </si>
  <si>
    <t>Zhou, MT (corresponding author), Jushri Technol Inc, Shanghai, Peoples R China.</t>
  </si>
  <si>
    <t>mingtuo.zhou@mail.sim.ac.cn</t>
  </si>
  <si>
    <t>ZHOU, Ming-Tuo/0000-0002-1952-5574</t>
  </si>
  <si>
    <t>National Key Research and Development Program of China [2020YFB2104500]; Research and Application Demonstration of Intelligent IoT and Control Technology for Urban Integrated Energy</t>
  </si>
  <si>
    <t>National Key Research and Development Program of China; Research and Application Demonstration of Intelligent IoT and Control Technology for Urban Integrated Energy</t>
  </si>
  <si>
    <t>This research was funded by the National Key Research and Development Program of China (grant Nos. 2020YFB2104500), Research and Application Demonstration of Intelligent IoT and Control Technology for Urban Integrated Energy.</t>
  </si>
  <si>
    <t>10.1186/s13638-023-02284-x</t>
  </si>
  <si>
    <t>P4XJ5</t>
  </si>
  <si>
    <t>WOS:001050705400001</t>
  </si>
  <si>
    <t>Lin, YF; Fan, LN; Qi, YD; Xu, CC; Jia, DJC; Jiang, Y; Chen, SJ; Wang, LJ</t>
  </si>
  <si>
    <t>Lin, Yifeng; Fan, Lina; Qi, Yadong; Xu, Chaochao; Jia, Dingjiacheng; Jiang, Yao; Chen, Shujie; Wang, Liangjing</t>
  </si>
  <si>
    <t>Correction: Bifidobacterium adolescentis induces Decorin(+) macrophages via TLR2 to suppress colorectal carcinogenesis (vol 42, 172, 2023)</t>
  </si>
  <si>
    <t>[Lin, Yifeng; Fan, Lina; Xu, Chaochao; Jia, Dingjiacheng; Jiang, Yao; Wang, Liangjing] Zhejiang Univ, Dept Gastroenterol, Affiliated Hosp 2, Sch Med, Hangzhou 310009, Zhejiang, Peoples R China; [Lin, Yifeng; Fan, Lina; Qi, Yadong; Xu, Chaochao; Jia, Dingjiacheng; Jiang, Yao; Chen, Shujie; Wang, Liangjing] Zhejiang Univ, Inst Gastroenterol, Hangzhou, Peoples R China; [Qi, Yadong; Chen, Shujie] Zhejiang Univ, Sir Run Run Shaw Hosp, Sch Med, Dept Gastroenterol, Hangzhou 310003, Zhejiang, Peoples R China; [Chen, Shujie; Wang, Liangjing] Zhejiang Univ, Canc Ctr, Hangzhou, Zhejiang, Peoples R China; [Chen, Shujie; Wang, Liangjing] Zhejiang Univ, Res Ctr Prevent &amp; Treatment Senescent Dis, Sch Med, Hangzhou, Peoples R China</t>
  </si>
  <si>
    <t>Zhejiang University; Zhejiang University; Zhejiang University; Zhejiang University; Zhejiang University</t>
  </si>
  <si>
    <t>Wang, LJ (corresponding author), Zhejiang Univ, Dept Gastroenterol, Affiliated Hosp 2, Sch Med, Hangzhou 310009, Zhejiang, Peoples R China.;Chen, SJ; Wang, LJ (corresponding author), Zhejiang Univ, Inst Gastroenterol, Hangzhou, Peoples R China.;Chen, SJ (corresponding author), Zhejiang Univ, Sir Run Run Shaw Hosp, Sch Med, Dept Gastroenterol, Hangzhou 310003, Zhejiang, Peoples R China.;Chen, SJ; Wang, LJ (corresponding author), Zhejiang Univ, Canc Ctr, Hangzhou, Zhejiang, Peoples R China.;Chen, SJ; Wang, LJ (corresponding author), Zhejiang Univ, Res Ctr Prevent &amp; Treatment Senescent Dis, Sch Med, Hangzhou, Peoples R China.</t>
  </si>
  <si>
    <t>chenshujie77@zju.edu.cn; wangljzju@zju.edu.cn</t>
  </si>
  <si>
    <t>Jia, Dingjiacheng/GSE-5448-2022</t>
  </si>
  <si>
    <t>Jia, Dingjiacheng/0000-0002-0089-4580</t>
  </si>
  <si>
    <t>10.1186/s13046-023-02796-w</t>
  </si>
  <si>
    <t>P5OU2</t>
  </si>
  <si>
    <t>WOS:001051176500002</t>
  </si>
  <si>
    <t>Loosen, SH; Schwartz, J; Grewe, S; Krieg, S; Krieg, A; Luedde, T; Batzler, YN; Kostev, K; Neukirchen, M; Roderburg, C</t>
  </si>
  <si>
    <t>Loosen, Sven H.; Schwartz, Jacqueline; Grewe, Steven; Krieg, Sarah; Krieg, Andreas; Luedde, Tom; Batzler, Yann-Nicolas; Kostev, Karel; Neukirchen, Martin; Roderburg, Christoph</t>
  </si>
  <si>
    <t>Drug landscape in patients receiving general outpatient palliative care in Germany: results from a retrospective analysis of 10,464 patients</t>
  </si>
  <si>
    <t>BMC PALLIATIVE CARE</t>
  </si>
  <si>
    <t>Outpatient palliative care; Prescription; Medication; Deprescription; Opioids; Sedatives; Antiemetics</t>
  </si>
  <si>
    <t>REFERRAL CRITERIA; CANCER CARE; REPRESENTATIVENESS; SYMPTOM</t>
  </si>
  <si>
    <t>BackgroundAccording to 27 and 87 1b of the German Social Code, Book V, general outpatient palliative care (GOPC) aims to promote, maintain, and improve the quality of life and self-determination of seriously ill people. It should enable them to live in dignity until death in their preferred environment. Instead of a curative approach GOPC treatment focuses on the multiprofessional objective of alleviating symptoms and suffering on a case-by-case basis using medication or other measures, as well as the management of an individual treatment plan. The aim of this study was therefore to investigate to what extent medication differs from 12 months prior GOPC treatment within 12 months following GOPC treatment.MethodsA retrospective database cross sectional study based on the IQVIA Disease Analyzer (DA) was performed, including adult patients with cancer diagnosis and at least one documentation of palliative support between January 1st, 2018 and December 31st, 2021, in 805 general practices (GP).ResultsThe results of this study show, that in the context of general general outpatient palliative care, there is a significant increase in the prescription of opioids (18.3% vs. 37.7%), sedatives (7.8% vs. 16.2%) and antiemetics (5.3% vs. 9.7%), as well as a significant reduction in other medications such as statins (21.4% vs. 11.5%), proton pump inhibitors (PPI) (41.2% vs. 35.3%), or antihypertensives (57.5% vs. 46.6%).ConclusionsOur results support the role of GOPC as an important element in improving pharmacological symptom control and deprescription to improve quality of life of patients at the end of their life.</t>
  </si>
  <si>
    <t>[Loosen, Sven H.; Grewe, Steven; Krieg, Sarah; Luedde, Tom; Roderburg, Christoph] Heine Univ Duesseldorf, Univ Hosp Duesseldorf, Med Fac Heinrich, Dept Gastroenterol Hepatol &amp; Infect Dis, Moorenstr 5, D-40225 Dusseldorf, Germany; [Schwartz, Jacqueline; Batzler, Yann-Nicolas; Neukirchen, Martin] Heine Univ Duesseldorf, Univ Hosp Duesseldorf, Med Fac Heinrich, Interdisciplinary Ctr Palliat Med, Moorenstr 5, D-40225 Dusseldorf, Germany; [Krieg, Andreas] Heinrich Heine Univ Duesseldorf, Univ Hosp Duesseldorf, Med Fac, Dept Surg A, Moorenstr 5, D-40225 Dusseldorf, Germany; [Kostev, Karel] IQVIA, Epidemiol, Frankfurt, Germany; [Neukirchen, Martin] Heine Univ Duesseldorf, Univ Hosp Duesseldorf, Med Fac Heinrich, Dept Anesthesiol, Moorenstr 5, D-40225 Dusseldorf, Germany</t>
  </si>
  <si>
    <t>Heinrich Heine University Dusseldorf; IQVIA</t>
  </si>
  <si>
    <t>Loosen, SH; Roderburg, C (corresponding author), Heine Univ Duesseldorf, Univ Hosp Duesseldorf, Med Fac Heinrich, Dept Gastroenterol Hepatol &amp; Infect Dis, Moorenstr 5, D-40225 Dusseldorf, Germany.</t>
  </si>
  <si>
    <t>Sven.Loosen@med.uni-dusseldorf.de; Christoph.roderburg@med.uni-duesseldorf.de</t>
  </si>
  <si>
    <t>Luedde, Tom/AAE-9135-2022</t>
  </si>
  <si>
    <t>Luedde, Tom/0000-0002-6288-8821</t>
  </si>
  <si>
    <t>1472-684X</t>
  </si>
  <si>
    <t>BMC PALLIAT CARE</t>
  </si>
  <si>
    <t>BMC Palliat. Care</t>
  </si>
  <si>
    <t>10.1186/s12904-023-01231-3</t>
  </si>
  <si>
    <t>Health Care Sciences &amp; Services; Health Policy &amp; Services</t>
  </si>
  <si>
    <t>P3TE9</t>
  </si>
  <si>
    <t>WOS:001049894100001</t>
  </si>
  <si>
    <t>McLaren, DB; Aitman, TJ</t>
  </si>
  <si>
    <t>McLaren, D. B.; Aitman, T. J.</t>
  </si>
  <si>
    <t>Redefining precision radiotherapy through liquid biopsy</t>
  </si>
  <si>
    <t>CIRCULATING TUMOR DNA</t>
  </si>
  <si>
    <t>Precision radiotherapy refers to the ability to deliver radiation doses with sub-millimetre accuracy. It does not however consider individual variation in tumour or normal tissue response, failing to maximise tumour control and minimise toxicity. Combining precise delivery with personalised dosing, through analysis of cell-free DNA, would redefine precision in radiotherapy.</t>
  </si>
  <si>
    <t>[McLaren, D. B.] Univ Edinburgh, Western Gen Hosp, Edinburgh Canc Ctr, Crewe Rd South, Edinburgh EH4 2XU, Scotland; [Aitman, T. J.] Univ Edinburgh, Inst Genet &amp; Canc, Ctr Genom &amp; Expt Med, Crewe Rd South, Edinburgh EH4 2XU, Scotland</t>
  </si>
  <si>
    <t>University of Edinburgh; University of Edinburgh</t>
  </si>
  <si>
    <t>McLaren, DB (corresponding author), Univ Edinburgh, Western Gen Hosp, Edinburgh Canc Ctr, Crewe Rd South, Edinburgh EH4 2XU, Scotland.;Aitman, TJ (corresponding author), Univ Edinburgh, Inst Genet &amp; Canc, Ctr Genom &amp; Expt Med, Crewe Rd South, Edinburgh EH4 2XU, Scotland.</t>
  </si>
  <si>
    <t>duncan.mclaren@ed.ac.uk; tim.aitman@ed.ac.uk</t>
  </si>
  <si>
    <t>McLaren, Duncan/0000-0002-9862-4158</t>
  </si>
  <si>
    <t>OCT 5</t>
  </si>
  <si>
    <t>10.1038/s41416-023-02398-5</t>
  </si>
  <si>
    <t>R4WU4</t>
  </si>
  <si>
    <t>WOS:001050722000001</t>
  </si>
  <si>
    <t>Ning, RY; Chen, JJ; Lu, YQ; Guo, J</t>
  </si>
  <si>
    <t>Ning, Ruoyu; Chen, Junjie; Lu, Yanqin; Guo, Jing</t>
  </si>
  <si>
    <t>Obstructive sleep apnea: a follow-up program in its relation to temporomandibular joint disorder, sleep bruxism and orofacial pain</t>
  </si>
  <si>
    <t>OSA; TMJ; Tooth wear; Orofacial pain</t>
  </si>
  <si>
    <t>MUSCULOSKELETAL PAIN; DIAGNOSTIC-CRITERIA; RISK-FACTORS; TOOTH WEAR; ASSOCIATION; AGE; SYMPTOMS; GENDER</t>
  </si>
  <si>
    <t>ObjectiveTo evaluate the correlation between obstructive sleep apnea (OSA) and temporomandibular joint (TMJ) morphology, tooth wear condition, orofacial pain through a follow-up program.Materials and methodsSeventy one OSA patients were divided into three groups according to their (apnea hypopnea index) AHI: mild group (n = 23), moderate group (n = 24), and severe group (n = 24). All patients had OSA therapies around six months after confirm the diagnosis of OSA. The tooth wear score and orofacial pain condition of all patients were recorded via clinical examination. Cone beam computed tomography (CBCT) images were also taken when confirm the diagnosis of OSA (T-0), 6 months after the diagnosis (T-1), and 6 months after the OSA treatment (T-2). Parameters indicating the condylar morphology and joint space were evaluated. The differences of clinical symptoms and TMJ conditions among T-0, T-1 and T-2 time point were detected in the three groups respectively. The changes in T-1-T-0 and T-2-T-1 of all descriptions among three groups were also compared(.) The correlations between AHI and clinical symptoms were detected with Spearman correlation analysis.ResultsIn mild group, there was no difference in all clinical symptoms and TMJ morphology among the three time points. Both in moderate and severe group, the condylar volume, superficial area, wear score, visual analogue scales (VAS), and R value (indicating condyle position) displayed significant differences among the three time points (P &lt; 0.05). From T-0 to T-1, mild group displayed fewer decreases in the condylar volume and superficial area and fewer increases in wear score than that in moderate and severe group (P &lt; 0.05). From T-1 to T-2, there was a greatest reduction in severe group for R value, and significant difference in the description of VAS and R value were found among the three groups. AHI was negatively correlated condylar volume and condylar superficial area, and was positively correlated with tooth wear score and VAS (P &lt; 0.05).ConclusionModerate to severe OSA will aggravate orofacial pain and tooth wear, affect TMJ volume and superficial area, even change the location of condyles. Appropriate OSA therapies may be effective ways to alleviate these adverse effects in long-term.</t>
  </si>
  <si>
    <t>[Ning, Ruoyu; Chen, Junjie; Lu, Yanqin] Cent South Univ, Xiangya Stomatol Hosp, Dept Orthodont, 72 Xiangya Rd, Changsha 410000, Hunan, Peoples R China; [Ning, Ruoyu; Chen, Junjie; Lu, Yanqin] Cent South Univ, Hunan Clin Res Ctr Oral Major Dis &amp; Oral Hlth, Xiangya Sch Stomatol, 72 Xiangya Rd, Changsha 410000, Hunan, Peoples R China; [Ning, Ruoyu] Cent South Univ, Xiangya Hosp 3, Changsha, Hunan, Peoples R China; [Ning, Ruoyu] Cent South Univ, Xiangya Sch Med, Changsha, Hunan, Peoples R China; [Guo, Jing] Ningbo Stomatol Hosp, Engn Lab Biomat &amp; Tissue Regenerat, Ningbo, Zhejiang, Peoples R China; [Guo, Jing] Hangzhou Med Coll, Savaid Stomatol Sch, 435 Xinxing Rd, Ningbo 315000, Zhejiang, Peoples R China; [Guo, Jing] Shandong Univ, Sch &amp; Hosp Stomatol, Dept Orthodont, Jinan, Peoples R China; [Guo, Jing] Cheeloo Coll Med, Shandong Key Lab Oral Tissue Regenerat, Jinan, Peoples R China; [Guo, Jing] Cheeloo Coll Med, Shandong Engn Lab Dent Mat &amp; Oral Tissue Regenerat, Jinan, Peoples R China</t>
  </si>
  <si>
    <t>Central South University; Central South University; Central South University; Central South University; Hangzhou Medical College; Shandong University</t>
  </si>
  <si>
    <t>Guo, J (corresponding author), Ningbo Stomatol Hosp, Engn Lab Biomat &amp; Tissue Regenerat, Ningbo, Zhejiang, Peoples R China.;Guo, J (corresponding author), Hangzhou Med Coll, Savaid Stomatol Sch, 435 Xinxing Rd, Ningbo 315000, Zhejiang, Peoples R China.;Guo, J (corresponding author), Shandong Univ, Sch &amp; Hosp Stomatol, Dept Orthodont, Jinan, Peoples R China.;Guo, J (corresponding author), Cheeloo Coll Med, Shandong Key Lab Oral Tissue Regenerat, Jinan, Peoples R China.;Guo, J (corresponding author), Cheeloo Coll Med, Shandong Engn Lab Dent Mat &amp; Oral Tissue Regenerat, Jinan, Peoples R China.</t>
  </si>
  <si>
    <t>guojing@sdu.edu.cn</t>
  </si>
  <si>
    <t>10.1186/s12903-023-03264-9</t>
  </si>
  <si>
    <t>P4XQ1</t>
  </si>
  <si>
    <t>WOS:001050712200001</t>
  </si>
  <si>
    <t>Ossman, H; Strozzi, C; Sotton, J; Bellenoue, M</t>
  </si>
  <si>
    <t>Ossman, H.; Strozzi, C.; Sotton, J.; Bellenoue, M.</t>
  </si>
  <si>
    <t>Thermal and Aerodynamic Characterization of a Creviced and Squared Piston Rapid Compression Machine: Extending the Validity of the Adiabatic Core Hypothesis, Generating Controlled Temperature Gradients</t>
  </si>
  <si>
    <t>Rapid compression machine; Aerodynamic; Adiabatic core region; Thermal gradient</t>
  </si>
  <si>
    <t>IGNITION; HETEROGENEITIES; AUTOIGNITION; COMBUSTION; REGIMES; FIELDS; IMPACT</t>
  </si>
  <si>
    <t>Rapid compression machines (RCM) are well-known tools to study the autoignition phenomenon under engine-relevant conditions. Covering a wide range of pressure and temperature at the top dead center (TDC), it can be employed with different types of mixtures and thermal stratification. Creating a homogeneous hot core region after compression in the combustion chamber is one of the challenges to overcome for RCM studies. The objective of the present work is to characterize from aerodynamic and thermal points of view a new configuration in the optical RCM of Pprime Institute. The latter aims at ensuring a wider adiabatic core region in terms of time and space through the installation of a creviced piston, specifically adapted to the square cross-section cylinder of this particular RCM. For this purpose, the internal flow has been qualified using high-frequency Particle Image Velocimetry with different laser sheet locations. Temperature variation during and after compression is measured at several positions with respect to the cylinder head, using thermocouples with wire diameter of 7.6 &amp; mu;m. It is observed that the piston cavity is able to collect the boundary layer created during compression and maintain a wide region at low velocity after the top dead center. Furthermore, it is demonstrated that different temperature gradient values can be generated and quantified within the adiabatic core region through differential heating of the chamber. This feature is promising for future works devoted to the analysis of combustion regimes. More generally, the thin wire thermocouples are shown to be accurate and reliable sensors to measure temperature in severe and transient pressure and temperature conditions specific to RCM internal flows.</t>
  </si>
  <si>
    <t>[Ossman, H.; Sotton, J.; Bellenoue, M.] Univ Poitiers, Inst Pprime, CNRS, ISAE ENSMA, F-86962 Futuroscope, France; [Strozzi, C.] Univ Poitiers, Inst Pprime, CNRS, ISAE ENSMA, F-86962 Futuroscope, France</t>
  </si>
  <si>
    <t>Universite de Poitiers; Ecole Nationale Superieure de Mecanique et d'Aerotechnique (ISAE-ENSMA); Centre National de la Recherche Scientifique (CNRS); Ecole Nationale Superieure de Mecanique et d'Aerotechnique (ISAE-ENSMA); Universite de Poitiers; Centre National de la Recherche Scientifique (CNRS)</t>
  </si>
  <si>
    <t>Ossman, H (corresponding author), Univ Poitiers, Inst Pprime, CNRS, ISAE ENSMA, F-86962 Futuroscope, France.</t>
  </si>
  <si>
    <t>hicham.ossman@ensma.fr; camille.strozzi@ensma.fr; julien.sotton@ensma.fr; marc.bellenoue@ensma.fr</t>
  </si>
  <si>
    <t>CPER FEDER Project of Region Nouvelle Aquitaine [P-2020-BAFE-38-Transport_NEXTPROP, P-2019-BAFE-33-COMBUMI]; French Ministry for Higher Education and Research; French government program Investissements d'Avenir (EUR INTREE) [ANR-18-EURE-0010]</t>
  </si>
  <si>
    <t>CPER FEDER Project of Region Nouvelle Aquitaine; French Ministry for Higher Education and Research; French government program Investissements d'Avenir (EUR INTREE)(Agence Nationale de la Recherche (ANR))</t>
  </si>
  <si>
    <t>This work was supported by the CPER FEDER (P-2020-BAFE-38-Transport_NEXTPROP, P-2019-BAFE-33-COMBUMI) Project of Region Nouvelle Aquitaine and by the French Ministry for Higher Education and Research. It pertains to the French government program Investissements d'Avenir (EUR INTREE, reference ANR-18-EURE-0010)</t>
  </si>
  <si>
    <t>10.1007/s10494-023-00465-8</t>
  </si>
  <si>
    <t>P4XY8</t>
  </si>
  <si>
    <t>WOS:001050721100001</t>
  </si>
  <si>
    <t>Patel, PN; Alkaliby, AM; Mehta, MC; Wang, AL</t>
  </si>
  <si>
    <t>Patel, Prem N.; Alkaliby, Ahmed M.; Mehta, Mitul C.; Wang, Angeline L. L.</t>
  </si>
  <si>
    <t>CMV retinitis in patients on mycophenolate immunosuppression: a report of two cases</t>
  </si>
  <si>
    <t>ALLERGY ASTHMA AND CLINICAL IMMUNOLOGY</t>
  </si>
  <si>
    <t>Cytomegalovirus; Mycophenolate; Retinitis</t>
  </si>
  <si>
    <t>SYSTEMIC-LUPUS-ERYTHEMATOSUS; CYTOMEGALOVIRUS RETINITIS; MOFETIL; COMPLICATIONS; INFECTION; DISEASE</t>
  </si>
  <si>
    <t>BackgroundThe rate of cytomegalovirus (CMV) retinitis is increasing, likely secondary to aggressive immunosuppressive regimens for a variety of diseases. Transplant and rheumatological literature show growing evidence suggesting a unique relationship between CMV infection and mycophenolate in particular. This study reports two cases of CMV retinitis infection in patients on mycophenolate immunosuppression.Case presentationCase A was a 39-year-old African American woman with systemic lupus erythematosus (SLE) with stage IV lupus nephritis who presented for bilateral retinal detachments with areas of moth-eaten and thin retina concerning for prior viral retinitis. Case B was a 53-year-old man who presented with floaters in the right eye status-post heart transplant since 2008 on immunosuppressive therapy. Fundoscopic examination of the right eye showed frosted branch angiitis with intraretinal hemorrhage and inner retinal thickening and disorganization, consistent with CMV retinitis infection. Both patients were on mycophenolate immunosuppression with the recommendation to reduce or discontinue mycophenolate.ConclusionPatients on mycophenolate immunosuppression may be more vulnerable to cytomegalovirus infection, including CMV retinitis. Ophthalmologists should be aware of this increased risk and consider reducing or discontinuing mycophenolate to promote viral clearance in these susceptible patients, in conjunction with the patient's transplant or rheumatology teams.</t>
  </si>
  <si>
    <t>[Patel, Prem N.; Wang, Angeline L. L.] UT Southwestern Med Ctr, Dept Ophthalmol, 5323 Harry Hines Blvd, Dallas, TX 75390 USA; [Alkaliby, Ahmed M.; Mehta, Mitul C.] UC Irvine, Gavin Herbert Eye Inst, Irvine, CA 92697 USA</t>
  </si>
  <si>
    <t>University of Texas System; University of Texas Southwestern Medical Center Dallas; University of California System; University of California Irvine</t>
  </si>
  <si>
    <t>Patel, PN (corresponding author), UT Southwestern Med Ctr, Dept Ophthalmol, 5323 Harry Hines Blvd, Dallas, TX 75390 USA.</t>
  </si>
  <si>
    <t>prem.patel@utsouthwestern.edu</t>
  </si>
  <si>
    <t>1710-1492</t>
  </si>
  <si>
    <t>ALLERGY ASTHMA CL IM</t>
  </si>
  <si>
    <t>Allerg Asthma Clin. Immunol.</t>
  </si>
  <si>
    <t>10.1186/s13223-023-00817-z</t>
  </si>
  <si>
    <t>Allergy; Immunology</t>
  </si>
  <si>
    <t>P4XM0</t>
  </si>
  <si>
    <t>WOS:001050708100001</t>
  </si>
  <si>
    <t>Rahman, MZA; Abidin, MSZ; Adenan, F; Jusoff, K; Munsoor, MS</t>
  </si>
  <si>
    <t>Rahman, Muhamad Zulfadli Abdul; Abidin, Mohd Syukri Zainal; Adenan, Faezy; Jusoff, Kamaruzaman; Munsoor, Mohamed Safiullah</t>
  </si>
  <si>
    <t>Development of Spiritual Poverty Measurements of an Urban Population Based on the Concept of Purifying the Self (Tazkiyah Al-Nafs)</t>
  </si>
  <si>
    <t>Poverty; Poverty measurement; Multidimensional poverty; Spiritual poverty; Purification of self</t>
  </si>
  <si>
    <t>MENTAL-HEALTH; ATTRIBUTIONS</t>
  </si>
  <si>
    <t>This paper aims to develop a measurement of spiritual poverty for an urban residents based on the spiritual concept and practice of purifying of the self (Tazkiyah Al-Nafs). This follows the process of cleansing of the self, where the nature of bad practices are replaced with those of good practices. A quantitative approach was utilised by distributing questionnaires to 528 urban Muslim households in Kuala Lumpur, Selangor and Putrajaya, Malaysia, which was then analysed using descriptive analysis. This was, then, followed by the usability assessments by 14 experts from academia and industry, where the data was analysed using the 'fuzzy delphi method'. Findings indicated that 27.84% of respondents experienced spiritual poverty relating to the emotional indicator, 17.42% experienced from a perceptual indicator, while 91.86% of respondents experienced poverty from a practices indicator perspective. The study points out that the elements of emotion, perception and practice as indicators holds significance in measuring spiritual poverty with a percentage expert consensus of 78.6% on emotion and perception indicators and 85.7% on practices indicator. The results gives credence to the expansion of the concept of multidimensional poverty, to include measuring psycho-spiritual deprivations as one component of poverty in addition to measuring both monetary and non-monetary factors as currently being advocated. This study calls for further exploration of this important area relating to self development, which has been overlooked in poverty measurements.</t>
  </si>
  <si>
    <t>[Rahman, Muhamad Zulfadli Abdul] Univ Malaya, Acad Islamic Studies, Dept Shariah &amp; Econ, Kuala Lumpur 50603, Malaysia; [Abidin, Mohd Syukri Zainal] Univ Malaya, Acad Islamic Studies, Dept Aqidah &amp; Islamic Thought, Kuala Lumpur 50603, Malaysia; [Adenan, Faezy] Univ Teknol MARA UiTM, Acad Contemporary Islamic Studies, Dept Econ &amp; Muamalat, Shah Alam 40450, Selangor, Malaysia; [Jusoff, Kamaruzaman] Univ Malaya, Kuala Lumpur 50603, Malaysia; [Munsoor, Mohamed Safiullah] Metanoia Inst, London, England</t>
  </si>
  <si>
    <t>Universiti Malaya; Universiti Malaya; Universiti Teknologi MARA; Universiti Malaya</t>
  </si>
  <si>
    <t>Abidin, MSZ (corresponding author), Univ Malaya, Acad Islamic Studies, Dept Aqidah &amp; Islamic Thought, Kuala Lumpur 50603, Malaysia.</t>
  </si>
  <si>
    <t>zulfadlirahman90@gmail.com; syukri1990@um.edu.my; faezyadenan@uitm.edu.my; kjusoff@yahoo.com; safimansoor@gmail.com</t>
  </si>
  <si>
    <t>Zainal Abidin, Mohd Syukri/0000-0002-1266-0087</t>
  </si>
  <si>
    <t>10.1007/s11205-023-03188-5</t>
  </si>
  <si>
    <t>S0PM4</t>
  </si>
  <si>
    <t>WOS:001050734500001</t>
  </si>
  <si>
    <t>Ritonga, SA; Herianto; Muzhaffar, A; Adib, BM</t>
  </si>
  <si>
    <t>Ritonga, Syahirul Alim; Herianto, Abid; Muzhaffar, Abid; Adib, Benawa Muhammad</t>
  </si>
  <si>
    <t>Analysis of design parameters' effect on 3D printed soft pneumatic actuator generated curvature and tip force</t>
  </si>
  <si>
    <t>INTERNATIONAL JOURNAL OF INTELLIGENT ROBOTICS AND APPLICATIONS</t>
  </si>
  <si>
    <t>Soft actuator; Soft pneumatic actuator; Design parameter; 3D printing; Curvature; Tip force</t>
  </si>
  <si>
    <t>OPTIMIZATION; ROBOTICS</t>
  </si>
  <si>
    <t>Soft actuators have emerged as a promising solution for applications that conventional actuators are unable to address. Soft pneumatic actuators (SPAs) are widely used among various types of soft actuators due to their good performance and ease of use. However, the control of SPA movement poses challenges due to limited knowledge regarding their behaviours and characteristics, which are significantly influenced by the design. Therefore, this study aims to investigate the impact of three design parameters commonly modified during SPA design: chamber length, number, and wall thickness. Specifically, we examine their effects on the curvature and tip force generated by 3D printed SPAs. In this experimental study, we printed 21 SPAs using fused deposition modelling (FDM) 3D printing technology, employing varying chamber lengths, numbers, and wall thicknesses. The SPAs were then inflated with pressurized air, and the resulting outcomes were measured and analysed. Our findings reveal that increasing the chamber length leads to a reduction in the generated tip force, while also having a minor effect on reducing the curvature. Conversely, the addition of chambers enhances the curvature of the SPA, and diminishes the generated tip force, likely due to the presence of buckling chambers in the mid-body of the SPA. Notably, modifying the wall thickness of the chamber significantly affects the curvature, exerting a larger impact compared to the number of chambers. However, wall thickness does not significantly influence the generated tip force. These findings provide valuable insights for engineers to better comprehend the parameters affecting SPA characteristics, thereby reducing prototyping time and cost.</t>
  </si>
  <si>
    <t>[Ritonga, Syahirul Alim; Herianto, Abid; Muzhaffar, Abid; Adib, Benawa Muhammad] Univ Gadjah Mada, Daerah Istimewa, Yogyakarta, Indonesia</t>
  </si>
  <si>
    <t>Gadjah Mada University</t>
  </si>
  <si>
    <t>Herianto (corresponding author), Univ Gadjah Mada, Daerah Istimewa, Yogyakarta, Indonesia.</t>
  </si>
  <si>
    <t>herianto@ugm.ac.id</t>
  </si>
  <si>
    <t>2366-5971</t>
  </si>
  <si>
    <t>2366-598X</t>
  </si>
  <si>
    <t>INT J INTELL ROBOT</t>
  </si>
  <si>
    <t>Int. J. Intell. Robot.</t>
  </si>
  <si>
    <t>10.1007/s41315-023-00296-w</t>
  </si>
  <si>
    <t>P4XV1</t>
  </si>
  <si>
    <t>WOS:001050717300001</t>
  </si>
  <si>
    <t>Shah, RM; Boffa, D; Khan, S; Judson, B</t>
  </si>
  <si>
    <t>Shah, Rema; Boffa, Daniel; Khan, Sajid; Judson, Benjamin</t>
  </si>
  <si>
    <t>ASO Visual Abstract: The Representation of Surgery in Oncology Clinical Trials: 2001-2022</t>
  </si>
  <si>
    <t>[Shah, Rema] Yale Univ, Sch Med, New Haven, CT 06520 USA; [Shah, Rema; Judson, Benjamin] Yale Univ, Dept Surg, Div Otolaryngol Head &amp; Neck Surg, Sch Med, New Haven, CT 06520 USA; [Boffa, Daniel] Yale Univ, Dept Surg, Div Thorac Surg, Sch Med, New Haven, CT USA; [Khan, Sajid] Yale Univ, Dept Surg, Div Surg Oncol, Sch Med, New Haven, CT USA</t>
  </si>
  <si>
    <t>Yale University; Yale University; Yale University; Yale University</t>
  </si>
  <si>
    <t>Shah, RM (corresponding author), Yale Univ, Sch Med, New Haven, CT 06520 USA.;Shah, RM (corresponding author), Yale Univ, Dept Surg, Div Otolaryngol Head &amp; Neck Surg, Sch Med, New Haven, CT 06520 USA.</t>
  </si>
  <si>
    <t>rema.shah@yale.edu</t>
  </si>
  <si>
    <t>10.1245/s10434-023-14125-8</t>
  </si>
  <si>
    <t>P5QD0</t>
  </si>
  <si>
    <t>WOS:001051211800003</t>
  </si>
  <si>
    <t>Sveen, CA; Pedersen, G; Ulvestad, DA; Zahl, KE; Wilberg, T; Kvarstein, EH</t>
  </si>
  <si>
    <t>Sveen, C. A.; Pedersen, G.; Ulvestad, D. A.; Zahl, K. E.; Wilberg, T.; Kvarstein, E. H.</t>
  </si>
  <si>
    <t>Societal costs of personality disorders among treatment-seeking patients in Norway: the relative contribution of specific DSM-5 categories</t>
  </si>
  <si>
    <t>EUROPEAN ARCHIVES OF PSYCHIATRY AND CLINICAL NEUROSCIENCE</t>
  </si>
  <si>
    <t>Personality disorders; Societal costs; Regression analyses; Cost-of-illness</t>
  </si>
  <si>
    <t>MENTALIZATION-BASED TREATMENT; MENTAL-HEALTH; OF-ILLNESS; AXIS-I; BORDERLINE; AVOIDANT; PREVALENCE; COMMUNITY; DIAGNOSIS; BURDEN</t>
  </si>
  <si>
    <t>Personality disorders (PDs) are associated with high levels of societal costs, regardless of whether a single PD or a broad range of PDs have been studied. However, research on the relative contribution of specific PD-types on societal costs is limited. The aim of this study was to explore the possible contributions of the individual DSM-5 categories of PDs on the level of societal costs and its components (health service costs and productivity loss), while controlling for the impact of comorbid mental health and substance use disorders on these outcomes. Participants (n = 798) were retrieved from the quality register of the Norwegian Network for Personality Disorders-a collaboration of PD-treatment units within specialist mental health services. The patients were referred to treatment in the time-period 2017-2020. Costs were assessed using a structured interview covering the 6-month period prior to assessment. Diagnoses were determined by semi-structured diagnostic interviews (SCID-5-PD and M.I.N.I.). Statistics included multiple regression analyses. The main result was that no specific PD had a unique contribution to the high level of societal costs generally found among treatment-seeking patients with PDs. Borderline PD (BPD) was the only PD with significantly higher health service costs than the other PDs, while BPD, avoidant PD, and unspecified PD were independently associated with enhanced productivity loss. The differential cost-effects of specific PDs on the cost components were small. Several comorbid mental health and substance use disorders were significant contributors to costs, irrespective of PD status. The results underscore the importance of developing and implementing effective treatments for a broader range of PDs, to reduce the high levels of societal costs associated with all PDs.</t>
  </si>
  <si>
    <t>[Sveen, C. A.] Vestre Viken Hosp, Dept Child &amp; Adolescent Psychiat, Div Mental Hlth &amp; Addict, Drammen, Norway; [Pedersen, G.] Oslo Univ Hosp, Dept Natl &amp; Reg Funct, Div Mental Hlth &amp; Addict, Sect Personal Psychiat &amp; Specialized Treatments,Ne, Oslo, Norway; [Pedersen, G.] Univ Oslo, Inst Clin Med, Norwegian Ctr Mental Disorders Res NORMENT, Oslo, Norway; [Ulvestad, D. A.] Oslo Univ Hosp, Dept Natl &amp; Reg Funct, Outpatient Clin Specialized Treatment Personal Dis, Div Mental Hlth &amp; Addict,Sect Personal Psychiat &amp;, Oslo, Norway; [Zahl, K. E.] Akershus Univ Hosp, Follo Dist Psychiat Ctr, Grp Therapy Sect, Ski, Norway; [Kvarstein, E. H.] Oslo Univ Hosp, Dept Natl &amp; Reg Funct, Div Mental Hlth &amp; Addict, Sect Personal Psychiat &amp; Specialized Treatments, Oslo, Norway; [Wilberg, T.; Kvarstein, E. H.] Univ Oslo, Inst Clin Med, Oslo, Norway; [Wilberg, T.] Oslo Univ Hosp, Dept Res &amp; Innovat, Div Mental Hlth &amp; Addict, Sect Treatment Res, Oslo, Norway</t>
  </si>
  <si>
    <t>University of Oslo; University of Oslo; University of Oslo; University of Oslo; University of Oslo; University of Oslo</t>
  </si>
  <si>
    <t>Sveen, CA (corresponding author), Vestre Viken Hosp, Dept Child &amp; Adolescent Psychiat, Div Mental Hlth &amp; Addict, Drammen, Norway.</t>
  </si>
  <si>
    <t>casvee@vestreviken.no</t>
  </si>
  <si>
    <t>Vestre Viken Hospital Trust</t>
  </si>
  <si>
    <t>Open access funding provided by Vestre Viken Hospital Trust. There has been no external funding of the research.</t>
  </si>
  <si>
    <t>0940-1334</t>
  </si>
  <si>
    <t>1433-8491</t>
  </si>
  <si>
    <t>EUR ARCH PSY CLIN N</t>
  </si>
  <si>
    <t>Eur. Arch. Psych. Clin. Neurosci.</t>
  </si>
  <si>
    <t>10.1007/s00406-023-01655-1</t>
  </si>
  <si>
    <t>Clinical Neurology; Psychiatry</t>
  </si>
  <si>
    <t>Neurosciences &amp; Neurology; Psychiatry</t>
  </si>
  <si>
    <t>P6GA4</t>
  </si>
  <si>
    <t>WOS:001051627400003</t>
  </si>
  <si>
    <t>Wang, ST; Zeng, XX; Gui, P; Xu, SJ; Li, ZX; Chen, DX</t>
  </si>
  <si>
    <t>Wang, Shengtao; Zeng, Xinxin; Gui, Peng; Xu, Shujuan; Li, Zhaoxu; Chen, Dongxu</t>
  </si>
  <si>
    <t>LncRNA EBLN3P Facilitates Osteosarcoma Metastasis by Enhancing Annexin A3 mRNA Stability and Recruiting HuR</t>
  </si>
  <si>
    <t>LncRNA EBLN3P; HuR; Annexin A3; Osteosarcoma; Proliferation; Migration; Invasion; Metastasis</t>
  </si>
  <si>
    <t>CANCER; EXPRESSION; PROGRESSION; PROMOTES; NUCLEOPROTEIN; BIOMARKER</t>
  </si>
  <si>
    <t>BackgroundOsteosarcoma (OS) represents a common type of bone cancer. Long non-coding RNAs (LncRNAs) have shown their potential in therapeutic modalities for OS. This study's purpose was to reveal the action of lncRNA EBLN3P on OS growth and metastasis and its mechanism.MethodsExpressions of EBLN3P/Hu antigen R (HuR)/Annexin A3 (ANXA3) were determined by RT-qPCR/Western blot. Proliferation/migration/invasion of OS cells were assessed via CCK-8/Transwell assays after interfering EBLN3P/ANXA3/HuR. The co-localization of EBLN3P/ANXA3/HuR cells was observed by FISH/immunofluorescence assays. Interplays among EBLN3P/ANXA3/HuR and the half-life period of ANXA3 were assessed by RNA immunoprecipitation/RNA pull-down/RNA stability experiment. The nude mouse xenograft model was established, followed by EBLN3P treatment to assess the function of EBLN3P on OS.ResultsEBLN3P/ANXA3 was highly expressed in OS cells. Silencing EBLN3P or ANXA3 limited the proliferation/migration/invasion of OS cells. Mechanically, EBLN3P/ANXA3 can bind to HuR, and EBLN3P enhanced ANXA3 mRNA stability by recruiting HuR, thus facilitating OS cell growth. Upregulated HuR or ANXA3 counteracted the suppressive action of silencing EBLN3P on OS cells. In vivo experiments revealed facilitated tumor growth and metastasis in vivo fomented by EBLN3P through manipulation of HuR/ANXA3.ConclusionsEBLN3P enhanced proliferative/migrative/invasive potentials of OS cells via increasing ANXA3 mRNA stability and protein level by recruiting HuR, which provided new potential therapeutic targets for OS clinical treatment. EBLN3P and ANXA3 might have potential roles in OS diagnosis, treatment, and prognosis. This study provided a theoretical reference for further clinical research in tumor surgery.</t>
  </si>
  <si>
    <t>[Wang, Shengtao; Li, Zhaoxu; Chen, Dongxu] Nanxishan Hosp Guangxi Zhuang Autonomous Reg, Dept Joint Surg &amp; Sports Med, Guilin, Guangxi, Peoples R China; [Zeng, Xinxin] Chongqing Med Univ, Banan Hosp, Dept Pain, Chongqing, Peoples R China; [Gui, Peng] Nanxishan Hosp Guangxi Zhuang Autonomous Reg, Dept Trauma Orthoped &amp; Hand Surg, Guilin, Guangxi, Peoples R China; [Xu, Shujuan] Guilin Med Univ, Affiliated Hosp, Dept Hematopathol, Guilin, Guangxi, Peoples R China</t>
  </si>
  <si>
    <t>Chongqing Medical University; Guilin Medical University</t>
  </si>
  <si>
    <t>Li, ZX; Chen, DX (corresponding author), Nanxishan Hosp Guangxi Zhuang Autonomous Reg, Dept Joint Surg &amp; Sports Med, Guilin, Guangxi, Peoples R China.</t>
  </si>
  <si>
    <t>lzxpds@126.com; dongxuchenchen@163.com</t>
  </si>
  <si>
    <t>10.1245/s10434-023-14032-y</t>
  </si>
  <si>
    <t>P7HY5</t>
  </si>
  <si>
    <t>WOS:001052360100003</t>
  </si>
  <si>
    <t>Anderle, N; Schafer-Ruoff, F; Staebler, A; Kersten, N; Koch, A; Onder, C; Keller, AL; Liebscher, S; Hartkopf, A; Hahn, M; Templin, M; Brucker, SY; Schenke-Layland, K; Schmees, C</t>
  </si>
  <si>
    <t>Anderle, Nicole; Schaefer-Ruoff, Felix; Staebler, Annette; Kersten, Nicolas; Koch, Andre; Oender, Cansu; Keller, Anna-Lena; Liebscher, Simone; Hartkopf, Andreas; Hahn, Markus; Templin, Markus; Brucker, Sara Y.; Schenke-Layland, Katja; Schmees, Christian</t>
  </si>
  <si>
    <t>Breast cancer patient-derived microtumors resemble tumor heterogeneity and enable protein-based stratification and functional validation of individualized drug treatment</t>
  </si>
  <si>
    <t>Preclinical tumor model; Tumor heterogeneity; Therapy resistance; Therapy sensitivity; Protein profiling; Breast cancer; Anti-cancer drug efficacy</t>
  </si>
  <si>
    <t>INVASIVE LOBULAR CARCINOMA; ESTROGEN-RECEPTOR-ALPHA; CELL LUNG-CANCER; BASAL-LIKE; MESENCHYMAL TRANSITION; EXPRESSION PATTERNS; MOLECULAR PORTRAITS; CORE BIOPSY; KAPPA-B; RESISTANCE</t>
  </si>
  <si>
    <t>Despite tremendous progress in deciphering breast cancer at the genomic level, the pronounced intra- and intertumoral heterogeneity remains a major obstacle to the advancement of novel and more effective treatment approaches. Frequent treatment failure and the development of treatment resistance highlight the need for patient-derived tumor models that reflect the individual tumors of breast cancer patients and allow a comprehensive analyses and parallel functional validation of individualized and therapeutically targetable vulnerabilities in protein signal transduction pathways. Here, we introduce the generation and application of breast cancer patient-derived 3D microtumors (BC-PDMs). Residual fresh tumor tissue specimens were collected from n = 102 patients diagnosed with breast cancer and subjected to BC-PDM isolation. BC-PDMs retained histopathological characteristics, and extracellular matrix (ECM) components together with key protein signaling pathway signatures of the corresponding primary tumor tissue. Accordingly, BC-PDMs reflect the inter- and intratumoral heterogeneity of breast cancer and its key signal transduction properties. DigiWest &amp; REG;-based protein expression profiling of identified treatment responder and non-responder BC-PDMs enabled the identification of potential resistance and sensitivity markers of individual drug treatments, including markers previously associated with treatment response and yet undescribed proteins. The combination of individualized drug testing with comprehensive protein profiling analyses of BC-PDMs may provide a valuable complement for personalized treatment stratification and response prediction for breast cancer.</t>
  </si>
  <si>
    <t>[Anderle, Nicole; Schaefer-Ruoff, Felix; Keller, Anna-Lena; Templin, Markus; Schenke-Layland, Katja; Schmees, Christian] Univ Tubingen, NMI Nat &amp; Med Sci Inst, D-72770 Reutlingen, Germany; [Staebler, Annette] Eberhard Karls Univ Tuebingen, Inst Pathol &amp; Neuropathol, D-72076 Tubingen, Germany; [Kersten, Nicolas] Eberhard Karls Univ Tuebingen, Interfac Inst Bioinformat &amp; Med Informat IBMI, D-72076 Tubingen, Germany; [Kersten, Nicolas] FZI Res Ctr Informat Technol, D-76131 Karlsruhe, Germany; [Koch, Andre; Oender, Cansu; Hartkopf, Andreas; Hahn, Markus; Brucker, Sara Y.] Eberhard Karls Univ Tuebingen, Univ Womens Hosp, Dept Womens Hlth, D-72076 Tubingen, Germany; [Liebscher, Simone; Schenke-Layland, Katja] Eberhard Karls Univ Tuebingen, Inst Biomed Engn, Dept Med Technol &amp; Regenerat Med, D-72076 Tubingen, Germany; [Hartkopf, Andreas] Univ Hosp Ulm, Dept Gynecol &amp; Obstet, D-89081 Ulm, Germany; [Brucker, Sara Y.; Schenke-Layland, Katja] Eberhard Karls Univ Tuebingen, Cluster Excellence iFIT EXC2180 Image Guided &amp; Fun, D-72076 Tubingen, Germany</t>
  </si>
  <si>
    <t>Eberhard Karls University of Tubingen; Eberhard Karls University of Tubingen; Eberhard Karls University Hospital; Eberhard Karls University of Tubingen; Eberhard Karls University Hospital; Eberhard Karls University of Tubingen; Eberhard Karls University Hospital; Eberhard Karls University of Tubingen; Eberhard Karls University Hospital; Ulm University; Eberhard Karls University of Tubingen; Eberhard Karls University Hospital</t>
  </si>
  <si>
    <t>Anderle, N; Schmees, C (corresponding author), Univ Tubingen, NMI Nat &amp; Med Sci Inst, D-72770 Reutlingen, Germany.</t>
  </si>
  <si>
    <t>nicole.anderle@nmi.de; christian.schmees@nmi.de</t>
  </si>
  <si>
    <t>Koch, Andre/0000-0003-3502-382X; Kersten, Nicolas/0000-0003-1146-0523</t>
  </si>
  <si>
    <t>Ministry of Baden-Wuerttemberg for Economic Affairs, Labor, and Tourism [34332.62-HSG/84]</t>
  </si>
  <si>
    <t>Ministry of Baden-Wuerttemberg for Economic Affairs, Labor, and Tourism</t>
  </si>
  <si>
    <t>This work received financial support from the Ministry of Baden-Wuerttemberg for Economic Affairs, Labor, and Tourism (grant 3-4332.62-HSG/84).</t>
  </si>
  <si>
    <t>AUG 18</t>
  </si>
  <si>
    <t>10.1186/s13046-023-02782-2</t>
  </si>
  <si>
    <t>P5OW2</t>
  </si>
  <si>
    <t>WOS:001051178500001</t>
  </si>
  <si>
    <t>Bojanova, DP; De Anda, VY; Haghnegahdar, MA; Teske, AP; Ash, JL; Young, ED; Baker, BJ; LaRowe, DE; Amend, JP</t>
  </si>
  <si>
    <t>Bojanova, Diana P.; De Anda, Valerie Y.; Haghnegahdar, Mojhgan A.; Teske, Andreas P.; Ash, Jeanine L.; Young, Edward D.; Baker, Brett J.; LaRowe, Douglas E.; Amend, Jan P.</t>
  </si>
  <si>
    <t>Well-hidden methanogenesis in deep, organic-rich sediments of Guaymas Basin</t>
  </si>
  <si>
    <t>MICROBIAL LIFE; METHANE; OCEAN; (CH3D)-C-13; ISOTOPOLOGUES; (CH2D2)-C-12; DIVERSITY; OXIDATION; INSIGHTS; ARCHAEA</t>
  </si>
  <si>
    <t>Deep marine sediments (&gt;1mbsf) harbor similar to 26% of microbial biomass and are the largest reservoir of methane on Earth. Yet, the deep subsurface biosphere and controls on its contribution to methane production remain underexplored. Here, we use a multidisciplinary approach to examine methanogenesis in sediments (down to 295 mbsf) from sites with varying degrees of thermal alteration (none, past, current) at Guaymas Basin (Gulf of California) for the first time. Traditional (C-13/C-12 and D/H) and multiply substituted ((CH3D)-C-13 and (CH2D2)-C-12) methane isotope measurements reveal significant proportions of microbial methane at all sites, with the largest signal at the site with past alteration. With depth, relative microbial methane decreases at differing rates between sites. Gibbs energy calculations confirm methanogenesis is exergonic in Guaymas sediments, with methylotrophic pathways consistently yielding more energy than the canonical hydrogenotrophic and acetoclastic pathways. Yet, metagenomic sequencing and cultivation attempts indicate that methanogens are present in low abundance. We find only one methyl-coenzyme M (mcrA) sequence within the entire sequencing dataset. Also, we identify a wide diversity of methyltransferases (mtaB, mttB), but only a few sequences phylogenetically cluster with methylotrophic methanogens. Our results suggest that the microbial methane in the Guaymas subsurface was produced over geologic time by relatively small methanogen populations, which have been variably influenced by thermal sediment alteration. Higher resolution metagenomic sampling may clarify the modern methanogen community. This study highlights the importance of using a multidisciplinary approach to capture microbial influences in dynamic, deep subsurface settings like Guaymas Basin.</t>
  </si>
  <si>
    <t>[Bojanova, Diana P.; LaRowe, Douglas E.; Amend, Jan P.] Univ Southern Calif, Dept Earth Sci, Los Angeles, CA 90007 USA; [De Anda, Valerie Y.; Baker, Brett J.] Univ Texas Austin, Dept Marine Sci, Austin, TX USA; [De Anda, Valerie Y.; Baker, Brett J.] Univ Texas Austin, Dept Integrat Biol, Austin, TX USA; [Haghnegahdar, Mojhgan A.] Univ Maryland, Dept Geol, College Pk, MD USA; [Teske, Andreas P.] Univ N Carolina, Dept Earth Marine &amp; Environm Sci, Chapel Hill, NC USA; [Ash, Jeanine L.] Rice Univ, Earth Environm &amp; Planetary Sci, Houston, TX USA; [Young, Edward D.] Univ Calif Los Angeles, Earth Planetary &amp; Space Sci, Los Angeles, CA USA; [Amend, Jan P.] Univ Southern Calif, Dept Biol Sci, Los Angeles, CA 90007 USA</t>
  </si>
  <si>
    <t>University of Southern California; University of Texas System; University of Texas Austin; University of Texas System; University of Texas Austin; University System of Maryland; University of Maryland College Park; University of North Carolina; University of North Carolina Chapel Hill; Rice University; University of California System; University of California Los Angeles; University of Southern California</t>
  </si>
  <si>
    <t>Amend, JP (corresponding author), Univ Southern Calif, Dept Earth Sci, Los Angeles, CA 90007 USA.;Amend, JP (corresponding author), Univ Southern Calif, Dept Biol Sci, Los Angeles, CA 90007 USA.</t>
  </si>
  <si>
    <t>janamend@usc.edu</t>
  </si>
  <si>
    <t>Amend, Jan/0000-0003-4953-7776</t>
  </si>
  <si>
    <t>NIH Shared Instrumentation [1S10OD010786-01]; NSF [80NSSC21K0477]; USC Deparment of Earth Sciences; NSF-sponsored Center for Dark Energy Biosphere Investigations (C-DEBI) [A22-0244-001]; NASA Exobiology [687165]; NASA Exobiology grant Linking methane biogeochemistry to microbial biosignatures in the Guaymas Basin [OCE0939564]; Simons Foundation [OCE1450528]; SCELC, Statewide California Electronic Library Consortium; IODP; USSSP; [BIO-OCE 2048489]</t>
  </si>
  <si>
    <t>NIH Shared Instrumentation(United States Department of Health &amp; Human ServicesNational Institutes of Health (NIH) - USA); NSF(National Science Foundation (NSF)); USC Deparment of Earth Sciences; NSF-sponsored Center for Dark Energy Biosphere Investigations (C-DEBI); NASA Exobiology(National Aeronautics &amp; Space Administration (NASA)); NASA Exobiology grant Linking methane biogeochemistry to microbial biosignatures in the Guaymas Basin; Simons Foundation; SCELC, Statewide California Electronic Library Consortium; IODP; USSSP;</t>
  </si>
  <si>
    <t>We thank Gustavo Ramirez for DNA extractions of &amp; nbsp;sample Set 2; Benjamin Tully for mentoring on bioinformatic techniques; Mirna Vazquez for preliminary metagenomic assessment; James Farquhar for troubleshooting the analysis of low concentration methane on the IRMS panorama; Mark Shaw and Brewster Kingham in the University of Delaware DNA Sequencing &amp; Genotyping Center for the &amp; nbsp;library &amp; nbsp;preparation &amp; nbsp;of all DNA &amp; nbsp;samples and Illumina sequencing of &amp; nbsp;sample &amp; nbsp;Set 2; the DNA Technologies and Expression Analysis Cores at the UC Davis Genome Center for &amp; nbsp;the Illumina sequencing of sample Set 1, supported by NIH Shared Instrumentation (grant number 1S10OD010786-01); and &amp; nbsp;all IODP Expedition 385 scientists, technicians, drillers, and crew for making sample recovery &amp; nbsp;and, by proxy, this research possible. We thank the following for funding support: IODP for scheduling Expedition 385; USSSP (OCE1450528) for salary support for seagoing scientists that enables cruise participation and the Post Expedition Award to D.P. Bojanova; NSF (grant number BIO-OCE 2048489) to A.P. Teske; USC Deparment of Earth Sciences to D.P. Bojanova; the NSF-sponsored Center for Dark Energy Biosphere Investigations (C-DEBI) (grant number OCE0939564) to D.P. Bojanova, J.P. Amend, and D.E. LaRowe; NASA Exobiology (80NSSC21K0477) to E.D. Young; NASA Exobiology grant Linking methane biogeochemistry to microbial biosignatures in the Guaymas Basin (award number A22-0244-001) to J.L. Ash and A.P. Teske; and Simons Foundation (award number 687165) to B.J. Baker.Open access funding provided by SCELC, Statewide California Electronic Library Consortium.</t>
  </si>
  <si>
    <t>2023 AUG 18</t>
  </si>
  <si>
    <t>10.1038/s41396-023-01485-y</t>
  </si>
  <si>
    <t>P5RD0</t>
  </si>
  <si>
    <t>WOS:001051237900001</t>
  </si>
  <si>
    <t>Choi, H; Kwon, J; Nam, S</t>
  </si>
  <si>
    <t>Choi, Haram; Kwon, Joungheum; Nam, Sanghun</t>
  </si>
  <si>
    <t>Research on the application of gaze visualization interface on virtual reality training systems</t>
  </si>
  <si>
    <t>JOURNAL ON MULTIMODAL USER INTERFACES</t>
  </si>
  <si>
    <t>Eye-tracking; Gaze visualization; Learning performance; Training system; Virtual reality</t>
  </si>
  <si>
    <t>EYE-TRACKING; INSTRUCTION; SIMULATION; EDUCATION</t>
  </si>
  <si>
    <t>Although virtual reality (VR) training provides a realistic environment that offers an immersive experience for learners, it can affect the training progress by triggering a cognitive load or distracting learners from focusing on the main content of the training. In this study, the application of a gaze visualization interface to a medical safety training system was proposed to prevent learner distraction, which is an issue usually experienced in traditional VR training systems. An experiment was conducted to analyze the effects of applying the gaze visualization interface to a medical training system on the learning performance. Based on related studies, the following three metrics were selected to evaluate the learning performance: learning flow, achievement, and concentration. After the experiment, flow and achievement were evaluated through surveys and quizzes. These evaluation methods can also distort learners' memories, making it difficult to analyze objective learning outcomes. Eye-tracking technology is useful for measuring learning performance in multimedia learning environments and can represent learner's eye movements in objective metrics. Therefore, in this study, eye-tracking technology was used to evaluate concentration. The experimental results suggest that the gaze visualization interface had positive effects on learners' concentration, learning flow, and achievement.</t>
  </si>
  <si>
    <t>[Choi, Haram] Changwon Natl Univ, Dept Culture &amp; Technol Convergence, Chang Won, South Korea; [Kwon, Joungheum] Korea Univ Technol &amp; Educ, Dept Future Technol, Cheonan, South Korea; [Nam, Sanghun] Changwon Natl Univ, Dept Culture Technol, Chang Won, South Korea</t>
  </si>
  <si>
    <t>Changwon National University; Korea University of Technology &amp; Education; Changwon National University</t>
  </si>
  <si>
    <t>Nam, S (corresponding author), Changwon Natl Univ, Dept Culture Technol, Chang Won, South Korea.</t>
  </si>
  <si>
    <t>20227578@gs.cwnu.ac.kr; rjhkwon@koreatech.ac.kr; sanghunnam@changwon.ac.kr</t>
  </si>
  <si>
    <t>Kwon, Joung Huem/0000-0001-5660-4100; Nam, SangHun/0000-0003-4634-9948; Choi, Haram/0000-0002-0527-8525</t>
  </si>
  <si>
    <t>Institute of Information and Communications Technology Planning and Evaluation (IITP) - Korean government (MSIT) [2021-0-00986]; rising professor Financial Program at Changwon National University</t>
  </si>
  <si>
    <t>Institute of Information and Communications Technology Planning and Evaluation (IITP) - Korean government (MSIT)(Institute for Information &amp; Communication Technology Planning &amp; Evaluation (IITP), Republic of KoreaMinistry of Science &amp; ICT (MSIT), Republic of Korea); rising professor Financial Program at Changwon National University</t>
  </si>
  <si>
    <t>This research was supported by the Institute of Information and Communications Technology Planning and Evaluation (IITP) grant funded by the Korean government (MSIT) (No.2021-0-00986, Development of Interaction Technology to Maximize Realization of Virtual Reality Contents using Multimodal Sensory Interface) and funded by the rising professor Financial Program at Changwon National University in 2023.</t>
  </si>
  <si>
    <t>1783-7677</t>
  </si>
  <si>
    <t>1783-8738</t>
  </si>
  <si>
    <t>J MULTIMODAL USER IN</t>
  </si>
  <si>
    <t>J. Multimodal User Interfaces</t>
  </si>
  <si>
    <t>10.1007/s12193-023-00409-6</t>
  </si>
  <si>
    <t>Computer Science, Artificial Intelligence; Computer Science, Cybernetics</t>
  </si>
  <si>
    <t>Q8ZX3</t>
  </si>
  <si>
    <t>WOS:001050503700001</t>
  </si>
  <si>
    <t>Choi, JA; Kim, H; Kwon, H; Lee, EH; Cho, H; Chung, JY; Kim, JH</t>
  </si>
  <si>
    <t>Choi, Jung-A; Kim, Hyosun; Kwon, Hyunja; Lee, Elizabeth Hyeji; Cho, Hanbyoul; Chung, Joon-Yong; Kim, Jae-Hoon</t>
  </si>
  <si>
    <t>Ascitic autotaxin as a potential prognostic, diagnostic, and therapeutic target for epithelial ovarian cancer</t>
  </si>
  <si>
    <t>TYPE-1 MATRIX-METALLOPROTEINASE; SERUM AUTOTAXIN; GENE-EXPRESSION; INTEGRIN BETA-1; CELLS; GROWTH; INVADOPODIA; METASTASIS; INHIBITION; INVASION</t>
  </si>
  <si>
    <t>BACKGROUND: Malignant ascites contributes to the metastatic process by facilitating the multifocal dissemination of ovarian tumour cells onto the peritoneal surface. However, the prognostic and diagnostic relevance of ascitic fluid remains largely unknown. Herein, we investigated the potential clinical value and therapeutic utility of ascitic autotaxin (ATX) in epithelial ovarian cancer (EOC). METHODS: ATX expression was assessed in clinical samples. Spheroid-forming assay, real-time PCR, western blot analysis, invadopodia assay, and adhesion assays were performed. RESULTS: Ascitic ATX expression was highly elevated in patients with ovarian cancer compared to those with benign ascites and was associated with advanced stage, high grade, and a short disease-free period in patients with EOC. Combining the diagnostic ability of ascitic ATX and serum CA-125 levels significantly improved the area under the curve (AUC) value for EOC compared to serum CA125 level alone. This marker combination showed a large odds ratio for short disease-free period in high-risk EOC groups. Functional studies revealed that ascitic ATX was required for maintaining cancer stem cell-like characteristics and invadopodia formation. CONCLUSION: Ascitic ATX levels may serve as a useful prognostic indicator for predicting aggressive behaviour in EOC. ATX-linked invadopodia are a potential target to prevent peritoneal dissemination in ovarian cancer. British Journal of Cancer.</t>
  </si>
  <si>
    <t>[Choi, Jung-A; Kim, Hyosun; Kwon, Hyunja; Lee, Elizabeth Hyeji; Cho, Hanbyoul; Kim, Jae-Hoon] Yonsei Univ, Gangnam Severance Hosp, Dept Obstet &amp; Gynecol, Coll Med, Seoul 03722, South Korea; [Choi, Jung-A; Cho, Hanbyoul; Kim, Jae-Hoon] Yonsei Univ, Inst Womens Life Med Sci, Coll Med, Seoul 03722, South Korea; [Chung, Joon-Yong] NCI, NIH, Ctr Canc Res, Mol Imaging Branch, Bethesda, MD 20892 USA</t>
  </si>
  <si>
    <t>Yonsei University; Yonsei University Health System; Yonsei University; Yonsei University Health System; National Institutes of Health (NIH) - USA; NIH National Cancer Institute (NCI)</t>
  </si>
  <si>
    <t>Kim, JH (corresponding author), Yonsei Univ, Gangnam Severance Hosp, Dept Obstet &amp; Gynecol, Coll Med, Seoul 03722, South Korea.;Kim, JH (corresponding author), Yonsei Univ, Inst Womens Life Med Sci, Coll Med, Seoul 03722, South Korea.</t>
  </si>
  <si>
    <t>jaehoonkim@yuhs.ac</t>
  </si>
  <si>
    <t>Chung, Joon-Yong/J-9177-2017</t>
  </si>
  <si>
    <t>Chung, Joon-Yong/0000-0001-5041-5982</t>
  </si>
  <si>
    <t>Korea Healthcare Technology Ramp;DProject, Ministry for Health and Welfare Affairs, Korea [HI17C1635]; National Research Foundation of Korea (NRF) - Korea Government (MSIT) [2021R1A2C1008631]</t>
  </si>
  <si>
    <t>Korea Healthcare Technology Ramp;DProject, Ministry for Health and Welfare Affairs, Korea; National Research Foundation of Korea (NRF) - Korea Government (MSIT)(National Research Foundation of KoreaMinistry of Science, ICT &amp; Future Planning, Republic of KoreaMinistry of Science &amp; ICT (MSIT), Republic of Korea)</t>
  </si>
  <si>
    <t>This study was supported by a grant from the Korea Healthcare Technology R &amp; amp;DProject, Ministry for Health and Welfare Affairs, Korea (HI17C1635), a National Research Foundation of Korea (NRF) grant funded by the Korea Government (MSIT)(2021R1A2C1008631).</t>
  </si>
  <si>
    <t>10.1038/s41416-023-02355-2</t>
  </si>
  <si>
    <t>P6NP4</t>
  </si>
  <si>
    <t>WOS:001051826800003</t>
  </si>
  <si>
    <t>Corsi, L; Mateo, S; Spaccini, F; Buratti, C; Moya, AJ</t>
  </si>
  <si>
    <t>Corsi, Luca; Mateo, Soledad; Spaccini, Francesco; Buratti, Cinzia; Moya, Alberto J. J.</t>
  </si>
  <si>
    <t>Optimization of Microwave-Assisted Organosolv Pretreatment for Enzymatic Hydrolysis of Cherry Tree Pruning and Pistachio Shells: a Step to Bioethanol Production</t>
  </si>
  <si>
    <t>Agricultural biomass; Cellulose; Lignin; Biorefinery; Enzymes</t>
  </si>
  <si>
    <t>BIOMASS; LIGNIN</t>
  </si>
  <si>
    <t>The overall purpose of this research work was to apply a microwave-assisted digestion process combined with ethanol organosolv as pretreatment for pistachio shells (PS) and cherry tree pruning (CTP) biomasses for cellulose production. This process would reduce the technical and environmental disadvantages of the accumulation of these agricultural wastes. A central composite design based on the Response Surface Methodology was applied to check the effect of reaction time, temperature, and concentration of ethanol acid solution. Adequate models have been obtained for the contents of cellulose and lignin of the treated solids as well as for solubilized cellulose percentage. Best conditions implied 67% ethanol and 30 min at 150 C-?, involving the production of a cellulose-enriched material (81.1% and 90.1% for treated CTP and PS, respectively). Finally, enzymatic hydrolysis of these materials was carried out, reaching glucose concentrations of 70 and 100 kg/m(3) for CTP and PS, resulting in enzymatic hydrolysis yields at 12 h of 97.2% and 76.9%. These high values are one of the main novelties and strengths of this work, as show the ease of the process and can have a beneficial influence on its scale-up, reducing both costs and environmental impact.</t>
  </si>
  <si>
    <t>[Corsi, Luca; Spaccini, Francesco; Buratti, Cinzia] Univ Perugia, Dept Engn, Via Goffredo Duranti, 63, I-06125 Perugia, Italy; [Mateo, Soledad; Moya, Alberto J. J.] Univ Jaen, Chem Environm &amp; Mat Dept, Campus Lagunillas, Jaen 230717, Spain; [Mateo, Soledad; Moya, Alberto J. J.] Univ Jaen, Olive Grove &amp; Olive Oil Res Inst, Jaen 23071, Spain</t>
  </si>
  <si>
    <t>University of Perugia; Universidad de Jaen; Universidad de Jaen</t>
  </si>
  <si>
    <t>Moya, AJ (corresponding author), Univ Jaen, Chem Environm &amp; Mat Dept, Campus Lagunillas, Jaen 230717, Spain.;Moya, AJ (corresponding author), Univ Jaen, Olive Grove &amp; Olive Oil Res Inst, Jaen 23071, Spain.</t>
  </si>
  <si>
    <t>ajmoya@ujaen.es</t>
  </si>
  <si>
    <t>Moya, Alberto J./I-5463-2018</t>
  </si>
  <si>
    <t>Moya, Alberto J./0000-0002-1169-4728</t>
  </si>
  <si>
    <t>10.1007/s12155-023-10647-x</t>
  </si>
  <si>
    <t>P5QD9</t>
  </si>
  <si>
    <t>WOS:001051212700001</t>
  </si>
  <si>
    <t>D'Ambruoso, L; Abruquah, NA; Mabetha, D; van der Merwe, M; Goosen, G; Sigudla, J; Witter, S</t>
  </si>
  <si>
    <t>D'Ambruoso, Lucia; Abruquah, Nana Akua; Mabetha, Denny; van der Merwe, Maria; Goosen, Gerhard; Sigudla, Jerry; Witter, Sophie</t>
  </si>
  <si>
    <t>Verbal Autopsy Participatory</t>
  </si>
  <si>
    <t>Expanding Community Health Worker decision space: learning from a Participatory Action Research training intervention in a rural South African district</t>
  </si>
  <si>
    <t>Community Health Workers; Participatory Action Research; Decision space; South Africa</t>
  </si>
  <si>
    <t>DECENTRALIZATION; CARE; SYSTEMS</t>
  </si>
  <si>
    <t>BackgroundWhile integral to decentralising health reforms, Community Health Workers (CHWs) in South Africa experience many challenges. During COVID-19, CHW roles changed rapidly, shifting from communities to clinics. In the contexts of new roles and re-engineered primary healthcare (PHC), the objectives were to: (a) implement a training intervention to support local decision-making capability of CHWs; and (b) assess learning and impacts from the perspectives of CHWs.MethodsCHWs from three rural villages (n = 9) were trained in rapid Participatory Action Research (PAR) with peers and community stakeholders (n = 33). Training equipped CHWs with tools and techniques to convene community groups, raise and/or respond to local health concerns, understand concerns from different perspectives, and facilitate action in communities and public services. CHWs' perspectives before and after the intervention were gained through semi-structured interviews. Data were collected and analysed using the decision space framework to understand local actors' power to affect devolved decision-making.ResultsCHWs demonstrated significant resilience and commitment in the face of COVID-19. They experienced multiple, intersecting challenges including: limited financial, logistical and health systems support, poor role clarity, precarious employment, low and no pay, unstable organisational capacity, fragile accountability mechanisms and belittling treatment in clinics. Together, these restricted decision space and were seen to reflect a low valuing of the cadre in the system. CHWs saw the training as a welcome opportunity to assert themselves as a recognised cadre. Regular, spaces for dialogue and mutual learning supported CHWs to gain tools and skills to rework their agency in more empowered ways. The training improved management capacity, capabilities for dialogue, which expanded role clarity, and strengthened community mobilisation, facilitation and analysis skills. Development of public speaking skills was especially valued. CHWs reported an overall 'tripe-benefit' from the training: community-acceptance; peer support; and dialogue with and recognition by the system. The training intervention was recommended for scale-up by the health authority as an implementation support strategy for PHC.ConclusionsLack of recognition of CHWs is coupled with limited opportunities for communication and trust-building. The training supported CHWs to find and amplify their voices in strategic partnerships, and helped build functionality for local decision-making.</t>
  </si>
  <si>
    <t>[D'Ambruoso, Lucia; Mabetha, Denny; van der Merwe, Maria] Univ Aberdeen, Aberdeen Ctr Hlth Data Sci, Sch Med Med Sci &amp; Nutr, Aberdeen, Scotland; [D'Ambruoso, Lucia; Mabetha, Denny; van der Merwe, Maria] Univ Witwatersrand, Sch Publ Hlth, MRC Wits Rural Publ Hlth &amp; Hlth Transit Res Unit, Agincourt, Johannesburg, South Africa; [D'Ambruoso, Lucia] Umea Univ, Dept Epidemiol &amp; Global Hlth, Umea, Sweden; [D'Ambruoso, Lucia] Natl Hlth Serv NHS Grampian, Publ Hlth, Aberdeen, Scotland; [D'Ambruoso, Lucia] Stellenbosch Univ, Dept Global Hlth, Stellenbosch, South Africa; [Abruquah, Nana Akua] Kwame Nkrumah Univ Sci &amp; Technol, Univ Hosp, Kumasi, Ghana; [Mabetha, Denny] South African Med Res Council MRC, Cochrane South Africa, Cape Town, South Africa; [van der Merwe, Maria] Maria Van Der Merwe Consulting, White River, South Africa; [Goosen, Gerhard; Sigudla, Jerry] Mpumalanga Dept Hlth, Mbombela, South Africa; [Witter, Sophie] Queen Margaret Univ, Inst Global Hlth &amp; Dev, Musselburgh, Scotland</t>
  </si>
  <si>
    <t>University of Aberdeen; University of Witwatersrand; Umea University; Stellenbosch University; Kwame Nkrumah University Science &amp; Technology; Queen Margaret University</t>
  </si>
  <si>
    <t>D'Ambruoso, L (corresponding author), Univ Aberdeen, Aberdeen Ctr Hlth Data Sci, Sch Med Med Sci &amp; Nutr, Aberdeen, Scotland.;D'Ambruoso, L (corresponding author), Univ Witwatersrand, Sch Publ Hlth, MRC Wits Rural Publ Hlth &amp; Hlth Transit Res Unit, Agincourt, Johannesburg, South Africa.;D'Ambruoso, L (corresponding author), Umea Univ, Dept Epidemiol &amp; Global Hlth, Umea, Sweden.;D'Ambruoso, L (corresponding author), Natl Hlth Serv NHS Grampian, Publ Hlth, Aberdeen, Scotland.;D'Ambruoso, L (corresponding author), Stellenbosch Univ, Dept Global Hlth, Stellenbosch, South Africa.</t>
  </si>
  <si>
    <t>lucia.dambruoso@abdn.ac.uk</t>
  </si>
  <si>
    <t>Witter, Sophie/0000-0002-7656-6188; D'Ambruoso, Lucia/0000-0002-8505-3368; Goosen, Gerhard/0000-0001-7105-8056</t>
  </si>
  <si>
    <t>Department for International Development/MRC/WelcomeTrust/Economic and Social Research Council [MR/P014844/1]</t>
  </si>
  <si>
    <t>Department for International Development/MRC/WelcomeTrust/Economic and Social Research Council</t>
  </si>
  <si>
    <t>The study was funded by the Joint Health Systems Research Initiative from the Department for International Development/MRC/WelcomeTrust/Economic and Social Research Council (MR/P014844/1). Funders had no role in any part of the work including design and conduct of the study, data collection, data management, data analysis and interpretation, preparation, review, and approval of the manuscript.</t>
  </si>
  <si>
    <t>10.1186/s12960-023-00853-1</t>
  </si>
  <si>
    <t>P4KX8</t>
  </si>
  <si>
    <t>WOS:001050363300001</t>
  </si>
  <si>
    <t>Feng, L; Zhang, YZ; Wei, W; Qiu, H; Shi, MY</t>
  </si>
  <si>
    <t>Feng, Li; Zhang, Yanzhu; Wei, Wei; Qiu, Hui; Shi, Mingyu</t>
  </si>
  <si>
    <t>Applying deep learning to recognize the properties of vitreous opacity in ophthalmic ultrasound images</t>
  </si>
  <si>
    <t>ARTIFICIAL-INTELLIGENCE; DIABETIC-RETINOPATHY; VALIDATION; HISTORY</t>
  </si>
  <si>
    <t>BackgroundTo explore the feasibility of artificial intelligence technology based on deep learning to automatically recognize the properties of vitreous opacities in ophthalmic ultrasound images.MethodsA total of 2000 greyscale Doppler ultrasound images containing non-pathological eye and three typical vitreous opacities confirmed as physiological vitreous opacity (VO), asteroid hyalosis (AH), and vitreous haemorrhage (VH) were selected and labelled for each lesion type. Five residual networks (ResNet) and two GoogLeNet models were trained to recognize vitreous lesions. Seventy-five percent of the images were randomly selected as the training set, and the remaining 25% were selected as the test set. The accuracy and parameters were recorded and compared among these seven different deep learning (DL) models. The precision, recall, F1 score, and area under the receiver operating characteristic curve (AUC) values for recognizing vitreous lesions were calculated for the most accurate DL model.ResultsThese seven DL models had significant differences in terms of their accuracy and parameters. GoogLeNet Inception V1 achieved the highest accuracy (95.5%) and minor parameters (10315580) in vitreous lesion recognition. GoogLeNet Inception V1 achieved precision values of 0.94, 0.94, 0.96, and 0.96, recall values of 0.94, 0.93, 0.97 and 0.98, and F1 scores of 0.94, 0.93, 0.96 and 0.97 for normal, VO, AH, and VH recognition, respectively. The AUC values for these four vitreous lesion types were 0.99, 1.0, 0.99, and 0.99, respectively.ConclusionsGoogLeNet Inception V1 has shown promising results in ophthalmic ultrasound image recognition. With increasing ultrasound image data, a wide variety of confidential information on eye diseases can be detected automatically by artificial intelligence technology based on deep learning.</t>
  </si>
  <si>
    <t>[Feng, Li; Qiu, Hui; Shi, Mingyu] China Med Univ, Affiliated Hosp 4, Eye Hosp, Dept Ophthalmol,Key Lab Lens Liaoning Prov, Shenyang, Peoples R China; [Zhang, Yanzhu] Shenyang Ligong Univ, Shenyang, Peoples R China; [Wei, Wei] Hebei Eye Hosp, Xingtai, Peoples R China</t>
  </si>
  <si>
    <t>China Medical University; Shenyang Ligong University</t>
  </si>
  <si>
    <t>Shi, MY (corresponding author), China Med Univ, Affiliated Hosp 4, Eye Hosp, Dept Ophthalmol,Key Lab Lens Liaoning Prov, Shenyang, Peoples R China.</t>
  </si>
  <si>
    <t>xm5788@163.com</t>
  </si>
  <si>
    <t>Feng, Li/0000-0001-6535-8570</t>
  </si>
  <si>
    <t>Scientific Research Funding for Education Department of Liaoning Province [ZD2020002]</t>
  </si>
  <si>
    <t>Scientific Research Funding for Education Department of Liaoning Province</t>
  </si>
  <si>
    <t>&amp; nbsp;This study was funded by Scientific Research Funding for Education Department of Liaoning Province (Grant No. ZD2020002).</t>
  </si>
  <si>
    <t>10.1038/s41433-023-02705-7</t>
  </si>
  <si>
    <t>P5RM2</t>
  </si>
  <si>
    <t>WOS:001051247200002</t>
  </si>
  <si>
    <t>Hou, Y; Zhang, S; Zhang, GH; Lv, XW</t>
  </si>
  <si>
    <t>Hou, Yong; Zhang, Shuo; Zhang, Guohua; Lv, Xuewei</t>
  </si>
  <si>
    <t>Effect of Quenching Method on the Structure of Glass Slag</t>
  </si>
  <si>
    <t>Raman spectroscopy; Slags; TEM; Crystals; crystallization</t>
  </si>
  <si>
    <t>CRYSTALLIZATION KINETICS; SILICATE NETWORK; HIGH-TEMPERATURE; COOLING RATE; MOLD FLUXES; IN-SITU; MAS NMR; RAMAN; VISCOSITY; MICROSTRUCTURE</t>
  </si>
  <si>
    <t>Currently, the common way for structural investigation is to confirm the amorphous state of the quenched slag by XRD prior to Raman analysis. However, if the slag precipitates a few nanocrystals during quenching, XRD may not recognize them, but the slag structure has been changed. Therefore, this paper proposes to combine TEM with XRD and Raman for analyzing the slag structure and to verify it with blast furnace slag obtained by different quenching methods. The results show that the XRD curves of the slags obtained by quenching in water or on a stainless steel plate show amorphous states, but the deconvolution results of Raman spectra are significantly different. The TEM analysis finds a few crystals in the slag obtained by the latter, which is responsible for the structural differences. Therefore, it is necessary to confirm the amorphous state of the slag by both XRD and TEM before studying the structure.</t>
  </si>
  <si>
    <t>[Hou, Yong; Zhang, Shuo; Lv, Xuewei] Chongqing Univ, Coll Mat Sci &amp; Engn, Chongqing 400044, Peoples R China; [Hou, Yong; Zhang, Shuo; Lv, Xuewei] Chongqing Univ, Chongqing Key Lab Vanadium Titanium Met &amp; New Mat, Chongqing 400044, Peoples R China; [Zhang, Guohua] Univ Sci &amp; Technol Beijing, State Key Lab Adv Met, Beijing 100083, Peoples R China; [Zhang, Guohua] Univ Sci &amp; Technol Beijing, Beijing Key Lab Green Recovery &amp; Extract Rare &amp; Pr, Beijing 100083, Peoples R China</t>
  </si>
  <si>
    <t>Chongqing University; Chongqing University; University of Science &amp; Technology Beijing; University of Science &amp; Technology Beijing</t>
  </si>
  <si>
    <t>Hou, Y (corresponding author), Chongqing Univ, Coll Mat Sci &amp; Engn, Chongqing 400044, Peoples R China.;Hou, Y (corresponding author), Chongqing Univ, Chongqing Key Lab Vanadium Titanium Met &amp; New Mat, Chongqing 400044, Peoples R China.;Zhang, GH (corresponding author), Univ Sci &amp; Technol Beijing, State Key Lab Adv Met, Beijing 100083, Peoples R China.;Zhang, GH (corresponding author), Univ Sci &amp; Technol Beijing, Beijing Key Lab Green Recovery &amp; Extract Rare &amp; Pr, Beijing 100083, Peoples R China.</t>
  </si>
  <si>
    <t>yhou1004@cqu.edu.cn; ghzhang0914@ustb.edu.cn</t>
  </si>
  <si>
    <t>National Natural Science Foundation of China [51734002]</t>
  </si>
  <si>
    <t>AcknowledgementsThis work was supported by the National Natural Science Foundation of China (51734002).</t>
  </si>
  <si>
    <t>10.1007/s12666-023-03069-y</t>
  </si>
  <si>
    <t>P4RD3</t>
  </si>
  <si>
    <t>WOS:001050525700001</t>
  </si>
  <si>
    <t>Jafer, M; Moafa, I; Hoving, C; Candel, M; Kaabi, AA; van den Borne, B</t>
  </si>
  <si>
    <t>Jafer, Mohammed; Moafa, Ibtisam; Hoving, Ciska; Candel, Math; Kaabi, Abdulrahman A.; Van den Borne, Bart</t>
  </si>
  <si>
    <t>The ISAC Paradigm to Tame Oral Cancer in Saudi Arabia: A Quasi-experimental Study</t>
  </si>
  <si>
    <t>JOURNAL OF CANCER EDUCATION</t>
  </si>
  <si>
    <t>Early detection; Screening; Mouth neoplasm; Public health; Behavior change; Health education; Cancer prevention; Psychological health</t>
  </si>
  <si>
    <t>INTERVENTION; CARE; EPIDEMIOLOGY; SCHOOL</t>
  </si>
  <si>
    <t>Late detection of oral cancer (OC) cases in Saudi Arabia is concerning. It reduces survival rate and complicates treatment. The ISAC intervention was developed to bridge the gaps observed in dentists' practice of OC examination and patient education. The ISAC stands for I, informing patients of OC screenings; S, screening for OC; A, advising high-risk patients to quit risk factors; and C, connecting patients to advanced services. This study tested the potential effect of the ISAC in influencing dentists' cognitive and behavioral skills, to enhance early detection and prevention of OC. A quasi-experimental study was conducted among dental interns (DIs) at dental setting to test the effect on comprehensive oral cancer examination score (COCE), awareness, self-efficacy, descriptive-norms, and self-reported behavior. Data were collected through triangulation of methods pre and post the intervention at two-months. Multiple linear mixed effects regression models were utilized for data analysis. Between October 2020 and April 2021, 47 DIs participated in the study. The final model showed the significant effects of time (ISAC) on COCE (95% CI = 25.12-29.42, P &lt; .001). DIs had a significant improvement in awareness, self-efficacy, descriptive norms, and self-reported behavior. The findings showed promising effects of the intervention toward the early detection and prevention of OC. Dentists, dental organizations, and policymakers in areas with a high risk of OC could benefit from the current intervention which contributes to capacity building and improved community health. A pragmatic study with a robust design is needed to test the effectiveness of the intervention on a wider scale.</t>
  </si>
  <si>
    <t>[Jafer, Mohammed; Moafa, Ibtisam] Jazan Univ, Dept Prevent Dent Sci, Dent Publ Hlth Div, Jazan, Saudi Arabia; [Hoving, Ciska; Van den Borne, Bart] Maastricht Univ, Care &amp; Publ Hlth Res Inst CAPHRI, Dept Hlth Promot, Maastricht, Netherlands; [Candel, Math] Maastricht Univ, Care &amp; Publ Hlth Res Inst CAPHRI, Dept Res &amp; Methodol, Maastricht, Netherlands; [Kaabi, Abdulrahman A.] Jazan Univ, Coll Dent, Community Serv Unit, Jazan, Saudi Arabia</t>
  </si>
  <si>
    <t>Jazan University; Maastricht University; Maastricht University; Jazan University</t>
  </si>
  <si>
    <t>Moafa, I (corresponding author), Jazan Univ, Dept Prevent Dent Sci, Dent Publ Hlth Div, Jazan, Saudi Arabia.</t>
  </si>
  <si>
    <t>imoafa@jazanu.edu.sa</t>
  </si>
  <si>
    <t>Candel, Math/0000-0002-2229-1131</t>
  </si>
  <si>
    <t>0885-8195</t>
  </si>
  <si>
    <t>1543-0154</t>
  </si>
  <si>
    <t>J CANCER EDUC</t>
  </si>
  <si>
    <t>J. Cancer Educ.</t>
  </si>
  <si>
    <t>10.1007/s13187-023-02356-y</t>
  </si>
  <si>
    <t>Oncology; Education, Scientific Disciplines; Public, Environmental &amp; Occupational Health</t>
  </si>
  <si>
    <t>Oncology; Education &amp; Educational Research; Public, Environmental &amp; Occupational Health</t>
  </si>
  <si>
    <t>P4QC9</t>
  </si>
  <si>
    <t>WOS:001050499300001</t>
  </si>
  <si>
    <t>Khojasteh, C; Sodhi, JK; Halladay, J; Zhang, DL</t>
  </si>
  <si>
    <t>Khojasteh, Cyrus; Sodhi, Jasleen K.; Halladay, Jason; Zhang, Donglu</t>
  </si>
  <si>
    <t>The past decade of Genentech experience in elucidation of novel reaction mechanisms in drug metabolism</t>
  </si>
  <si>
    <t>MEDICINAL CHEMISTRY RESEARCH</t>
  </si>
  <si>
    <t>Drug metabolism; Cytochrome P450; Aldehyde oxidase; Flavin-containing monooxygenase</t>
  </si>
  <si>
    <t>HUMAN CYTOCHROME P4502C9; ALDEHYDE OXIDASE; EMERGING IMPORTANCE; CYP2C9 INHIBITION; CARFILZOMIB; MONOOXYGENASE; THIOREDOXIN; SELECTIVITY; DICLOFENAC; INSIGHTS</t>
  </si>
  <si>
    <t>Drug metabolism is critical to many aspects of drug safety and efficacy. Thus, understanding the various intricacies of drug metabolism helps to avoid possible pitfalls and contributes to drug design during the discovery stage and to drug characterization during the development stage. Drug metabolism expertise was mainly taught at the universities and prominent professors have contributed to the field and here, we like to acknowledge Professor Thomas Baillie contribution to the field. Over the years, we have deployed our learnings in both drug discovery and development at Genentech. Here, we describe case studies from novel reaction mechanisms to novel types of metabolites. Taken together, we describe our lessons in a manner that allows the reader to understand the significance of the lessons and the thinking behind the experimental design. Here, we describe 10 case studies that highlight our experience in the past decade with the first 5 case studies capturing non-cytochrome P450 enzymatic reactions such as the discovery of a novel hydrolytic reaction by aldehyde oxidase (Case Study 1). The remaining 5 case studies describe cytochrome P450-derived reactions including various types of cytochrome P450-mediated reactions that resulted in ring formation or cleavage (Case Studies 6-9). The last case study (Case Study 10), emphasizes the importance of exploring ways to understand binding and enzyme kinetics, and explores co-incubation of 1-aminobenzotriazole (ABT) with warfarin in CYP2C9 metabolism.</t>
  </si>
  <si>
    <t>[Khojasteh, Cyrus; Zhang, Donglu] Genentech Inc, DMPK, San Francisco, CA 94080 USA; [Sodhi, Jasleen K.] Septerna, DMPK, San Francisco, CA 94080 USA; [Halladay, Jason] Protagonist Therapeut Inc, DMPK, Newark, CA 94560 USA</t>
  </si>
  <si>
    <t>Roche Holding; Genentech</t>
  </si>
  <si>
    <t>Khojasteh, C (corresponding author), Genentech Inc, DMPK, San Francisco, CA 94080 USA.</t>
  </si>
  <si>
    <t>pars@gene.com</t>
  </si>
  <si>
    <t>Khojasteh, Cyrus/0000-0002-8385-9288</t>
  </si>
  <si>
    <t>1054-2523</t>
  </si>
  <si>
    <t>1554-8120</t>
  </si>
  <si>
    <t>MED CHEM RES</t>
  </si>
  <si>
    <t>Med. Chem. Res.</t>
  </si>
  <si>
    <t>10.1007/s00044-023-03128-5</t>
  </si>
  <si>
    <t>P5QI7</t>
  </si>
  <si>
    <t>WOS:001051217500002</t>
  </si>
  <si>
    <t>Lutz, R; Kesting, MR; Weber, M; Olmos, M; Tasyuerek, D; Moest, T; Buerstner, J; Schulz, KL</t>
  </si>
  <si>
    <t>Lutz, Rainer; Kesting, Marco Rainer; Weber, Manuel; Olmos, Manuel; Tasyuerek, Deniz; Moest, Tobias; Buerstner, Jan; Schulz, Katja Leonie</t>
  </si>
  <si>
    <t>An ex vivo model for education and training of bilateral cleft lip surgery</t>
  </si>
  <si>
    <t>Bilateral cleft lip; Lip plasty; Cheiloplasty; Porcine snout disc; Ex vivo model; Cadaver model; Surgical simulation; Residency training; Skills lab; Teaching</t>
  </si>
  <si>
    <t>PIG HEAD; REPAIR</t>
  </si>
  <si>
    <t>BackgroundBilateral cleft lip surgery is very challenging and requires a high level of skill, knowledge and experience. Existing high-fidelity simulation models that can be used by novice cleft surgeons to gain experience and expand their knowledge are rare and expensive. In this study, we developed a bilateral cleft lip model using porcine snout discs, which are available anywhere and inexpensive.MethodsAnatomic reference points of a patient with a bilateral cleft lip were superimposed with landmarks of the porcine snout disc on a foil template. The template was used to construct an ex vivo bilateral cleft lip model. Surgery was performed on the model according to Millard and the surgical steps were photodocumented analogous to two clinical cases of bilateral cleft lip surgery. The suitability of the model was further tested by twelve participants and evaluated using self-assessment questionnaires.ResultsThe bilateral cleft lip ex vivo model made of a porcine snout disc proved to be a suitable model with very low cost and ease of fabrication, as the template is reusable on any snout disc. The Millard procedure was successfully performed and the surgical steps of the lip plasty were simulated close to the clinical situation. Regarding the nasal reconstruction, the model lacks three-dimensionality. As a training model, it enhanced the participants comprehension of cleft surgery as well as their surgical skills. All participants rated the model as valuable for teaching and training.ConclusionsThe porcine snout discs can be used as a useful ex vivo model for bilateral cleft lip surgery with limitations in the construction of the nose, which cannot be realistically performed with the model due to anatomical differences with humans. Benefits include a realistic tissue feel, the simulation of a multi-layered lip construction, a wide and rapid availability and low cost. This allows the model to be used by novice surgeons also in low-income countries. It is therefore useful as a training model for gaining experience, but also as a model for refining, testing and evaluating surgical techniques for bilateral lip plasty.</t>
  </si>
  <si>
    <t>[Lutz, Rainer; Kesting, Marco Rainer; Weber, Manuel; Olmos, Manuel; Tasyuerek, Deniz; Moest, Tobias; Buerstner, Jan; Schulz, Katja Leonie] Univ Hosp Erlangen, Friedrich Alexander Univ Erlangen Nurnberg FAU, Dept Oral &amp; Cranio Maxillofacial Surg, Gluckstr 11, D-91054 Erlangen, Germany</t>
  </si>
  <si>
    <t>University of Erlangen Nuremberg</t>
  </si>
  <si>
    <t>Lutz, R (corresponding author), Univ Hosp Erlangen, Friedrich Alexander Univ Erlangen Nurnberg FAU, Dept Oral &amp; Cranio Maxillofacial Surg, Gluckstr 11, D-91054 Erlangen, Germany.</t>
  </si>
  <si>
    <t>rainer.lutz@uk-erlangen.de</t>
  </si>
  <si>
    <t>Lutz, Rainer/JEO-6102-2023; Lutz, Rainer/AGN-8275-2022</t>
  </si>
  <si>
    <t>Lutz, Rainer/0000-0003-0199-9437;</t>
  </si>
  <si>
    <t>10.1186/s12909-023-04575-9</t>
  </si>
  <si>
    <t>P4LJ1</t>
  </si>
  <si>
    <t>WOS:001050374600006</t>
  </si>
  <si>
    <t>Lydia, MD; Prakash, M</t>
  </si>
  <si>
    <t>Lydia, M. Dhasny; Prakash, M.</t>
  </si>
  <si>
    <t>An efficient deep learning model based lung cancer detection and risk identification using cox proportional hazard analysis</t>
  </si>
  <si>
    <t>Lung cancer detection; Survival rate analysis; Risk identification; Deep learning model; Cat and mouse optimization</t>
  </si>
  <si>
    <t>SURVIVAL</t>
  </si>
  <si>
    <t>Lung cancer has a substantially worse five-year survival rate than many other malignancies and is the most common cause of cancer-related deaths in both men and women worldwide. For better disease detection and medical management, accurate survival analysis is urgently required. In the literature, few works are reviewed for survival analysis, but it fails to achieve optimal outcomes. Hence, in this paper, Cox Proportional Hazard Analysis Based Deep Learning Model (CPHA-DLM) is developed for risk identification in lung cancer detection. The proposed method is proceeding with two stages such as lung cancer detection and risk identification of patients with the basis of survival rate. At first, the databases are collected from the SEER program. The main motive of the research is survival analysis which is achieved by considering Cox Proportional Hazard Analysis. Initially, lung cancer is detected by considering the deep learning model. The databases are sent to the deep learning model of the Hybrid Convolutional Neural Network (HCNN). The deep learning model is a grouping of a Convolutional Neural Network (CNN) and Cat and Mouse based Optimizer (CMO). In CNN, the hyperparameter is optimized with the consideration of the CMO. After that, the survival rate of the patients is analyzed with hazard analysis. To compute the predictive power of the survival model, two measures are considered as concordance index and Kaplan Meier Estimate. The proposed method is validated by considering the conventional approaches. According to this study, the patient has a low risk after 20 years. The patient has a medium risk at 8 years and a high risk after 5 years, respectively. Experimental results show that the proposed method attained the maximum Precision of 96.29%, recall of 96.10%, and F-Measure of 96.16%.</t>
  </si>
  <si>
    <t>[Lydia, M. Dhasny; Prakash, M.] SRM Inst Sci &amp; Technol, Coll Engn &amp; Technol, Sch Comp, Dept Data Sci &amp; Business Syst, Kattankulathur 603203, Tamil Nadu, India</t>
  </si>
  <si>
    <t>SRM Institute of Science &amp; Technology Chennai</t>
  </si>
  <si>
    <t>Lydia, MD (corresponding author), SRM Inst Sci &amp; Technol, Coll Engn &amp; Technol, Sch Comp, Dept Data Sci &amp; Business Syst, Kattankulathur 603203, Tamil Nadu, India.</t>
  </si>
  <si>
    <t>dhasnylydia@gmail.com; prakashm2@srmist.edu.in</t>
  </si>
  <si>
    <t>10.1007/s11042-023-16501-8</t>
  </si>
  <si>
    <t>P4RX5</t>
  </si>
  <si>
    <t>WOS:001050545900005</t>
  </si>
  <si>
    <t>Ottoni, ALC; Souza, AM; Novo, MS</t>
  </si>
  <si>
    <t>Ottoni, Andre Luiz Carvalho; Souza, Artur Moura; Novo, Marcela Silva</t>
  </si>
  <si>
    <t>Automated hyperparameter tuning for crack image classification with deep learning</t>
  </si>
  <si>
    <t>Deep learning; Automated machine learning; Crack classification; Hyperparameter tuning; Scott-Knott method</t>
  </si>
  <si>
    <t>CONVOLUTIONAL NEURAL-NETWORKS</t>
  </si>
  <si>
    <t>Deep learning methods have relevant applications in crack detection in buildings. However, one of the challenges in this field is the hyperparameter tuning process for convolutional neural networks (CNN). Thus, the objective of this paper is to propose a automated hyperparameter tuning approach for crack image classification. For this, a public dataset with 40,000 images of walls and floors of several buildings was used. The images are divided into two classes: negative (non-crack) and positive (crack). In this aspect, statistical methods are used for hyperparameter tuning, such as analysis of variance, Scott-Knott method and HyperTuningSK algorithm. Moreover, three new automated machine learning algorithms are proposed: AutoHyperTuningSK, AutoHyperTuningSK-test and AutoHyperTu-ningSK-DA. CNN architecture from the literature (MobileNet) and three types of hyperparameters (learning rate, optimizer and data augmentation) are analyzed. In general, the recommended configurations reached the best results in relation to unselected hyperparameters. In this regard, a selected combinations achieved a mean accuracy of around 99% (test experiments) in binary crack classification.</t>
  </si>
  <si>
    <t>[Ottoni, Andre Luiz Carvalho] Univ Fed Reconcavo Bahia, Technol &amp; Exact Ctr, Cruz das Almas, Brazil; [Souza, Artur Moura; Novo, Marcela Silva] Univ Fed Bahia, Dept Elect &amp; Comp Engn, Salvador, Brazil</t>
  </si>
  <si>
    <t>Universidade Federal do Reconcavo da Bahia; Universidade Federal da Bahia</t>
  </si>
  <si>
    <t>Ottoni, ALC (corresponding author), Univ Fed Reconcavo Bahia, Technol &amp; Exact Ctr, Cruz das Almas, Brazil.</t>
  </si>
  <si>
    <t>andre.ottoni@ufrb.edu.br; arturms@ufba.br; marcela.novo@ufba.br</t>
  </si>
  <si>
    <t>Ottoni, Andre Luiz Carvalho/0000-0003-2136-9870</t>
  </si>
  <si>
    <t>Coordenacao de Aper-feicoamento de Pessoal de Nivel Superior - Brazil (CAPES) [001]; Conselho Nacional de Desenvolvimento Cientifico e Tecnologico (CNPq)</t>
  </si>
  <si>
    <t>Coordenacao de Aper-feicoamento de Pessoal de Nivel Superior - Brazil (CAPES)(Coordenacao de Aperfeicoamento de Pessoal de Nivel Superior (CAPES)); Conselho Nacional de Desenvolvimento Cientifico e Tecnologico (CNPq)(Conselho Nacional de Desenvolvimento Cientifico e Tecnologico (CNPQ))</t>
  </si>
  <si>
    <t>This study was financed in part by the Coordenacao de Aper-feicoamento de Pessoal de Nivel Superior - Brazil (CAPES) - Finance Code 001 and Conselho Nacional de Desenvolvimento Cientifico e Tecnologico (CNPq)</t>
  </si>
  <si>
    <t>10.1007/s00500-023-09103-x</t>
  </si>
  <si>
    <t>P6MP6</t>
  </si>
  <si>
    <t>WOS:001051801000009</t>
  </si>
  <si>
    <t>Qian, XH; Yin, MQ; Chan, FTS; Yue, K</t>
  </si>
  <si>
    <t>Qian, Xiaohu; Yin, Mingqiang; Chan, Felix T. S.; Yue, Kai</t>
  </si>
  <si>
    <t>Winner Determination with Sustainable-Flexible Considerations Under Demand Uncertainty in Transportation Service Procurement Auctions</t>
  </si>
  <si>
    <t>NETWORKS &amp; SPATIAL ECONOMICS</t>
  </si>
  <si>
    <t>Winner determination; Approximation approach; Sustainability and flexibility; Uncertain demand; Transportation service procurement auction</t>
  </si>
  <si>
    <t>SAMPLE AVERAGE APPROXIMATION; GREEN LOGISTICS; DETERMINATION MODEL; REVERSE AUCTIONS; FLEXIBILITY; RISK; DECOMPOSITION; OPTIMIZATION; OPTIONS; DESIGN</t>
  </si>
  <si>
    <t>Sustainability and flexibility are two main factors not being investigated explicitly by existing winner determination literature. From a fourth party logistics (4PL) provider's point of view, an innovative sustainable-flexible winner determination problem under uncertain demand is particularly studied in transportation services procurement auctions. Based on a multi-attribute decision-making method, a linear constraint related to each bidder's sustainability score and flexibility score can be constructed, and then we integrate an outside option policy to formulate a two-stage stochastic sustainable-flexible winner determination model. Subsequently, we develop an approximation approach to solve the model based on the principles of dual decomposition Lagrangian relaxation and the sample average approximation. Using an established generator to obtain random instances, the effectiveness and applicability of this research could be verified by conducting numerical experiments. Also, managerial insights can be obtained to provide decision support for running an efficient sustainable-flexible logistics system by using a Chinese 4PL firm's real data.</t>
  </si>
  <si>
    <t>[Qian, Xiaohu; Yue, Kai] Shenzhen Univ, Coll Management, Shenzhen 518060, Peoples R China; [Yin, Mingqiang] Northeastern Univ, Coll Informat Sci &amp; Engn, Shenyang 110819, Liaoning, Peoples R China; [Chan, Felix T. S.] Macau Univ Sci &amp; Technol, Dept Decis Sci, Ave Wai Long, Taipa, Macao, Peoples R China</t>
  </si>
  <si>
    <t>Shenzhen University; Northeastern University - China; Macau University of Science &amp; Technology</t>
  </si>
  <si>
    <t>Yin, MQ (corresponding author), Northeastern Univ, Coll Informat Sci &amp; Engn, Shenyang 110819, Liaoning, Peoples R China.;Chan, FTS (corresponding author), Macau Univ Sci &amp; Technol, Dept Decis Sci, Ave Wai Long, Taipa, Macao, Peoples R China.</t>
  </si>
  <si>
    <t>xiaohuqian@live.cn; yinmingqiang2387@sina.com; felix1202.chan@connect.polyu.hk; 2622023276@qq.com</t>
  </si>
  <si>
    <t>National Natural Science Foundation of China [71801157]; Foundation of Shenzhen Science and Technology Program [20220810100345001]</t>
  </si>
  <si>
    <t>National Natural Science Foundation of China(National Natural Science Foundation of China (NSFC)); Foundation of Shenzhen Science and Technology Program</t>
  </si>
  <si>
    <t>AcknowledgementsThis work has been sponsored by National Natural Science Foundation of China Grant #71801157; and Foundation of Shenzhen Science and Technology Program Grant #20220810100345001.</t>
  </si>
  <si>
    <t>1566-113X</t>
  </si>
  <si>
    <t>1572-9427</t>
  </si>
  <si>
    <t>NETW SPAT ECON</t>
  </si>
  <si>
    <t>Netw Spat. Econ.</t>
  </si>
  <si>
    <t>10.1007/s11067-023-09599-8</t>
  </si>
  <si>
    <t>Operations Research &amp; Management Science; Transportation Science &amp; Technology</t>
  </si>
  <si>
    <t>Operations Research &amp; Management Science; Transportation</t>
  </si>
  <si>
    <t>P3XB8</t>
  </si>
  <si>
    <t>WOS:001049995100001</t>
  </si>
  <si>
    <t>Qiao, XR; Lin, JY; Shen, JJ; Chen, Y; Zheng, LY; Ren, HJ; Zhao, XL; Yang, H; Li, PY; Wang, Z</t>
  </si>
  <si>
    <t>Qiao, Xinran; Lin, Jingyu; Shen, Jiajia; Chen, Yang; Zheng, Liyun; Ren, Hangjiang; Zhao, Xiaoli; Yang, Hang; Li, Pengyu; Wang, Zhen</t>
  </si>
  <si>
    <t>FBXO28 suppresses liver cancer invasion and metastasis by promoting PKA-dependent SNAI2 degradation</t>
  </si>
  <si>
    <t>ONCOGENE</t>
  </si>
  <si>
    <t>EPITHELIAL-MESENCHYMAL TRANSITION; SLUG; PHOSPHORYLATION; PROLIFERATION; TRANSCRIPTION; ACTIVATION; REGULATORS; EMT; P53</t>
  </si>
  <si>
    <t>FBXO28 is a member of F-box proteins that are the substrate receptors of SCF (SKP1, CULLIN1, F-box protein) ubiquitin ligase complexes. Despite the implications of its role in cancer, the function of FBXO28 in epithelial-mesenchymal transition (EMT) process and metastasis for cancer remains largely unknown. Here, we report that FBXO28 is a critical negative regulator of migration, invasion and metastasis in human hepatocellular carcinoma (HCC) in vitro and in vivo. FBXO28 expression is upregulated in human epithelial cancer cell lines relative to mesenchymal counterparts. Mechanistically, by directly binding to SNAI2, FBXO28 functions as an E3 ubiquitin ligase that targets the substrate for degradation via ubiquitin proteasome system. Importantly, we establish a cooperative function for PKA in FBXO28-mediated SNAI2 degradation. In clinical HCC specimens, FBXO28 protein levels positively whereas negatively correlate with PKA &amp; alpha; and SNAI2 levels, respectively. Low FBXO28 or PRKACA expression is associated with poor prognosis of HCC patients. Together, these findings elucidate the novel function of FBXO28 as a critical inhibitor of EMT and metastasis in cancer and provide a mechanistic rationale for its candidacy as a new prognostic marker and/or therapeutic target in human aggressive HCC.</t>
  </si>
  <si>
    <t>[Qiao, Xinran; Lin, Jingyu; Shen, Jiajia; Chen, Yang; Zheng, Liyun; Ren, Hangjiang; Zhao, Xiaoli; Wang, Zhen] Chinese Acad Med Sci &amp; Peking Union Med Coll, Inst Med Biotechnol, Beijing, Peoples R China; [Yang, Hang] Zhengzhou Univ, Affiliated Canc Hosp, Zhengzhou, Henan, Peoples R China; [Yang, Hang] Henan Canc Hosp, Zhengzhou, Henan, Peoples R China; [Li, Pengyu] Shan Dong Univ, Qilu Hosp, Jinan, Shandong, Peoples R China</t>
  </si>
  <si>
    <t>Chinese Academy of Medical Sciences - Peking Union Medical College; Peking Union Medical College; Zhengzhou University; Zhengzhou University; Shandong University</t>
  </si>
  <si>
    <t>Wang, Z (corresponding author), Chinese Acad Med Sci &amp; Peking Union Med Coll, Inst Med Biotechnol, Beijing, Peoples R China.</t>
  </si>
  <si>
    <t>wangzhen@imb.pumc.edu.cn</t>
  </si>
  <si>
    <t>Ren, Hangjiang/0000-0002-1687-4963; Lin, Jingyu/0009-0008-3259-5498; Wang, Zhen/0000-0002-6377-3890</t>
  </si>
  <si>
    <t>National Natural Science Foundation of China [82073241, 81872286]; CAMS Innovation Fund for Medical Sciences [2021-I2M-1-030, 2022-I2M-2-002]</t>
  </si>
  <si>
    <t>National Natural Science Foundation of China(National Natural Science Foundation of China (NSFC)); CAMS Innovation Fund for Medical Sciences</t>
  </si>
  <si>
    <t>AcknowledgementsThis work is supported by grants from the National Natural Science Foundation of China (Nos. 82073241; 81872286) and the CAMS Innovation Fund for Medical Sciences (Nos. 2021-I2M-1-030; 2022-I2M-2-002). We thank Profs Xin Pan and Tao Zhou from the Nanhu Laboratory, National Center of Biomedical Analysis in Beijing for helpful discussion during the study.</t>
  </si>
  <si>
    <t>0950-9232</t>
  </si>
  <si>
    <t>1476-5594</t>
  </si>
  <si>
    <t>Oncogene</t>
  </si>
  <si>
    <t>10.1038/s41388-023-02809-0</t>
  </si>
  <si>
    <t>Biochemistry &amp; Molecular Biology; Oncology; Cell Biology; Genetics &amp; Heredity</t>
  </si>
  <si>
    <t>S8KN7</t>
  </si>
  <si>
    <t>WOS:001050012500001</t>
  </si>
  <si>
    <t>Rajasoundaran, S; Kumar, SVNS; Selvi, M; Thangaramya, K; Arputharaj, K</t>
  </si>
  <si>
    <t>Rajasoundaran, S.; Kumar, S. V. N. Santhosh; Selvi, M.; Thangaramya, K.; Arputharaj, Kannan</t>
  </si>
  <si>
    <t>Secure and optimized intrusion detection scheme using LSTM-MAC principles for underwater wireless sensor networks</t>
  </si>
  <si>
    <t>Security; LSTM; Intrusion detection; Secure MAC; Wireless sensor networks; Deep learning and channel assessment</t>
  </si>
  <si>
    <t>ROUTING PROTOCOL; DEEP; SYSTEM</t>
  </si>
  <si>
    <t>Underwater Wireless Sensor Networks (UWSNs) are the type of WSNs that transmit the data through water medium and monitor the oceanic conditions, water contents, under-sea habitations, underwater beings and military objects. Unlike air medium, water channel creates stronger communication barriers. In addition, the malicious data injection and other network attacks create security problems during data communication. Protecting the vulnerable UWSN channel is not an easy task under critical water conditions. Many research works proposed in the literature used cryptography principles and intelligent intrusion detection systems to secure the network activities from malicious nodes. However, the need for Machine Learning (ML) and Deep Learning (DL) associated Medium Access Control (MAC) principles is expected for handling the barriers in uncertain UWSN. In this regard, this article proposes a new Intrusion detection system with Integrated Secure MAC principles and Long Short-Term Memory (LSTM) architectures for organizing real-time neighbor monitoring tasks. The proposed system implements Generative Adversarial Network (GAN) driven UWSN channel assessment models and Secure LSTM-MAC principles to protect the data communication. In this regard, the proposed model creates the Intrusion Detection System (IDS) using trained distributed agents. These agents run in each legitimate sensor node contain novel LSTM-MAC engine, intrusion dataset, rule-based monitoring techniques, Secure Hashing Algorithm-3 (SHA-3), Two Fish algorithm and packet filtering tools. The proposed LSTM and agent-based model drives adaptive MAC channel operations to avoid malicious traffics in to legitimate nodes. In addition, this work implements neighbor-based packet monitoring, signal jamming and alert messaging procedures to build reliable security services against different types of attacks. The experiments and the observations reveal the performance of proposed techniques is proved to be 5% to 10% higher than existing techniques in various aspects measured with different metrics.</t>
  </si>
  <si>
    <t>[Rajasoundaran, S.] SRM Inst Sci &amp; Technol, Dept Networking &amp; Commun, Chennai, India; [Kumar, S. V. N. Santhosh] Vellore Inst Technol, Sch Comp Sci Engn &amp; Informat Syst, Vellore, India; [Selvi, M.; Thangaramya, K.; Arputharaj, Kannan] Vellore Inst Technol, Sch Comp Sci &amp; Engn, Vellore, India</t>
  </si>
  <si>
    <t>SRM Institute of Science &amp; Technology Chennai; Vellore Institute of Technology (VIT); VIT Vellore; Vellore Institute of Technology (VIT); VIT Vellore</t>
  </si>
  <si>
    <t>Rajasoundaran, S (corresponding author), SRM Inst Sci &amp; Technol, Dept Networking &amp; Commun, Chennai, India.</t>
  </si>
  <si>
    <t>rajasoundaransraja@gmail.com; santhoshkumar.svn@vit.ac.in; selvi.m@vit.ac.in; thangaramya112@gmail.com; kannan.a@vit.ac.in</t>
  </si>
  <si>
    <t>10.1007/s11276-023-03470-x</t>
  </si>
  <si>
    <t>P4RR1</t>
  </si>
  <si>
    <t>WOS:001050539500001</t>
  </si>
  <si>
    <t>Schleimer, A; Luttringer, A; Wittische, J; Drygala, F; Proess, R; Cantu-Salazar, L; Frantz, AC</t>
  </si>
  <si>
    <t>Schleimer, Anna; Luttringer, Amanda; Wittische, Julian; Drygala, Frank; Proess, Roland; Cantu-Salazar, Lisette; Frantz, Alain C.</t>
  </si>
  <si>
    <t>Robustness of resistance surface optimisations: sampling schemes and genetic distance metrics affect inferences in landscape genetics</t>
  </si>
  <si>
    <t>LANDSCAPE ECOLOGY</t>
  </si>
  <si>
    <t>ResistanceGA; Landscape genetics; Genetic distances; Resistance surfaces; Connectivity; Triturus cristatus</t>
  </si>
  <si>
    <t>NEWT TRITURUS-CRISTATUS; CRESTED NEWT; R PACKAGE; POPULATION-STRUCTURE; MICROSATELLITE LOCI; MOVEMENT ECOLOGY; F-STATISTICS; CONNECTIVITY; DIFFERENTIATION; SALAMANDER</t>
  </si>
  <si>
    <t>Context Landscape genetics provides powerful tools to quantify the effects of landscape features on population connectivity, but robust results are imperative to inform conservation planning.Objectives The robustness of landscape genetic inferences was assessed using the case of the northern crested newt (Triturus cristatus) in Luxembourg. Specifically, the effect of different study designs and genetic distance metrics was tested in terms of model convergence and misspecification rates (Type I error).Methods The optimisation of resistance surfaces was performed in ResistanceGA, using individual- and population-based sampling designs and 16 genetic distance metrics inferred from 897 multilocus genotypes from 85 locations. Empirical results were complemented with simulations to assess Type I error rates and correlation between 'true' and optimised resistance surfaces.Results Individual-based optimisations seemed prone to overfitting, with little convergence among empirical resistance surfaces from different sets of individuals. Simulations showed significant differences in performance among population genetic distance metrics. Linear topographical features exhibited higher Type I error rates (83.3%) than continuous features (44.9%), suggesting potential underestimation of road-induced fragmentation effects. Jost's D, F-ST and PCA axes 1-45 were the top three genetic distance metrics for recovering true resistance features. Topographic roughness consistently drove spatial genetic clustering of T. cristatus, but variability existed among conductivity maps derived from optimised resistance surfaces.Conclusions These findings underscore the importance of carefully selecting genetic distance metrics and addressing potential sources of uncertainty in resistance surface optimisation. By doing so, we can enhance the effectiveness of conservation planning efforts for T. cristatus and species with similar ecological considerations.</t>
  </si>
  <si>
    <t>[Schleimer, Anna; Luttringer, Amanda; Wittische, Julian; Frantz, Alain C.] Musee Natl Hist Nat, 25 Rue Munster, L-2160 Luxembourg, Luxembourg; [Schleimer, Anna; Luttringer, Amanda; Wittische, Julian] Fdn Faune Flore, 25 Rue Munster, L-2160 Luxembourg, Luxembourg; [Drygala, Frank] Assoc Nat &amp; Biodivers ANB, D-60386 Frankfurt, Germany; [Proess, Roland] Umweltplanungsburo Ecotop, 45 Schlassuecht, L-7435 Hollenfels, Luxembourg; [Cantu-Salazar, Lisette] Luxembourg Inst Sci &amp; Technol, 5 Ave Hauts Fourneaux, L-4362 Esch Sur Alzette, Luxembourg</t>
  </si>
  <si>
    <t>Luxembourg Institute of Science &amp; Technology</t>
  </si>
  <si>
    <t>Schleimer, A; Frantz, AC (corresponding author), Musee Natl Hist Nat, 25 Rue Munster, L-2160 Luxembourg, Luxembourg.</t>
  </si>
  <si>
    <t>Anna.SCHLEIMER@mnhn.lu; Alain.FRANTZ@mnhn.lu</t>
  </si>
  <si>
    <t>Wittische, Julian/AAI-9307-2020</t>
  </si>
  <si>
    <t>Wittische, Julian/0000-0003-1629-7649; Schleimer, Anna/0000-0002-9798-5074</t>
  </si>
  <si>
    <t>Ministry of the Environment, Climate and Sustainable Development Luxembourg - Luxembourg research fund FNR [C20/SR/14748041]</t>
  </si>
  <si>
    <t>Ministry of the Environment, Climate and Sustainable Development Luxembourg - Luxembourg research fund FNR</t>
  </si>
  <si>
    <t>AcknowledgementsWe thank Liza Glesener from SICONA for providing shape files of ponds in Luxembourg. We thank SICONA for logistical support. This study was funded by the Ministry of the Environment, Climate and Sustainable Development Luxembourg. JW was funded by the Luxembourg research fund FNR (C20/SR/14748041).</t>
  </si>
  <si>
    <t>0921-2973</t>
  </si>
  <si>
    <t>1572-9761</t>
  </si>
  <si>
    <t>LANDSCAPE ECOL</t>
  </si>
  <si>
    <t>Landsc. Ecol.</t>
  </si>
  <si>
    <t>10.1007/s10980-023-01752-5</t>
  </si>
  <si>
    <t>Ecology; Geography, Physical; Geosciences, Multidisciplinary</t>
  </si>
  <si>
    <t>Environmental Sciences &amp; Ecology; Physical Geography; Geology</t>
  </si>
  <si>
    <t>P4UZ2</t>
  </si>
  <si>
    <t>WOS:001050639600002</t>
  </si>
  <si>
    <t>Sohail, H; Ram, J; Hulio, AA; Ali, S; Khan, MN; Soomro, NA; Asif, M; Agha, S; Saghir, T; Sial, JA</t>
  </si>
  <si>
    <t>Sohail, Hina; Ram, Jaghat; Hulio, Amjad A.; Ali, Sajid; Khan, Muhammad N.; Soomro, Najia A.; Asif, Muhammad; Agha, Sidrah; Saghir, Tahir; Sial, Jawaid A.</t>
  </si>
  <si>
    <t>Prodromal Symptoms in Patients Presenting With Myocardial Infarction</t>
  </si>
  <si>
    <t>st-segment elevation myocardial infarction; impending myocardial infarction; early warning signs; prodromal symptom; acute myocardial infarction</t>
  </si>
  <si>
    <t>WARNING SYMPTOMS; IMPACT</t>
  </si>
  <si>
    <t>Background Prodromal symptoms are warning signs of an impending acute myocardial infarction (AMI). However, they are often overlooked by both patients and primary clinicians, and little is known about them. Therefore, this study aims to assess the frequency and types of prodromal symptoms in patients with AMI. Methodology This descriptive cross-sectional study was conducted at a tertiary care cardiac center. Consecutive patients diagnosed with AMI within the last week were evaluated for prodromal symptoms. The prodromal symptoms included chest pain, chest heaviness, chest burning, palpitations, fatigue, sleep disturbance, shortness of breath (SOB), dizziness, anxiety, sudden heat or cold, back pain, and vomiting.Results In a sample of 242 patients, 79.6% were males, with a mean age of 54.7 &amp; PLUSMN; 12.2 years, and 179 (74%) were diagnosed with ST-segment elevation myocardial infarction (STEMI). Among the participants, 142 (58.7%) showed no prodromal symptoms. Among those with prodromal symptoms, chest pain was the predominantly reported prodromal symptom with a frequency of 68%, followed by chest heaviness at 44%, palpitations at 42%, shortness of breath at 34%, and chest burning at 27%. Unusual fatigue in 23% and sleep disturbance in 22% of the patients were also reported.Conclusion The findings from this study revealed that prodromal symptoms were present in a significant proportion of acute myocardial infarction (MI) cases, with more than four in 10 patients reporting these early warning signs. The most commonly observed prodromal symptoms were chest pain, chest heaviness, palpitations, shortness of breath, and chest burning. The timely identification of these symptoms can help prevent infarction, thereby reducing the burden of heart failure and other related mortalities.</t>
  </si>
  <si>
    <t>[Sohail, Hina; Khan, Muhammad N.] Natl Inst Cardiovasc Dis, Intervent Cardiol, Karachi, Pakistan; [Ram, Jaghat; Hulio, Amjad A.] Natl Inst Cardiovasc Dis, Intervent Cardiol, Larkana, Pakistan; [Ali, Sajid] Natl Inst Cardiovasc Dis, Electrophysiol, Karachi, Pakistan; [Soomro, Najia A.] Liaquat Natl Hosp, Cardiol, Karachi, Pakistan; [Asif, Muhammad; Agha, Sidrah] Natl Inst Cardiovasc Dis, Adult Cardiol, Karachi, Pakistan; [Saghir, Tahir; Sial, Jawaid A.] Natl Inst Cardiovasc Dis, Cardiol, Karachi, Pakistan</t>
  </si>
  <si>
    <t>Sohail, H (corresponding author), Natl Inst Cardiovasc Dis, Intervent Cardiol, Karachi, Pakistan.</t>
  </si>
  <si>
    <t>drhinasohail@yahoo.com</t>
  </si>
  <si>
    <t>e43732</t>
  </si>
  <si>
    <t>10.7759/cureus.43732</t>
  </si>
  <si>
    <t>R0HY1</t>
  </si>
  <si>
    <t>WOS:001061247600023</t>
  </si>
  <si>
    <t>Song, CH; Xie, H; Ding, RZ; Phuengsamran, D</t>
  </si>
  <si>
    <t>Song, Changhui; Xie, Hui; Ding, Runze; Phuengsamran, Dusita</t>
  </si>
  <si>
    <t>HIV-Positive, Heterosexually Married Men Who Have Sex with Men in China: HIV Status Disclosure and Sexual Behaviors</t>
  </si>
  <si>
    <t>Heterosexually married men who have sex with men; Sexual behaviors; HIV disclosure; HIV stigma; China</t>
  </si>
  <si>
    <t>PEOPLE; HIV/AIDS; TRANSMISSION; MSM</t>
  </si>
  <si>
    <t>IntroductionThe emerging evidence reveals that men who have sex with men and women pose high secondary HIV transmission risks, but little is known about sexual behavior changes and HIV status disclosure among HIV-positive, heterosexually married men who have sex with men (HIV+MMSM) in China. This qualitative study aimed to (1) explore sex life among HIV+MMSM prior to HIV diagnosis, and (2) understand their life experiences of disclosing HIV status to their spouses and/or same-sex sexual partners from a public health perspective.MethodsEighteen semi-structured interviews were conducted online in China between March and May 2022. Among the HIV+MMSM respondents aged between 25 and 56 years, 77.8% identified as gay, 38.89% reported having lived with HIV for 5 years or above, and 55.6% reported were still in a heterosexual marriage at the interview point.ResultsThe thematic analysis generated two major themes including inconsistent condom use with same-sex sexual partners before HIV diagnosis, and HIV (non)disclosure and sexual behaviors with their wives and same-sex sexual partners. Those who had neither HIV disclosure nor protective sexual behaviors with their wives and same-sex sexual partners attempted to protect wives and same-sex sexual partners using various alternatives, such as treatment-as-prevention/undetectable = untransmittable (TasP/U = U).ConclusionsOur results reveal that HIV disclosure is difficult in taking into consideration of negative social climates (in general and in gay communities) towards HIV+MMSM and legal regulations surrounding HIV disclosure, stigma, and matrimony.Policy ImplicationsInterventions targeting acceptance and resilience, along with efforts to reduce HIV-related stigma, should be integrated into HIV care. Advocating for improvements in legal protections and regulations and raising awareness of the benefits of TasP/U = U could create an inclusive environment for this population, ultimately leading to better health outcomes and overall quality of life.</t>
  </si>
  <si>
    <t>[Song, Changhui] Henan Normal Univ, Social Affairs Coll, Xinxiang, Henan, Peoples R China; [Xie, Hui] Univ Wisconsin Milwaukee, Joseph J Zilber Coll Publ Hlth, Milwaukee, WI 53211 USA; [Ding, Runze] Beijing Normal Univ, Hong Kong Baptist Univ United Int Coll, Media &amp; Commun Studies, Zhuhai, Guangdong, Peoples R China; [Phuengsamran, Dusita] Mahidol Univ, Inst Populat &amp; Social Res, Salaya, Thailand</t>
  </si>
  <si>
    <t>Henan Normal University; University of Wisconsin System; University of Wisconsin Milwaukee; Beijing Normal University; Mahidol University</t>
  </si>
  <si>
    <t>Xie, H (corresponding author), Univ Wisconsin Milwaukee, Joseph J Zilber Coll Publ Hlth, Milwaukee, WI 53211 USA.</t>
  </si>
  <si>
    <t>studyukm@hotmail.com; sphinx.hui@gmail.com; runze89@gmail.com; dusita.phu@mahidol.ac.th</t>
  </si>
  <si>
    <t>X, Hui/JBS-5162-2023</t>
  </si>
  <si>
    <t>Xie, Hui/0000-0003-2788-4064</t>
  </si>
  <si>
    <t>10.1007/s13178-023-00864-6</t>
  </si>
  <si>
    <t>P2SZ1</t>
  </si>
  <si>
    <t>WOS:001049201900001</t>
  </si>
  <si>
    <t>Stewart, DJ; Gianchetti, A; Byrnes, D; Dittrich, HC; Thorne, B; Manza, LL; Reinhardt, RR</t>
  </si>
  <si>
    <t>Stewart, Duncan J.; Gianchetti, Albert; Byrnes, Dawn; Dittrich, Howard C.; Thorne, Barb; Manza, Linda L.; Reinhardt, Rickey R.</t>
  </si>
  <si>
    <t>Safety and biodistribution of XC001 (encoberminogene rezmadenovec) gene therapy in rats: a potential therapy for cardiovascular diseases</t>
  </si>
  <si>
    <t>GENE THERAPY</t>
  </si>
  <si>
    <t>ENDOTHELIAL GROWTH-FACTOR; IN-VIVO; ADENOVIRUS; MYOCARDIUM; ANGIOGENESIS; DELIVERY; ISOFORMS; VECTORS; INTRACORONARY; EXPRESSION</t>
  </si>
  <si>
    <t>Adenovirus-mediated gene therapy holds promise for the treatment of cardiovascular diseases such as refractory angina. However, potential concerns around immunogenicity and vector dissemination from the target injected tissue require evaluation. This study was undertaken to evaluate the safety and biodistribution of XC001, a replication-deficient adenovirus serotype 5 vector expressing multiple isoforms of human vascular endothelial growth factor (VEGF), following direct administration into normal rat myocardium. Animals received the buffer formulation or increasing doses of XC001 (1 x 10(7), 2.5 x 10(8) or 2.5 x 10(9) viral particles). Based on in-life parameters (general health, body weights, clinical pathology, serum cardiac troponin I, plasma VEGF, and gross necropsy), there were no findings of clinical concern. On Day 8, intramyocardial administration of XC001 was associated with dose-related, left ventricular myocardial inflammation at injection sites, resolving by Day 30. XC001 DNA was not detected in blood at any time but was present at Day 8 around the site of injection and to a much lesser extent in the spleen, liver, and lungs, persisting at low levels in the heart and spleen until at least Day 91. These findings demonstrate that intramyocardial injection of XC001 is supported for use in human studies.</t>
  </si>
  <si>
    <t>[Stewart, Duncan J.] Univ Ottawa, Ottawa Hosp Res Inst, Sinclair Ctr Regenerat Med, Ottawa, ON, Canada; [Stewart, Duncan J.] Univ Ottawa, Fac Med, Ottawa, ON, Canada; [Gianchetti, Albert; Byrnes, Dawn; Dittrich, Howard C.; Thorne, Barb; Reinhardt, Rickey R.] XyloCor Therapeut, Wayne, PA USA; [Manza, Linda L.] Pharmaron San Diego Lab Serv LLC, San Diego, CA USA</t>
  </si>
  <si>
    <t>University of Ottawa; Ottawa Hospital Research Institute; University of Ottawa</t>
  </si>
  <si>
    <t>Stewart, DJ (corresponding author), Univ Ottawa, Ottawa Hosp Res Inst, Sinclair Ctr Regenerat Med, Ottawa, ON, Canada.;Stewart, DJ (corresponding author), Univ Ottawa, Fac Med, Ottawa, ON, Canada.</t>
  </si>
  <si>
    <t>djstewart@toh.ca</t>
  </si>
  <si>
    <t>Stewart, Duncan/0000-0002-9113-8691</t>
  </si>
  <si>
    <t>XyloCor Therapeutics</t>
  </si>
  <si>
    <t>Editorial support was provided by Shereen Cynthia D'Cruz, Ph.D., of Certara Synchrogenix, and was funded by XyloCor Therapeutics.</t>
  </si>
  <si>
    <t>0969-7128</t>
  </si>
  <si>
    <t>1476-5462</t>
  </si>
  <si>
    <t>GENE THER</t>
  </si>
  <si>
    <t>Gene Ther.</t>
  </si>
  <si>
    <t>10.1038/s41434-023-00416-y</t>
  </si>
  <si>
    <t>Biochemistry &amp; Molecular Biology; Biotechnology &amp; Applied Microbiology; Genetics &amp; Heredity; Medicine, Research &amp; Experimental</t>
  </si>
  <si>
    <t>Biochemistry &amp; Molecular Biology; Biotechnology &amp; Applied Microbiology; Genetics &amp; Heredity; Research &amp; Experimental Medicine</t>
  </si>
  <si>
    <t>P3YO9</t>
  </si>
  <si>
    <t>WOS:001050039100001</t>
  </si>
  <si>
    <t>Sultana, S; Muhammad, F; Chowdhury, AA; Tasnim, T; Haque, MI; BakiBillah, A; Hossain, MK; Zaman, S; Hawlader, MDH; Chowdhury, M</t>
  </si>
  <si>
    <t>Sultana, Sharmin; Muhammad, Faisal; Chowdhury, A. B. M. Alauddin; Tasnim, Tasmia; Haque, Md. Imdadul; BakiBillah, Abul Hasan; Hossain, Md. Kamrul; Zaman, Sanjana; Hawlader, Mohamma Delwer Hossain; Chowdhury, Moniruddin</t>
  </si>
  <si>
    <t>Association between depressive symptoms of mothers and eating behaviors of school-going children in Urban Bangladesh: A cross-sectional study</t>
  </si>
  <si>
    <t>Depressive symptoms; Mother; Eating behaviors; School-going children; Dhaka; Bangladesh</t>
  </si>
  <si>
    <t>COMMON MENTAL-DISORDERS; HEALTH; DIET; MALNUTRITION; PREVALENCE; DISABILITY; CHILDHOOD</t>
  </si>
  <si>
    <t>ObjectiveThis study aimed to investigate the association between depressive symptoms among mothers and the eating behaviors of their school-going children in Urban Bangladesh.Materials and methodsThis analytical cross-sectional study was conducted in the context of the urban area of Bangladesh. A multistage sampling technique was applied to select 324 children's mothers in Dhaka City. Data were collected from both city corporation settings in Dhaka, Bangladesh. Semi-structured questionnaires were used in this study. We estimated the depressive symptoms among mothers using the Zung Self-Rating Depression Scale. We examined the association of mothers of school-going children's socio-demographic variables and eating behaviors of school-going children with their mother's depression by using chi-square and evaluating the impact of these variables on mothers' depression through univariate and multivariate binary logistic regression.ResultsIn our study, 57.7% of the mothers of school-going children had depressive symptoms, and 42.3% had no depressive symptoms. The study explored that consuming fewer vegetables (AOR = 0.237, 95% CI: 0.099-0.569), taking fewer fruits (AOR = 0.177, 95% CI: 0.093-0.337), and interestingly, taking fast food less than 4 days per week (AOR = 3.024, 95% CI: 1.517-6.031) were significantly associated with mothers' depressive symptoms.ConclusionMothers with depressive symptoms of school-going children in Dhaka city are alarmingly high as a grave concern. The eating behaviors of children are associated with their mothers' depressive symptoms. With an aim to build rigorous awareness on depression and child's healthy eating behaviors, it is imperative to arrange health education and awareness related programs.</t>
  </si>
  <si>
    <t>[Sultana, Sharmin; Muhammad, Faisal; Chowdhury, A. B. M. Alauddin; Haque, Md. Imdadul; BakiBillah, Abul Hasan; Zaman, Sanjana; Chowdhury, Moniruddin] Daffodil Int Univ, Dept Publ Hlth, Dhaka 1216, Bangladesh; [Muhammad, Faisal] Frontier Univ Garowe, Fac Med &amp; Hlth Sci, Dept Publ &amp; Community Hlth, Puntland, Somalia; [Muhammad, Faisal] Otu Inst Res &amp; Training, Kano, Nigeria; [Tasnim, Tasmia] Daffodil Int Univ, Dept Nutr &amp; Food Engn, Dhaka 1216, Bangladesh; [BakiBillah, Abul Hasan] Bangladesh Univ Hlth Sci BUHS, Fac Allied Hlth Sci, Dept Hlth Econ, Dhaka 1216, Bangladesh; [Hossain, Md. Kamrul] Daffodil Int Univ, Dept Gen Educ Dev, Dhaka 1216, Bangladesh; [Hawlader, Mohamma Delwer Hossain] North South Univ, Dept Publ Hlth, Dhaka 1229, Bangladesh; [Chowdhury, Moniruddin] AIMST Univ, Fac Med, Bedong 08100, Kedah, Malaysia</t>
  </si>
  <si>
    <t>Daffodil International University; Daffodil International University; Bangladesh University of Health Sciences (BUHS); Daffodil International University; North South University (NSU); AIMST University</t>
  </si>
  <si>
    <t>Sultana, S (corresponding author), Daffodil Int Univ, Dept Publ Hlth, Dhaka 1216, Bangladesh.</t>
  </si>
  <si>
    <t>sharmin.rit@gmail.com</t>
  </si>
  <si>
    <t>Tasnim, Tasmia/0000-0002-8856-8172; Haque, Md. Imdadul/0000-0003-4822-9157; Hawlader, Mohammad Delwer Hossain/0000-0002-1443-6257; Hossain, Md. Kamrul/0000-0002-1917-8701; Zaman, Sanjana/0000-0002-8856-2352; BakiBillah, Abul Hasan/0000-0002-0275-6536</t>
  </si>
  <si>
    <t>10.1186/s12905-023-02584-w</t>
  </si>
  <si>
    <t>P3TQ3</t>
  </si>
  <si>
    <t>WOS:001049905500004</t>
  </si>
  <si>
    <t>Sun, JL; Zhang, DW; Jing, XB; Zheng, SX; Sun, HL</t>
  </si>
  <si>
    <t>Sun, Jianlin; Zhang, Dawei; Jing, Xiubing; Zheng, Shuxian; Sun, Huilai</t>
  </si>
  <si>
    <t>Experimental investigation and optimization on trepanning drilling in K24 superalloy by femtosecond laser via orthogonal experiment</t>
  </si>
  <si>
    <t>Femtosecond laser drilling; Hole taper; Hole circularity; ANOVA</t>
  </si>
  <si>
    <t>To optimize the hole-making process and minimize the cost of time and other expenses, this paper explores femtosecond laser trepanning drilling of K24 alloy, focus on the control of the laser process parameter groups on the diameter, circularity, taper and material removal rate (MRR) for the micro-hole formation. The laser power, repetition rate, focal position, and cutting speed are selected as independent design factor for Taguchi orthogonal array with four levels employed to design and conduct the experiments. The effect of laser parameters on processing performance is evaluated in terms of both mean response and signal-to-noise (S/N) ratio, which are used to investigate the effect of the levels of the four process variables on the results in order to optimize and control the output. The experimental results reveal that the exit circularity, taper and MRR are affected mainly by the laser power. In addition, the entrance diameter increases with the laser power, and the exit diameter is decreased with the cutting speed increasing. However, the repetition rate has no significant effect on the above processing performance within the range of values investigated. Finally, the experimental results verified that the optimized laser hole-making parameters can improve the shape and dimensional accuracies of the obtained micro-holes. This optimized combination of laser processing parameters provides an effective method to improve the hole-making quality and efficiency.</t>
  </si>
  <si>
    <t>[Sun, Jianlin; Zhang, Dawei; Jing, Xiubing; Zheng, Shuxian] Tianjin Univ, Sch Mech Engn, Key Lab Equipment Design &amp; Mfg Technol, Tianjin 300054, Peoples R China; [Sun, Huilai] Tiangong Univ, Sch Mech Engn, Tianjin 300387, Peoples R China</t>
  </si>
  <si>
    <t>Tianjin University; Tiangong University</t>
  </si>
  <si>
    <t>Jing, XB (corresponding author), Tianjin Univ, Sch Mech Engn, Key Lab Equipment Design &amp; Mfg Technol, Tianjin 300054, Peoples R China.;Sun, HL (corresponding author), Tiangong Univ, Sch Mech Engn, Tianjin 300387, Peoples R China.</t>
  </si>
  <si>
    <t>jingxiuping@tju.edu.cn; sunhl@tjpu.edu.cn</t>
  </si>
  <si>
    <t>National Natural Science Foundation of China [52105477, 52175275]</t>
  </si>
  <si>
    <t>&amp; nbsp;The first author has received research support from the National Natural Science Foundation of China (Grant nos. 52105477, 52175275).</t>
  </si>
  <si>
    <t>7-8</t>
  </si>
  <si>
    <t>10.1007/s00170-023-12157-8</t>
  </si>
  <si>
    <t>Q4VD2</t>
  </si>
  <si>
    <t>WOS:001051225100001</t>
  </si>
  <si>
    <t>Tung, PT; Cuong, L; Manh, PV</t>
  </si>
  <si>
    <t>Tung, Phan Thanh; Cuong, Le Ngoc; Manh, Phung Van</t>
  </si>
  <si>
    <t>On the Condition Number of the Newton Interpolation on the Unit Disk</t>
  </si>
  <si>
    <t>COMPUTATIONAL METHODS AND FUNCTION THEORY</t>
  </si>
  <si>
    <t>Lagrange interpolation; Newton formula; Leja sequences; Condition number</t>
  </si>
  <si>
    <t>POINTS</t>
  </si>
  <si>
    <t>The stability of representations of univariate Lagrange interpolation polynomials in the complex plane is measured through a condition number. We study the growth of the condition number of the Newton formula for Lagrange interpolation. We prove that the condition number of Newton's formula at the first n points of a Leja sequence for the closed unit disk D is bounded by (n(3) + 2n - 3)/3 from above and by n/2 from below. We also point out that the condition number corresponding to any n +1 distinct points on the unit circle is greater than n(degrees), where 0 &lt; c &lt; 1 is an absolute constant.</t>
  </si>
  <si>
    <t>[Tung, Phan Thanh; Cuong, Le Ngoc] Thuongmai Univ, Dept Math, 79 Ho Tung Mau St, Hanoi, Vietnam; [Manh, Phung Van] Hanoi Natl Univ Educ, Dept Math, 136 Xuan Thuy St, Hanoi, Vietnam</t>
  </si>
  <si>
    <t>Thuongmai University; Hanoi National University of Education</t>
  </si>
  <si>
    <t>Manh, PV (corresponding author), Hanoi Natl Univ Educ, Dept Math, 136 Xuan Thuy St, Hanoi, Vietnam.</t>
  </si>
  <si>
    <t>phanthanhtung@tmu.edu.vn; cuong.ln@tmu.edu.vn; manhpv@hnue.edu.vn</t>
  </si>
  <si>
    <t>Thuongmai University, Hanoi, Vietnam</t>
  </si>
  <si>
    <t>We are grateful to the referees for their careful reading and constructive comments. This research is funded by Thuongmai University, Hanoi, Vietnam.</t>
  </si>
  <si>
    <t>1617-9447</t>
  </si>
  <si>
    <t>2195-3724</t>
  </si>
  <si>
    <t>COMPUT METH FUNCT TH</t>
  </si>
  <si>
    <t>Comput. Methods Funct. Theory</t>
  </si>
  <si>
    <t>10.1007/s40315-023-00497-1</t>
  </si>
  <si>
    <t>P5QX8</t>
  </si>
  <si>
    <t>WOS:001051232600001</t>
  </si>
  <si>
    <t>Vera, M; Wilmes, SB; Maroso, F; Hermida, M; Blanco, A; Casanova, A; Iglesias, D; Cao, A; Culloty, SC; Mahony, K; Orvain, F; Bouza, C; Robins, PE; Malham, SK; Lynch, S; Villalba, A; Martinez, P</t>
  </si>
  <si>
    <t>Vera, Manuel; Wilmes, Sophie B.; Maroso, Francesco; Hermida, Miguel; Blanco, Andres; Casanova, Adrian; Iglesias, David; Cao, Asuncion; Culloty, Sarah C.; Mahony, Kate; Orvain, Francis; Bouza, Carmen; Robins, Peter E.; Malham, Shelagh K.; Lynch, Sharon; Villalba, Antonio; Martinez, Paulino</t>
  </si>
  <si>
    <t>Heterogeneous microgeographic genetic structure of the common cockle (Cerastoderma edule) in the Northeast Atlantic Ocean: biogeographic barriers and environmental factors</t>
  </si>
  <si>
    <t>HEREDITY</t>
  </si>
  <si>
    <t>GENOME-SCAN; ADAPTATION; IDENTIFICATION; FLOW; DIFFERENTIATION; PATTERNS; FLATFISH; GALICIA; MUSSEL; FISH</t>
  </si>
  <si>
    <t>Knowledge of genetic structure at the finest level is essential for the conservation of genetic resources. Despite no visible barriers limiting gene flow, significant genetic structure has been shown in marine species. The common cockle (Cerastoderma edule) is a bivalve of great commercial and ecological value inhabiting the Northeast Atlantic Ocean. Previous population genomics studies demonstrated significant structure both across the Northeast Atlantic, but also within small geographic areas, highlighting the need to investigate fine-scale structuring. Here, we analysed two geographic areas that could represent opposite models of structure for the species: (1) the SW British Isles region, highly fragmented due to biogeographic barriers, and (2) Galicia (NW Spain), a putative homogeneous region. A total of 9250 SNPs genotyped by 2b-RAD on 599 individuals from 22 natural beds were used for the analysis. The entire SNP dataset mostly confirmed previous observations related to genetic diversity and differentiation; however, neutral and divergent SNP outlier datasets enabled disentangling physical barriers from abiotic environmental factors structuring both regions. While Galicia showed a homogeneous structure, the SW British Isles region was split into four reliable genetic regions related to oceanographic features and abiotic factors, such as sea surface salinity and temperature. The information gathered supports specific management policies of cockle resources in SW British and Galician regions also considering their particular socio-economic characteristics; further, these new data will be added to those recently reported in the Northeast Atlantic to define sustainable management actions across the whole distribution range of the species.</t>
  </si>
  <si>
    <t>[Vera, Manuel; Maroso, Francesco; Hermida, Miguel; Blanco, Andres; Casanova, Adrian; Bouza, Carmen; Martinez, Paulino] Univ Santiago Compostela, Fac Vet, Dept Zool Genet &amp; Phys Anthropol, ACUIGEN Grp, Campus Terra, Lugo 27002, Spain; [Wilmes, Sophie B.; Robins, Peter E.; Malham, Shelagh K.] Bangor Univ, Marine Ctr Wales, Sch Ocean Sci, Menai Bridge, Wales; [Iglesias, David; Cao, Asuncion; Villalba, Antonio] Xunta Galicia, Ctr Invest Marinas, Conselleria Mar, Vilanova De Arousa 36620, Spain; [Culloty, Sarah C.; Mahony, Kate; Lynch, Sharon] Univ Coll Cork, Aquaculture &amp; Fisheries Dev Ctr, Sch Biol Earth &amp; Environm Sci, Cork, Ireland; [Culloty, Sarah C.; Mahony, Kate; Lynch, Sharon] Univ Coll Cork, Environm Res Inst, Cork, Ireland; [Culloty, Sarah C.] Univ Coll Cork, Environm Res Inst, MaREI Ctr, Cork, Ireland; [Orvain, Francis] Univ Caen, UNICAEN UMR BOREA Biol ORganismes &amp; Ecosyst Aquat, IRD 207, UPMC,UCBN,CNRS 7208, Caen, France; [Villalba, Antonio] Univ Alcala, Dept Ciencias Vida, Alcala De Henares 28871, Spain; [Villalba, Antonio] Univ Basque Country UPV EHU, Res Ctr Expt Marine Biol &amp; Biotechnol PIE, Plentzia 48620, Basque Country, Spain</t>
  </si>
  <si>
    <t>Universidade de Santiago de Compostela; Bangor University; University College Cork; University College Cork; University College Cork; Institut de Recherche pour le Developpement (IRD); UDICE-French Research Universities; Sorbonne Universite; Universite de Caen Normandie; Universidad de Alcala; University of Basque Country</t>
  </si>
  <si>
    <t>Vera, M; Martinez, P (corresponding author), Univ Santiago Compostela, Fac Vet, Dept Zool Genet &amp; Phys Anthropol, ACUIGEN Grp, Campus Terra, Lugo 27002, Spain.</t>
  </si>
  <si>
    <t>manuel.vera@usc.es; paulino.martinez@usc.es</t>
  </si>
  <si>
    <t>Villalba, Antonio/E-3621-2013; Casanova Chiclana, Adrián/AHB-8843-2022; Vera Rodriguez, Manuel/K-9192-2014</t>
  </si>
  <si>
    <t>Villalba, Antonio/0000-0001-8049-0502; Casanova Chiclana, Adrián/0000-0002-9388-2721; Vera Rodriguez, Manuel/0000-0003-1584-6140</t>
  </si>
  <si>
    <t>Xunta de Galicia-Campus Terra postdoctoral fellow</t>
  </si>
  <si>
    <t>The authors wish to thank L. Insua, S. Sanchez-Darriba and S. Gomez from the ACUIGEN group (USC) for their technical support. Supercomputing Center of Galicia (http://www.cesga.es) provided computing facilities for genotyping. A. Casanova (ACC) was funded by a Xunta de Galicia-Campus Terra postdoctoral fellow. The authors are also indebted to COCKLES Interreg European project partners who provided samples included in this study. Finally, the authors are grateful to Prof. S. Goodacre, Dr X. Zhan and three anonymous reviewers for their helpful comments on the earlier version of this manuscript.</t>
  </si>
  <si>
    <t>0018-067X</t>
  </si>
  <si>
    <t>1365-2540</t>
  </si>
  <si>
    <t>Heredity</t>
  </si>
  <si>
    <t>10.1038/s41437-023-00646-1</t>
  </si>
  <si>
    <t>S7FC4</t>
  </si>
  <si>
    <t>WOS:001050517800001</t>
  </si>
  <si>
    <t>Wu, YH; Xia, WH; Liu, YZ; Wang, PF; Zhang, YH; Huang, JR; Xu, Y; Li, DP; Ci, LJ</t>
  </si>
  <si>
    <t>Wu, Yu-Han; Xia, Wei-Hao; Liu, Yun-Zhuo; Wang, Peng-Fei; Zhang, Yu-Hang; Huang, Jin-Ru; Xu, Yang; Li, De-Ping; Ci, Li-Jie</t>
  </si>
  <si>
    <t>Tungsten chalcogenides as anodes for potassium-ion batteries</t>
  </si>
  <si>
    <t>TUNGSTEN</t>
  </si>
  <si>
    <t>Electrochemical energy storage; Potassium-ion batteries; Anodes; Tungsten chalcogenides</t>
  </si>
  <si>
    <t>HIGH-PERFORMANCE ANODE; ENERGY-STORAGE; GRAPHENE SHEETS; RECENT PROGRESS; K-ION; SODIUM; CARBON; CHEMISTRY; PHASE; INTERCALATION</t>
  </si>
  <si>
    <t>Potassium-ion batteries (PIBs) by virtue of their strong cost competitiveness and similar electrochemical properties to lithium-ion batteries have been deemed to be a promising electrochemical energy storage technology. To promote the application in the commercial market, developing electrode materials with high specific capacities, superior cycling stability, and reliable safety is of great importance. Anode materials as an important component of PIBs play a decisive role, among which two-dimensional transition metal chalcogenides (2D TMCs) have attracted wide attention owing to their unique material and electrochemical properties. In the 2D TMCs' family, molybdenum chalcogenides as flagship are the most studied materials and demonstrated the potential as anodes. With the deepening of research on 2D TMCs, another shining member that possesses similar properties to molybdenum chalcogenides, tungsten chalcogenides (WS2, WSe2, and WTe2), has aroused tremendous attention. Despite many inspiring results, various challenges remain to be further addressed; meanwhile, some results are still unclear and disputed. Herein, this review first introduces their material properties and electrochemical storage mechanisms. Then, we systematically overview the research progress and put forward promoting improvement strategies. Finally, challenges and opportunities that would be future research directions are discussed.</t>
  </si>
  <si>
    <t>[Wu, Yu-Han; Wang, Peng-Fei; Zhang, Yu-Hang] Shenyang Univ Technol, Sch Environm &amp; Chem Engn, Shenyang 110870, Peoples R China; [Wu, Yu-Han] Nankai Univ, Key Lab Adv Energy Mat Chem, Minist Educ, Tianjin 300071, Peoples R China; [Xia, Wei-Hao; Liu, Yun-Zhuo; Huang, Jin-Ru; Li, De-Ping; Ci, Li-Jie] Harbin Inst Technol Shenzhen, Sch Mat Sci &amp; Engn, State Key Lab Adv Welding &amp; Joining, Shenzhen 518055, Peoples R China; [Xu, Yang] UCL, Dept Chem, London WC1H 0AJ, England</t>
  </si>
  <si>
    <t>Shenyang University of Technology; Nankai University; Harbin Institute of Technology; University of London; University College London</t>
  </si>
  <si>
    <t>Wu, YH (corresponding author), Shenyang Univ Technol, Sch Environm &amp; Chem Engn, Shenyang 110870, Peoples R China.;Wu, YH (corresponding author), Nankai Univ, Key Lab Adv Energy Mat Chem, Minist Educ, Tianjin 300071, Peoples R China.;Li, DP; Ci, LJ (corresponding author), Harbin Inst Technol Shenzhen, Sch Mat Sci &amp; Engn, State Key Lab Adv Welding &amp; Joining, Shenzhen 518055, Peoples R China.</t>
  </si>
  <si>
    <t>yuhanwu@sut.edu.cn; lideping@hit.edu.cn; cilijie@hit.edu.cn</t>
  </si>
  <si>
    <t>Li, Deping/ABD-8661-2020; Wu, Yuhan/J-4037-2017</t>
  </si>
  <si>
    <t>Li, Deping/0000-0002-2116-5184; Wu, Yuhan/0000-0002-6288-2112; Ci, Lijie/0000-0002-1759-105X</t>
  </si>
  <si>
    <t>National Natural Science Foundation of China [52002094]; Shenzhen Steady Support Plan [GXWD20221030205923001]; Guangdong Basic and Applied Basic Research Foundation [2019A1515110756]; Shenzhen Science and Technology Program [JCYJ20210324121411031, JSGG202108021253804014, RCBS20210706092218040]; Open Fund of the Guangdong Provincial Key Laboratory of Advanced Energy Storage Materials [asem202107]; Shenyang University of Technology [QNPY202209-4]</t>
  </si>
  <si>
    <t>National Natural Science Foundation of China(National Natural Science Foundation of China (NSFC)); Shenzhen Steady Support Plan; Guangdong Basic and Applied Basic Research Foundation; Shenzhen Science and Technology Program; Open Fund of the Guangdong Provincial Key Laboratory of Advanced Energy Storage Materials; Shenyang University of Technology</t>
  </si>
  <si>
    <t>This work was supported by the National Natural Science Foundation of China (Grant No. 52002094), the Shenzhen Steady Support Plan (GXWD20221030205923001), the Guangdong Basic and Applied Basic Research Foundation (Grant No. 2019A1515110756), the Shenzhen Science and Technology Program (Grant Nos. JCYJ20210324121411031, JSGG202108021253804014, RCBS20210706092218040), the Open Fund of the Guangdong Provincial Key Laboratory of Advanced Energy Storage Materials (Grant. No. asem202107), and the Shenyang University of Technology (QNPY202209-4).</t>
  </si>
  <si>
    <t>2661-8028</t>
  </si>
  <si>
    <t>2661-8036</t>
  </si>
  <si>
    <t>TUNGSTEN-SINGAPORE</t>
  </si>
  <si>
    <t>Tungsten-Singapore</t>
  </si>
  <si>
    <t>10.1007/s42864-023-00237-x</t>
  </si>
  <si>
    <t>P5LC5</t>
  </si>
  <si>
    <t>WOS:001051080100001</t>
  </si>
  <si>
    <t>Yao, YR; Huo, JF; Ben, HY; Gao, W; Hao, YJ; Wang, WL; Xu, JY</t>
  </si>
  <si>
    <t>Yao, Yurong; Huo, Jianfei; Ben, Haiyan; Gao, Wei; Hao, Yongjuan; Wang, Wanli; Xu, Jingyang</t>
  </si>
  <si>
    <t>Biocontrol efficacy of endophytic fungus, Acremonium sclerotigenum, against Meloidogyne incognita under in vitro and in vivo conditions</t>
  </si>
  <si>
    <t>BIOLOGIA</t>
  </si>
  <si>
    <t>Meloidogyne incognita; Acremonium sclerotigenum; biocontrol</t>
  </si>
  <si>
    <t>ROOT-KNOT NEMATODE; GROWTH; RESISTANCE; INFECTION; DISEASE; AGENTS</t>
  </si>
  <si>
    <t>Biocontrol microorganisms are important tools for the control of root knot nematodes (Meloidogyne spp.). Endophytic fungi have shown great potential as biocontrol agents in such applications. We here isolated an endophytic fungus from tomato root galls infected with M. incognita and identified the isolate as Acremonium sclerotigenum based on morphology and the internal transcribed spacer sequence. The biocontrol potential of this fungus was evaluated both in vitro and in vivo. Specifically, in vitro analyses were conducted to determine the potential of A. sclerotigenum to increase Meloidogyne incognita juvenile (J2 stage) mortality and decrease M. incognita egg hatching rates. The results revealed that A. sclerotigenum culture filtrates caused high J2 mortality rates (up to 95.5%) and significantly inhibited egg hatching (by up to similar to 43%). Furthermore, eggs treated with the culture filtrate were disaggregated and could not develop into nematodes. An in vivo experiment showed that treatment of tomato plants with A. sclerotigenum suppressed root knot nematode populations and significantly reduced the galling index. Both A. sclerotigenum treatment and exposure to the nematicide abamectin had good control effects, with efficacy rates of 55.43% and 70.58%, respectively. In summary, the endophytic fungus A. sclerotigenum here showed excellent potential for biocontrol of M. incognita. Further studies should be conducted to identify the nematicidal compounds produced by this fungus and to establish the molecular mechanism of action associated with the observed biocontrol effects.</t>
  </si>
  <si>
    <t>[Yao, Yurong; Huo, Jianfei; Ben, Haiyan; Gao, Wei; Hao, Yongjuan; Wang, Wanli; Xu, Jingyang] Tianjin Acad Agr Sci, Inst Plant Protect, Tianjin 300381, Peoples R China</t>
  </si>
  <si>
    <t>Tianjin Academy of Agricultural Sciences</t>
  </si>
  <si>
    <t>Yao, YR; Hao, YJ (corresponding author), Tianjin Acad Agr Sci, Inst Plant Protect, Tianjin 300381, Peoples R China.</t>
  </si>
  <si>
    <t>yyr1012@126.com; tjzbshjy@163.com</t>
  </si>
  <si>
    <t>0006-3088</t>
  </si>
  <si>
    <t>1336-9563</t>
  </si>
  <si>
    <t>Biologia</t>
  </si>
  <si>
    <t>10.1007/s11756-023-01505-4</t>
  </si>
  <si>
    <t>P4RI9</t>
  </si>
  <si>
    <t>WOS:001050531300002</t>
  </si>
  <si>
    <t>Yu, ZF; Chen, B</t>
  </si>
  <si>
    <t>Yu, Zhe-fei; Chen, Bin</t>
  </si>
  <si>
    <t>Free field realization of the BMS Ising model</t>
  </si>
  <si>
    <t>JOURNAL OF HIGH ENERGY PHYSICS</t>
  </si>
  <si>
    <t>Conformal and W Symmetry; Field Theories in Lower Dimensions; Scale and Conformal Symmetries; Space-Time Symmetries</t>
  </si>
  <si>
    <t>W-ALGEBRAS; SYMMETRY</t>
  </si>
  <si>
    <t>In this work, we study the inhomogeneous BMS free fermion theory, and show that it gives a free field realization of the BMS Ising model. We find that besides the BMS symmetry there exists an anisotropic scaling symmetry in BMS free fermion theory. As a result, the symmetry of the theory gets enhanced to an infinite dimensional symmetry generated by a new type of BMS-Kac-Moody algebra, different from the one found in the BMS free scalar model. Besides the different coupling of the u(1) Kac-Moody current to the BMS algebra, the Kac-Moody level is nonvanishing now such that the corresponding modules are further enlarged to BMS-Kac-Moody staggered modules. We show that there exists an underlying W (2, 2, 1) structure in the operator product expansion of the currents, and the BMS-Kac-Moody staggered modules can be viewed as highest-weight modules of this W-algebra. Moreover we obtain the BMS Ising model by a fermion-boson duality. This BMS Ising model is not a minimal model with respect to BMS3, since the minimal model construction based on BMS Kac determinant always leads to chiral Virasoro minimal models. Instead, the underlying algebra of the BMS Ising model is the W (2, 2, 1)-algebra, which can be understood as a quantum conformal BMS3 algebra.</t>
  </si>
  <si>
    <t>[Chen, Bin] Peking Univ, Sch Phys, 5 Yiheyuan Rd, Beijing 100871, Peoples R China; [Chen, Bin] Peking Univ, State Key Lab Nucl Phys &amp; Technol, 5 Yiheyuan Rd, Beijing 100871, Peoples R China; [Chen, Bin] Collaborat Innovat Ctr Quantum Matter, 5 Yiheyuan Rd, Beijing 100871, Peoples R China; [Yu, Zhe-fei; Chen, Bin] Peking Univ, Ctr High Energy Phys, 5 Yiheyuan Rd, Beijing 100871, Peoples R China</t>
  </si>
  <si>
    <t>Peking University; Peking University; Peking University</t>
  </si>
  <si>
    <t>Yu, ZF (corresponding author), Peking Univ, Ctr High Energy Phys, 5 Yiheyuan Rd, Beijing 100871, Peoples R China.</t>
  </si>
  <si>
    <t>yuzhefei@pku.edu.cn</t>
  </si>
  <si>
    <t>NSFC [11735001]</t>
  </si>
  <si>
    <t>NSFC(National Natural Science Foundation of China (NSFC))</t>
  </si>
  <si>
    <t>AcknowledgmentsWe are grateful to Chi-ming Chang, Peng-xiang Hao, Reiko Liu, Wei Song, Yu-fan Zheng for valuable discussions. We would like to thank the participants in the Third National Workshop on Quantum Fields and String (Beijing 2022-08) for stimulating discussions. The work is supported in part by NSFC Grant No. 11735001.</t>
  </si>
  <si>
    <t>1029-8479</t>
  </si>
  <si>
    <t>J HIGH ENERGY PHYS</t>
  </si>
  <si>
    <t>J. High Energy Phys.</t>
  </si>
  <si>
    <t>10.1007/JHEP08(2023)116</t>
  </si>
  <si>
    <t>P8BA8</t>
  </si>
  <si>
    <t>WOS:001052857600008</t>
  </si>
  <si>
    <t>Zhao, HX; Li, WH; Gan, L; Wang, SL</t>
  </si>
  <si>
    <t>Zhao, Haixia; Li, Wenhu; Gan, Li; Wang, Sulin</t>
  </si>
  <si>
    <t>Designing a prediction model for athlete's sports performance using neural network</t>
  </si>
  <si>
    <t>Neural network; Multivariate linear regression; Sports performance; Prediction model</t>
  </si>
  <si>
    <t>Accurately predicting the performance in various sports is crucial in comprehending training characteristics and enhancing physical education and training processes. The increasing significance of sports in China has enhanced the interest for developing prediction models to assess athletes' sports performance, accurately. These models will greatly contribute to improving sports performance and implementing scientific training methods. This paper proposes a prediction model for athletes' sports performance using Neural Networks as the underlying framework. This research aims to enhance sports performance and scientific training by developing a reliable and effective prediction model. First, the proposed model utilizes neural network algorithms, including error backpropagation and genetic algorithms, to train and optimize the prediction model. Second, it analyzes temporal patterns, extracts statistical features, and adapts to new data by ensuring reliability and effectiveness of the proposed model. Third, this paper conducts an error analysis by comparing the prediction errors between our proposed method and traditional models to evaluate the accuracy of the prediction model. In addition, this paper conducts an error analysis by comparing the prediction errors between our proposed method and traditional models. Finally, the results demonstrate that our proposed method achieves a maximum error of 36.12%, with the highest error rate in the BP network prediction being 6.76%. Furthermore, we compared our predicted results with multiple linear regression and other existing prediction methods, and our proposed method demonstrated superior accuracy with an overall prediction accuracy of 97.6%. Our suggested solution surpasses previous approaches with much higher accuracy, reduced latency, improved recall, and increased scalability.</t>
  </si>
  <si>
    <t>[Zhao, Haixia; Wang, Sulin] Southwest Jiaotong Univ, Hope Coll, Dept Transportat, Chengdu 610400, Sichuan, Peoples R China; [Li, Wenhu; Gan, Li] Chengdu Coll Arts &amp; Sci, Dept PE, Chengdu 610401, Sichuan, Peoples R China</t>
  </si>
  <si>
    <t>Southwest Jiaotong University</t>
  </si>
  <si>
    <t>Li, WH (corresponding author), Chengdu Coll Arts &amp; Sci, Dept PE, Chengdu 610401, Sichuan, Peoples R China.</t>
  </si>
  <si>
    <t>Scienoffcie@126.com; HopeCdusa@126.com; 452275198@qq.com; Artscdu@126.com</t>
  </si>
  <si>
    <t>Project of Chengdu Key Research Base of Philosophy and Social Sciences [2022105]</t>
  </si>
  <si>
    <t>Project of Chengdu Key Research Base of Philosophy and Social Sciences</t>
  </si>
  <si>
    <t>This study was funded by the Project of Chengdu Key Research Base of Philosophy and Social Sciences (2022105).</t>
  </si>
  <si>
    <t>10.1007/s00500-023-09091-y</t>
  </si>
  <si>
    <t>WOS:001051801000005</t>
  </si>
  <si>
    <t>Alloy, LB; Walsh, RFL; Smith, LT; Maddox, MA; Olino, TM; Zee, PC; Nusslock, R</t>
  </si>
  <si>
    <t>Alloy, Lauren B.; Walsh, Rachel F. L.; Smith, Logan T.; Maddox, Mackenzie A.; Olino, Thomas M.; Zee, Phyllis C.; Nusslock, Robin</t>
  </si>
  <si>
    <t>Circadian, Reward, and Emotion Systems in Teens prospective longitudinal study: protocol overview of an integrative reward-circadian rhythm model of first onset of bipolar spectrum disorder in adolescence</t>
  </si>
  <si>
    <t>Bipolar disorder; Hypo; mania; Depression; Reward responsiveness; Circadian rhythms; fMRI; Stress; Adversity; Sleep; Ecological momentary assessment</t>
  </si>
  <si>
    <t>BEHAVIORAL-APPROACH SYSTEM; DEPRESSION INVENTORY-II; STRESSFUL LIFE EVENTS; SLEEP QUALITY INDEX; SELF-REPORT MEASURE; SOCIAL RHYTHM; POSITIVE AFFECT; NEURAL RESPONSE; PSYCHOMETRIC PROPERTIES; MOTIVATIONAL DEFICITS</t>
  </si>
  <si>
    <t>BackgroundBipolar spectrum disorders (BSDs) are associated with a heightened sensitivity to rewards and elevated reward-related brain function in cortico-striatal circuitry. A separate literature documents social and circadian rhythm disruption in BSDs. Recently, integrated reward-circadian models of BSDs have been proposed. These models draw on work indicating that the two systems influence each other and interact to affect mood functioning. When dysregulated, reward and circadian system signaling may combine to form a positive feedback loop, whereby dysregulation in one system exacerbates dysregulation in the other. Project CREST (Circadian, Reward, and Emotion Systems in Teens) provides a first systematic test of reward-circadian dysregulation as a synergistic and dynamic vulnerability for first onset of BSD and increases in bipolar symptoms during adolescence.MethodsThis NIMH-funded R01 study is a 3-year prospective, longitudinal investigation of approximately 320 community adolescents from the broader Philadelphia area, United States of America. Eligible participants must be 13-16 years old, fluent in English, and without a prior BSD or hypomanic episode. They are being selected along the entire dimension of self-reported reward responsiveness, with oversampling at the high tail of the dimension in order to increase the likelihood of BSD onsets. At Times 1-6, every 6 months, participants will complete assessments of reward-relevant and social rhythm disruption life events and self-report and diagnostic assessments of bipolar symptoms and episodes. Yearly, at Times 1, 3, and 5, participants also will complete self-report measures of circadian chronotype (morningness-eveningness) and social rhythm regularity, a salivary dim light melatonin onset (DLMO) procedure to assess circadian phase, self-report, behavioral, and neural (fMRI) assessments of monetary and social reward responsiveness, and a 7-day ecological momentary assessment (EMA) period. During each EMA period, participants will complete continuous measures of sleep/wake and activity (actigraphy), a daily sleep diary, and three within-day (morning, afternoon, evening) measures of life events coded for reward-relevance and social rhythm disruption, monetary and social reward responsiveness, positive and negative affect, and hypo/manic and depressive symptoms. The fMRI scan will occur on the day before and the DLMO procedure will occur on the first evening of the 7-day EMA period.DiscussionThis study is an innovative integration of research on multi-organ systems involved in reward and circadian signaling in understanding first onset of BSD in adolescence. It has the potential to facilitate novel pharmacological, neural, and behavioral interventions to treat, and ideally prevent, bipolar conditions.</t>
  </si>
  <si>
    <t>[Alloy, Lauren B.; Walsh, Rachel F. L.; Smith, Logan T.; Maddox, Mackenzie A.; Olino, Thomas M.] Temple Univ, Dept Psychol &amp; Neurosci, Philadelphia, PA 19122 USA; [Zee, Phyllis C.] Northwestern Univ, Feinberg Sch Med, Dept Neurol, Evanston, IL USA; [Nusslock, Robin] Northwestern Univ, Dept Psychol, Evanston, IL USA</t>
  </si>
  <si>
    <t>Pennsylvania Commonwealth System of Higher Education (PCSHE); Temple University; Northwestern University; Feinberg School of Medicine; Northwestern University</t>
  </si>
  <si>
    <t>Alloy, LB (corresponding author), Temple Univ, Dept Psychol &amp; Neurosci, Philadelphia, PA 19122 USA.</t>
  </si>
  <si>
    <t>lalloy@temple.edu</t>
  </si>
  <si>
    <t>AUG 17</t>
  </si>
  <si>
    <t>10.1186/s12888-023-05094-z</t>
  </si>
  <si>
    <t>P3EB0</t>
  </si>
  <si>
    <t>WOS:001049495000004</t>
  </si>
  <si>
    <t>Allred, AR; Clark, TK</t>
  </si>
  <si>
    <t>Allred, Aaron R.; Clark, Torin K.</t>
  </si>
  <si>
    <t>A computational model of motion sickness dynamics during passive self-motion in the dark</t>
  </si>
  <si>
    <t>EXPERIMENTAL BRAIN RESEARCH</t>
  </si>
  <si>
    <t>Vestibular; Sensory conflict; Predictive modeling; Spatial disorientation; Orientation perception</t>
  </si>
  <si>
    <t>HORIZONTAL OSCILLATION; SPATIAL ORIENTATION; FREQUENCY; DIRECTION; AXIS; SYSTEM; NAUSEA</t>
  </si>
  <si>
    <t>Predicting the time course of motion sickness symptoms enables the evaluation of provocative stimuli and the development of countermeasures for reducing symptom severity. In pursuit of this goal, we present an observer-driven model of motion sickness for passive motions in the dark. Constructed in two stages, this model predicts motion sickness symptoms by bridging sensory conflict (i.e., differences between actual and expected sensory signals) arising from the observer model of spatial orientation perception (stage 1) to Oman's model of motion sickness symptom dynamics (stage 2; presented in 1982 and 1990) through a proposed Normalized innovation squared statistic. The model outputs the expected temporal development of human motion sickness symptom magnitudes (mapped to the Misery Scale) at a population level, due to arbitrary, 6-degree-of-freedom, self-motion stimuli. We trained model parameters using individual subject responses collected during fore-aft translations and off-vertical axis of rotation motions. Improving on prior efforts, we only used datasets with experimental conditions congruent with the perceptual stage (i.e., adequately provided passive motions without visual cues) to inform the model. We assessed model performance by predicting an unseen validation dataset, producing a Q(2) value of 0.86. Demonstrating this model's broad applicability, we formulate predictions for a host of stimuli, including translations, earth-vertical rotations, and altered gravity, and we provide our implementation for other users. Finally, to guide future research efforts, we suggest how to rigorously advance this model (e.g., incorporating visual cues, active motion, responses to motion of different frequency, etc.).</t>
  </si>
  <si>
    <t>[Allred, Aaron R.; Clark, Torin K.] Univ Colorado Boulder, Smead Dept Aerosp Engn Sci, Boulder, CO 80309 USA</t>
  </si>
  <si>
    <t>University of Colorado System; University of Colorado Boulder</t>
  </si>
  <si>
    <t>Allred, AR (corresponding author), Univ Colorado Boulder, Smead Dept Aerosp Engn Sci, Boulder, CO 80309 USA.</t>
  </si>
  <si>
    <t>aaron.allred@colorado.edu</t>
  </si>
  <si>
    <t>Allred, Aaron/0000-0001-5241-2830; Clark, Torin/0000-0002-9345-9712</t>
  </si>
  <si>
    <t>0014-4819</t>
  </si>
  <si>
    <t>1432-1106</t>
  </si>
  <si>
    <t>EXP BRAIN RES</t>
  </si>
  <si>
    <t>Exp. Brain Res.</t>
  </si>
  <si>
    <t>10.1007/s00221-023-06684-9</t>
  </si>
  <si>
    <t>Q1PC4</t>
  </si>
  <si>
    <t>WOS:001049182200001</t>
  </si>
  <si>
    <t>Balantekin, AB; Cervia, MJ; Patwardhan, AV; Rrapaj, E; Siwach, P</t>
  </si>
  <si>
    <t>Balantekin, A. B.; Cervia, Michael J.; Patwardhan, Amol V.; Rrapaj, Ermal; Siwach, Pooja</t>
  </si>
  <si>
    <t>Quantum information and quantum simulation of neutrino physics</t>
  </si>
  <si>
    <t>EUROPEAN PHYSICAL JOURNAL A</t>
  </si>
  <si>
    <t>OSCILLATIONS; NUCLEOSYNTHESIS; DYNAMICS; MATTER</t>
  </si>
  <si>
    <t>In extreme astrophysical environments such as core-collapse supernovae and binary neutron star mergers, neutrinos play a major role in driving various dynamical and microphysical phenomena, such as baryonicmatter outflows, the synthesis of heavy elements, and the supernova explosion mechanism itself. The interactions of neutrinos with matter in these environments are flavor-specific, which makes it of paramount importance to understand the flavor evolution of neutrinos. Flavor evolution in these environments can be a highly nontrivial problem thanks to a multitude of collective effects in flavor space, arising due to neutrino-neutrino (nu-nu) interactions in regions with high neutrino densities. A neutrino ensemble undergoing flavor oscillations under the influence of significant nu-nu interactions is somewhat analogous to a system of coupled spins with long-range interactions among themselves and with an external field ('long-range' in momentum-space in the case of neutrinos). As a result, it becomes pertinent to consider whether these interactions can give rise to significant quantum correlations among the interacting neutrinos, and whether these correlations have any consequences for the flavor evolution of the ensemble. In particular, one may seek to utilize concepts and tools from quantum information science and quantum computing to deepen our understanding of these phenomena. In this article, we attempt to summarize recent work in this field. Furthermore, we also present some new results in a three-flavor setting, considering complex initial states.</t>
  </si>
  <si>
    <t>[Balantekin, A. B.; Siwach, Pooja] Univ Wisconsin, 1150 Univ Ave, Madison, WI 53706 USA; [Cervia, Michael J.] George Washington Univ, 725 21st St NW, Washington, DC 20052 USA; [Cervia, Michael J.] Univ Maryland, College Pk, MD 20742 USA; [Patwardhan, Amol V.] SLAC Natl Accelerator Lab, 2575 Sand Hill Rd, Menlo Pk, CA 94025 USA; [Rrapaj, Ermal] Lawrence Berkeley Natl Lab, ERSC, Berkeley, CA 94720 USA; [Rrapaj, Ermal] RIKEN iTHEMS, Wako, Saitama 3510198, Japan; [Rrapaj, Ermal] Univ Calif Berkeley, Berkeley, CA 94720 USA</t>
  </si>
  <si>
    <t>University of Wisconsin System; University of Wisconsin Madison; George Washington University; University System of Maryland; University of Maryland College Park; Stanford University; United States Department of Energy (DOE); SLAC National Accelerator Laboratory; United States Department of Energy (DOE); Lawrence Berkeley National Laboratory; University of California System; University of California Berkeley</t>
  </si>
  <si>
    <t>Patwardhan, AV (corresponding author), SLAC Natl Accelerator Lab, 2575 Sand Hill Rd, Menlo Pk, CA 94025 USA.</t>
  </si>
  <si>
    <t>apatward@slac.stanford.edu</t>
  </si>
  <si>
    <t>; Balantekin, Akif/E-4776-2010</t>
  </si>
  <si>
    <t>Cervia, Michael/0000-0002-2962-3055; Balantekin, Akif/0000-0002-2999-0111</t>
  </si>
  <si>
    <t>U.S. Department of Energy, Office of Science, Office of High Energy Physics [DE-SC0019465]; U.S. Department of Energy [DE-AC02-76SF00515]; U.S. Department of Energy, Office of Nuclear Physics [DE-SC0021143]; NSF [PHY-2108339, PHY-2020275]; iTHEMS RIKEN</t>
  </si>
  <si>
    <t>U.S. Department of Energy, Office of Science, Office of High Energy Physics(United States Department of Energy (DOE)); U.S. Department of Energy(United States Department of Energy (DOE)); U.S. Department of Energy, Office of Nuclear Physics(United States Department of Energy (DOE)); NSF(National Science Foundation (NSF)); iTHEMS RIKEN</t>
  </si>
  <si>
    <t>This work was supported in part by the U.S. Department of Energy, Office of Science, Office of High Energy Physics, under Award No. DE-SC0019465. AVP acknowledges support from the U.S. Department of Energy under contract number DE-AC02-76SF00515. MJC: the U.S. Department of Energy, Office of Nuclear Physics under Award Number DE-SC0021143. ABB acknowledges support from the NSF grants PHY-2108339 and PHY-2020275. ER work was funded by iTHEMS RIKEN.</t>
  </si>
  <si>
    <t>1434-6001</t>
  </si>
  <si>
    <t>1434-601X</t>
  </si>
  <si>
    <t>EUR PHYS J A</t>
  </si>
  <si>
    <t>Eur. Phys. J. A</t>
  </si>
  <si>
    <t>10.1140/epja/s10050-023-01092-7</t>
  </si>
  <si>
    <t>Physics, Nuclear; Physics, Particles &amp; Fields</t>
  </si>
  <si>
    <t>P4OP0</t>
  </si>
  <si>
    <t>WOS:001050458700001</t>
  </si>
  <si>
    <t>Barbar, SD; Bourredjem, A; Trusson, R; Dargent, A; Binquet, C; Quenot, JP; IDEAL-ICU Study</t>
  </si>
  <si>
    <t>Barbar, Saber Davide; Bourredjem, Abderrahmane; Trusson, Remi; Dargent, Auguste; Binquet, Christine; Quenot, Jean-Pierre; IDEAL-ICU Study</t>
  </si>
  <si>
    <t>Differential effect on mortality of the timing of initiation of renal replacement therapy according to the criteria used to diagnose acute kidney injury: an IDEAL-ICU substudy</t>
  </si>
  <si>
    <t>Renal replacement therapy; Kidney failure; Intensive care unit; Septic shock</t>
  </si>
  <si>
    <t>AKI</t>
  </si>
  <si>
    <t>BackgroundThis substudy of the randomized IDEAL-ICU trial assessed whether the timing of renal replacement therapy (RRT) initiation has a differential effect on 90-day mortality, according to the criteria used to diagnose acute kidney injury (AKI), in patients with early-stage septic shock.MethodsThree groups were considered according to the criterion defining AKI: creatinine elevation only (group 1), reduced urinary output only (group 2), creatinine elevation plus reduced urinary output (group 3). Primary outcome was 90-day all-cause death. Secondary endpoints were RRT-free days, RRT dependence and renal function at discharge. We assessed the interaction between RRT strategy (early vs. delayed) and group, and the association between RRT strategy and mortality in each group by logistic regression.ResultsOf 488 patients enrolled, 205 (42%) patients were in group 1, 174 (35%) in group 2, and 100 (20%) in group 3. The effect of RRT initiation strategy on 90-day mortality across groups showed significant heterogeneity (adjusted interaction p = 0.021). Mortality was 58% vs. 42% for early vs. late RRT initiation, respectively, in group 1 (p = 0.028); 57% vs. 67%, respectively, in group 2 (p = 0.18); and 58% vs. 55%, respectively, in group 3 (p = 0.79). There was no significant difference in secondary outcomes.ConclusionThe timing of RRT initiation has a differential impact on outcome according to AKI diagnostic criteria. In patients with elevated creatinine only, early RRT initiation was associated with significantly increased mortality. In patients with reduced urine output only, late RRT initiation was associated with a nonsignificant, 10% absolute increase in mortality.</t>
  </si>
  <si>
    <t>[Barbar, Saber Davide; Trusson, Remi] Hop Caremeau, Ctr Hospitalier Univ Nimes, Serv Reanimat, Unite Reanimat Medicale, Pl Prof Robert Debre, F-30029 Nimes, France; [Barbar, Saber Davide] Univ Montpellier, Montpellier, France; [Bourredjem, Abderrahmane; Binquet, Christine; Quenot, Jean-Pierre] Ctr Hosp Univ Dijon Bourgogne, CIC 1432, Epidemiol Clin, BP 1541, Dijon, France; [Dargent, Auguste] Hop Lyon Sud, Med Intens Care Unit, Hosp Civils Lyon, F-69437 Lyon, France; [Quenot, Jean-Pierre] CHU Dijon, Serv Med Intens Reanimat, Dijon, France; [Quenot, Jean-Pierre] Univ Bourgogne, INSERM Res Ctr LNC, UMR1231, Lipness Team, Dijon, France; [Quenot, Jean-Pierre] Univ Bourgogne, LabExLipST, Dijon, France</t>
  </si>
  <si>
    <t>Universite de Montpellier; CHU de Nimes; Universite de Montpellier; CHU Dijon Bourgogne; CHU Lyon; CHU Dijon Bourgogne; Institut Agro; AgroSup Dijon; Universite de Bourgogne; Universite de Bourgogne</t>
  </si>
  <si>
    <t>Barbar, SD (corresponding author), Hop Caremeau, Ctr Hospitalier Univ Nimes, Serv Reanimat, Unite Reanimat Medicale, Pl Prof Robert Debre, F-30029 Nimes, France.;Barbar, SD (corresponding author), Univ Montpellier, Montpellier, France.</t>
  </si>
  <si>
    <t>saber.barbar@chu-nimes.fr</t>
  </si>
  <si>
    <t>French Ministry of Health (Programme Hospitalier de Recherche Clinique National) [A00519-34]</t>
  </si>
  <si>
    <t>French Ministry of Health (Programme Hospitalier de Recherche Clinique National)</t>
  </si>
  <si>
    <t>The original IDEAL-ICU study was funded by a grant from the French Ministry of Health (Programme Hospitalier de Recherche Clinique National, 2011, A00519-34).</t>
  </si>
  <si>
    <t>10.1186/s13054-023-04602-7</t>
  </si>
  <si>
    <t>P4AO0</t>
  </si>
  <si>
    <t>WOS:001050091300001</t>
  </si>
  <si>
    <t>Baumgartner, M; Veeranki, SPK; Hayn, D; Schreier, G</t>
  </si>
  <si>
    <t>Baumgartner, Martin; Veeranki, Sai Pavan Kumar; Hayn, Dieter; Schreier, Gunter</t>
  </si>
  <si>
    <t>Introduction and Comparison of Novel Decentral Learning Schemes with Multiple Data Pools for Privacy-Preserving ECG Classification</t>
  </si>
  <si>
    <t>JOURNAL OF HEALTHCARE INFORMATICS RESEARCH</t>
  </si>
  <si>
    <t>Decentral learning; Privacy-preserving artificial intelligence; Machine learning; Deep learning; Decision-support</t>
  </si>
  <si>
    <t>FUTURE</t>
  </si>
  <si>
    <t>Artificial intelligence and machine learning have led to prominent and spectacular innovations in various scenarios. Application in medicine, however, can be challenging due to privacy concerns and strict legal regulations. Methods that centralize knowledge instead of data could address this issue. In this work, 6 different decentralized machine learning algorithms are applied to 12-lead ECG classification and compared to conventional, centralized machine learning. The results show that state-of-the-art federated learning leads to reasonable losses of classification performance compared to a standard, central model (-0.054 AUROC) while providing a significantly higher level of privacy. A proposed weighted variant of federated learning (-0.049 AUROC) and an ensemble (-0.035 AUROC) outperformed the standard federated learning algorithm. Overall, considering multiple metrics, the novel batch-wise sequential learning scheme performed best (-0.036 AUROC to baseline). Although, the technical aspects of implementing them in a real-world application are to be carefully considered, the described algorithms constitute a way forward towards preserving-preserving AI in medicine.</t>
  </si>
  <si>
    <t>[Baumgartner, Martin; Hayn, Dieter; Schreier, Gunter] AIT Austrian Inst Technol, Ctr Hlth &amp; Bioresources, Giefinggasse 4, A-1210 Vienna, Austria; [Baumgartner, Martin; Veeranki, Sai Pavan Kumar; Schreier, Gunter] Graz Univ Technol, Inst Neural Engn, Graz, Austria; [Hayn, Dieter] Ludwig Boltzmann Inst Digital Hlth &amp; Prevent, Salzburg, Austria</t>
  </si>
  <si>
    <t>Austrian Institute of Technology (AIT); Graz University of Technology</t>
  </si>
  <si>
    <t>Baumgartner, M (corresponding author), AIT Austrian Inst Technol, Ctr Hlth &amp; Bioresources, Giefinggasse 4, A-1210 Vienna, Austria.;Baumgartner, M (corresponding author), Graz Univ Technol, Inst Neural Engn, Graz, Austria.</t>
  </si>
  <si>
    <t>martin.baumgartner@ait.ac.at; sai.veeranki@kages.at; dieter.hayn@ait.ac.at; guenter.schreier@ait.ac.at</t>
  </si>
  <si>
    <t>schreier, guenter/0000-0003-3724-4255</t>
  </si>
  <si>
    <t>AIT Austrian Institute of Technology GmbH</t>
  </si>
  <si>
    <t>Open access funding provided by AIT Austrian Institute of Technology GmbH</t>
  </si>
  <si>
    <t>2509-4971</t>
  </si>
  <si>
    <t>2509-498X</t>
  </si>
  <si>
    <t>J HEALTHC INFORM RES</t>
  </si>
  <si>
    <t>J. Healthc. Inform. Res.</t>
  </si>
  <si>
    <t>10.1007/s41666-023-00142-5</t>
  </si>
  <si>
    <t>Computer Science, Information Systems; Health Care Sciences &amp; Services; Medical Informatics</t>
  </si>
  <si>
    <t>Computer Science; Health Care Sciences &amp; Services; Medical Informatics</t>
  </si>
  <si>
    <t>R5KU8</t>
  </si>
  <si>
    <t>Green Submitted, hybrid, Green Published</t>
  </si>
  <si>
    <t>WOS:001049923600001</t>
  </si>
  <si>
    <t>Bellocci, M; Leva, M; Melai, V; Milone, S; Romeo, GA; Rosato, R; Scortichini, G; Tammaro, G; Diletti, G</t>
  </si>
  <si>
    <t>Bellocci, Mirella; Leva, Manuela; Melai, Valeria; Milone, Salvatore; Romeo, Gianluca Antonio; Rosato, Roberta; Scortichini, Giampiero; Tammaro, Giulio; Diletti, Gianfranco</t>
  </si>
  <si>
    <t>Rare earths and other elements content in hen eggs sold in Italy: comparison among main types of farming methods and consumer's health risk assessment</t>
  </si>
  <si>
    <t>Rare earth; Hen egg; Human health risk assessment; Consumer product safety; Italy; Pollution; Barn and organic farming methods</t>
  </si>
  <si>
    <t>HOME-PRODUCED EGGS; DIETARY EXPOSURE; TRACE-ELEMENTS; FOOD</t>
  </si>
  <si>
    <t>Recently, in Italy, consumers are choosing hen eggs from farming systems with higher ethical value, due to their perception of a related higher quality and safety. The purposes of this study were to evaluate the existence of differences in elemental content in Italian eggs from organic, barn, and caged hen farming methods and to determine the related potential consumer exposure risk to inorganic contaminants due to the consumption of eggs. One hundred seventy-six egg samples were collected and analyzed using Q-ICP-MS to investigate the content of 14 elements (Pb, As, Hg, Cd, Tl, Fe, Zn, Mn, Cu, Se, Co, Ni, V, and Cr) and 13 rare earth elements (La, Ce, Pr, Nd, Sm, Eu, Gd, Tb, Dy, Ho, Er, Tm, and Yb). The scenarios of exposure to rare earth and other elements from eggs were estimated for three age groups of consumers. The daily intake values were always lower than the respective safety reference values. In conclusion, Italian hen eggs contain low levels of rare earth and other elements, and therefore, their consumption does not represent a risk of exposure. Finally, no significant differences in contaminants between conventional and organic farming methods were found.</t>
  </si>
  <si>
    <t>[Bellocci, Mirella; Leva, Manuela; Melai, Valeria; Milone, Salvatore; Romeo, Gianluca Antonio; Rosato, Roberta; Scortichini, Giampiero; Tammaro, Giulio; Diletti, Gianfranco] Ist Zooprofilatt Sperimentale Abruzzo &amp; Molise G C, I-64100 Teramo, Italy; [Romeo, Gianluca Antonio] Minist Salute, Direz Gen Sanita Anim &amp; Farm Vet, Viale Giorgio Ribotta 5, I-00144 Rome, Italy</t>
  </si>
  <si>
    <t>Tammaro, G (corresponding author), Ist Zooprofilatt Sperimentale Abruzzo &amp; Molise G C, I-64100 Teramo, Italy.</t>
  </si>
  <si>
    <t>m.bellocci@izs.it; m.leva@izs.it; v.melai@izs.it; s.milone@izs.it; ga.romeo-esterno@sanita.it; r.rosato@izs.it; g.scortichini@izs.it; g.tammaro@izs.it; g.diletti@izs.it</t>
  </si>
  <si>
    <t>Rosato, Roberta/AAM-3575-2020; Bellocci, Mirella/E-7064-2016; Romeo, Gianluca Antonio/AFV-5781-2022; Tammaro, Giulio/F-5317-2016; Leva, Manuela/AAC-2796-2021; Diletti, Gianfranco/E-9553-2016; Melai, Valeria/F-1154-2016</t>
  </si>
  <si>
    <t>Rosato, Roberta/0000-0003-3569-0438; Bellocci, Mirella/0000-0002-4696-613X; Romeo, Gianluca Antonio/0000-0003-0575-9131; Tammaro, Giulio/0000-0003-0011-9047; Leva, Manuela/0000-0002-5931-6427; Diletti, Gianfranco/0000-0002-0745-9389; Melai, Valeria/0000-0002-0040-9223</t>
  </si>
  <si>
    <t>Italian Ministry of Health [MSRCTE0916]</t>
  </si>
  <si>
    <t>Italian Ministry of Health(Ministry of Health, Italy)</t>
  </si>
  <si>
    <t>&amp; nbsp;This study was funded by the Italian Ministry of Health (project id: MSRCTE0916).</t>
  </si>
  <si>
    <t>10.1007/s11356-023-29207-z</t>
  </si>
  <si>
    <t>WOS:001050424400004</t>
  </si>
  <si>
    <t>Bhardwaj, M; Mishra, P; Badhani, S; Muttoo, SK</t>
  </si>
  <si>
    <t>Bhardwaj, Manju; Mishra, Priya; Badhani, Shikha; Muttoo, Sunil K. K.</t>
  </si>
  <si>
    <t>Sentiment analysis and topic modeling of COVID-19 tweets of India</t>
  </si>
  <si>
    <t>COVID-19; Machine learning; Natural Language Processing (NLP); Sentiment analysis; Twitter data; Visualization; Topic modeling; Latent Dirichlet Allocation; Lexicon; Bag-Of-Words</t>
  </si>
  <si>
    <t>Social media platforms provide an opportunity to the users to express their views and emotions on any topic. Various researchers have successfully used the content posted on these platforms to capture the emotions of the people about the given event or topic. During COVID-19 pandemic, Indians extensively used Twitter owing to an increased need for virtual interaction. In this work, we analyse the tweets posted in India during COVID-19 outbreak to understand how individuals in India reacted to the pandemic. We identified the timelines of three major COVID-19 waves from May 2020 to March 2022 and retrieved 13,818 tweets from COV19Tweets dataset available at IEEE DataPort for the respective duration of each of the three waves. Lexicon based sentiment analysis of the tweets indicated a positive mindset of the Indian population during the pandemic. Further, visual analysis through word clouds revealed that a few words were common for all waves whereas some words were wave-specific. It was observed that the words used in tweets cannot be compulsorily associated with positive or negative emotions, as the context or the set of words taken together may be a better indicator. Hence, machine learning approach was followed for the identification of sentiments by extracting BoW (Bag-of-Words) and TF-IDF (Term Frequency-Inverse Document Frequency) features from the tweet text. Comparative performance analysis of the four classification algorithms, namely, Decision Tree (DT), Logistic Regression (LR), Naive Bayes (NB), and Support Vector Machines (SVM) and two ensemble methods Adaboost and Random Forest revealed that LR applied to BoW featureset was the best performer. Finally, we performed Latent Dirichlet Allocation (LDA) based topic modeling on the COVID-19 tweets to identify topics of discussion in each of the waves. The topics evolved from informative messages related to the pandemic during the first wave, to wider discussions related to the impact of COVID-19 on nifty, tourism, etc. for the second wave, and the omicron virus, availability of beds, and ventilators in the third wave. This study can be of great interest to governments, as they may undertake similar studies to understand human behavior when natural calamities or pandemics occur at the local or global levels. The automated capture of public sentiments and identification of topics may expedite the appropriate execution of preventive measures taken by governments and address the concerns of citizens almost instantly.</t>
  </si>
  <si>
    <t>[Bhardwaj, Manju; Mishra, Priya; Badhani, Shikha] Univ Delhi, Maitreyi Coll, Dept Comp Sci, Delhi 110021, India; [Muttoo, Sunil K. K.] Univ Delhi, Dept Comp Sci, Delhi 110007, India</t>
  </si>
  <si>
    <t>University of Delhi; University of Delhi</t>
  </si>
  <si>
    <t>Badhani, S (corresponding author), Univ Delhi, Maitreyi Coll, Dept Comp Sci, Delhi 110021, India.</t>
  </si>
  <si>
    <t>mbhardwaj@maitreyi.du.ac.in; priyamishra12122001@gmail.com; shikhamalik2@gmail.com; drskmuttoo@gmail.com</t>
  </si>
  <si>
    <t>Bhardwaj, Manju/T-5091-2019</t>
  </si>
  <si>
    <t>Badhani, Shikha/0000-0002-8535-1808</t>
  </si>
  <si>
    <t>2023 AUG 17</t>
  </si>
  <si>
    <t>10.1007/s13198-023-02082-0</t>
  </si>
  <si>
    <t>P6LX7</t>
  </si>
  <si>
    <t>WOS:001051783000001</t>
  </si>
  <si>
    <t>Chen, L; Fu, Q; Du, Y; Jiang, ZY; Cheng, Y</t>
  </si>
  <si>
    <t>Chen, Lei; Fu, Qiang; Du, Yang; Jiang, Zhong-Yong; Cheng, Yong</t>
  </si>
  <si>
    <t>Transcriptome Analysis and Epigenetics Regulation in the Hippocampus and the Prefrontal Cortex of VPA-Induced Rat Model</t>
  </si>
  <si>
    <t>MOLECULAR NEUROBIOLOGY</t>
  </si>
  <si>
    <t>Transcriptome; miRNA; Grm3; Autism</t>
  </si>
  <si>
    <t>FETAL VALPROATE SYNDROME; AUTISM; GENES</t>
  </si>
  <si>
    <t>Autism spectrum disorders (ASD) are a highly heterogeneous group of neurodevelopmental disorders caused by complex interaction between various genes and environmental factors. As the hippocampus and prefrontal cortex are involved in social recognition, they are the regions of the brain implicated in autism. The effects of prenatal exposure to valproic acid (VPA) can induce an ASD phenotype in both humans and rats; this tool is commonly used to model the complexity of ASD symptoms in the laboratory. However, researchers rarely undertake epigenetic regulation of the brain regions using this model. The present study has addressed this gap by examining gene expression abnormalities in the hippocampus and prefrontal cortex in the VPA rat model of ASD. mRNA and miRNA sequencing was performed on samples from the hippocampus and prefrontal cortex of the VPA model of autism. According to the analysis, 3000 mRNAs in the hippocampus and 2187 mRNAs in the prefrontal cortex showed a significant difference in expression between the VPA and saline groups. In addition, there were 115 DE miRNAs in the hippocampus and 14 DE miRNAs in the prefrontal cortex. Further, the predicted and validated target mRNA of DE miRNA enriched pathways involved neurotransmitter uptake, long-term synaptic depression, and AMPA receptor complex (anti-GluA2-b) in the hippocampus; as well as the neuroactive ligand-receptor interaction and regulation of postsynaptic membrane potential in the prefrontal cortex. This revealed the negative regulation network of miRNAs-mRNAs in the hippocampus and prefrontal cortex, while filtering out key genes (miR-10a-5p and Grm3). Finally, the significant variable miR-10a-5p and its negative regulated genes (Grm3) were verified in both brain regions by QPCR. Importantly, the fact that miR-10a-5p downregulated Grm3 in both the hippocampus and the prefrontal cortex may play a potentially significant role in the occurrence and development of autism. This study suggests that the VPA model has the potential to reproduce ASD-related hippocampus and prefrontal cortex abnormalities, at the epigenetic and transcriptional levels. Furthermore, the network of miRNAs-mRNAs was confirmed; this negative regulatory relationship may play a key role in determining the occurrence and development of autism. The study of this topic help better understand the pathogenesis of ASD.</t>
  </si>
  <si>
    <t>[Chen, Lei; Du, Yang; Cheng, Yong] Minzu Univ China, Ctr Translat Neurosci, Sch Pharm, Key Lab Ethnomedicine,Minist Educ, Beijing, Peoples R China; [Fu, Qiang; Cheng, Yong] Minzu Univ China, Inst Natl Secur, Beijing, Peoples R China; [Jiang, Zhong-Yong] Chengdu Peoples Hosp 7, Affiliated Canc Hosp, Chengdu Med Coll, Dept Med Lab, Chengdu, Sichuan, Peoples R China</t>
  </si>
  <si>
    <t>Chengdu Medical College</t>
  </si>
  <si>
    <t>Cheng, Y (corresponding author), Minzu Univ China, Ctr Translat Neurosci, Sch Pharm, Key Lab Ethnomedicine,Minist Educ, Beijing, Peoples R China.;Cheng, Y (corresponding author), Minzu Univ China, Inst Natl Secur, Beijing, Peoples R China.;Jiang, ZY (corresponding author), Chengdu Peoples Hosp 7, Affiliated Canc Hosp, Chengdu Med Coll, Dept Med Lab, Chengdu, Sichuan, Peoples R China.</t>
  </si>
  <si>
    <t>jiangzhongyong@cmc.edu.cn; yongcheng@muc.edu.cn</t>
  </si>
  <si>
    <t>Cheng, Yong/0000-0002-7529-4408</t>
  </si>
  <si>
    <t>National Natural Science Foundation of China [82071676]; Sichuan Provincial Natural Science Foundation Project [2022NSFSC0769]</t>
  </si>
  <si>
    <t>National Natural Science Foundation of China(National Natural Science Foundation of China (NSFC)); Sichuan Provincial Natural Science Foundation Project</t>
  </si>
  <si>
    <t>This work was supported by the National Natural Science Foundation of China (82071676), Sichuan Provincial Natural Science Foundation Project (2022NSFSC0769).</t>
  </si>
  <si>
    <t>0893-7648</t>
  </si>
  <si>
    <t>1559-1182</t>
  </si>
  <si>
    <t>MOL NEUROBIOL</t>
  </si>
  <si>
    <t>Mol. Neurobiol.</t>
  </si>
  <si>
    <t>10.1007/s12035-023-03560-z</t>
  </si>
  <si>
    <t>P4MQ9</t>
  </si>
  <si>
    <t>WOS:001050408400004</t>
  </si>
  <si>
    <t>Criens, D; Niemann, L</t>
  </si>
  <si>
    <t>Criens, David; Niemann, Lars</t>
  </si>
  <si>
    <t>Robust utility maximization with nonlinear continuous semimartingales</t>
  </si>
  <si>
    <t>MATHEMATICS AND FINANCIAL ECONOMICS</t>
  </si>
  <si>
    <t>Robust utility maximization; Robust market price of risk; Duality theory; Nonlinear continuous semimartingales; Semimartingale characteristics; Knightian uncertainty</t>
  </si>
  <si>
    <t>OPTIMAL INVESTMENT; MODEL UNCERTAINTY; CONSUMPTION-INVESTMENT; PORTFOLIO POLICIES; DISCRETE-TIME; SUPERREPLICATION; MARTINGALE; AMBIGUITY; DUALITY</t>
  </si>
  <si>
    <t>In this paper we study a robust utility maximization problem in continuous time under model uncertainty. The model uncertainty is governed by a continuous semimartingale with uncertain local characteristics. Here, the differential characteristics are prescribed by a set-valued function that depends on time and path. We show that the robust utility maximization problem is in duality with a conjugate problem, and we study the existence of optimal portfolios for logarithmic, exponential and power utilities.</t>
  </si>
  <si>
    <t>[Criens, David; Niemann, Lars] Albert Ludwigs Univ Freiburg, Ernst Zermelo Str 1, D-79104 Freiburg, Germany</t>
  </si>
  <si>
    <t>University of Freiburg</t>
  </si>
  <si>
    <t>Criens, D (corresponding author), Albert Ludwigs Univ Freiburg, Ernst Zermelo Str 1, D-79104 Freiburg, Germany.</t>
  </si>
  <si>
    <t>david.criens@stochastik.uni-freiburg.de; lars.niemann@stochastik.uni-freiburg.de</t>
  </si>
  <si>
    <t>Criens, David/JCN-9356-2023</t>
  </si>
  <si>
    <t>Criens, David/0000-0002-6436-145X</t>
  </si>
  <si>
    <t>DFG [SCHM 2160/15-1, SCHM 2160/13-1]</t>
  </si>
  <si>
    <t>DFG(German Research Foundation (DFG))</t>
  </si>
  <si>
    <t>DC acknowledges financial support from the DFG project SCHM 2160/15-1 and LN acknowledges financialsupport from the DFG project SCHM 2160/13-1 .</t>
  </si>
  <si>
    <t>1862-9679</t>
  </si>
  <si>
    <t>1862-9660</t>
  </si>
  <si>
    <t>MATH FINANC ECON</t>
  </si>
  <si>
    <t>Math. Financ. Econ.</t>
  </si>
  <si>
    <t>10.1007/s11579-023-00342-y</t>
  </si>
  <si>
    <t>Business, Finance; Economics; Mathematics, Interdisciplinary Applications; Social Sciences, Mathematical Methods</t>
  </si>
  <si>
    <t>Business &amp; Economics; Mathematics; Mathematical Methods In Social Sciences</t>
  </si>
  <si>
    <t>P3TP9</t>
  </si>
  <si>
    <t>WOS:001049905100001</t>
  </si>
  <si>
    <t>Dorey, N; Zhao, B</t>
  </si>
  <si>
    <t>Dorey, Nick; Zhao, Boan</t>
  </si>
  <si>
    <t>Superconformal quantum mechanics and growth of sheaf cohomology</t>
  </si>
  <si>
    <t>Sigma Models; Differential and Algebraic Geometry; Supersymmetric Gauge Theory; Supersymmetry and Duality</t>
  </si>
  <si>
    <t>SUPERSYMMETRY</t>
  </si>
  <si>
    <t>We give a geometric interpretation for superconformal quantum mechanics defined on a hyper-Kahler cone which has an equivariant symplectic resolution. BPS states are identified with certain twisted Dolbeault cohomology classes on the resolved space and their index degeneracies can also be related to the Euler characteristic computed in equivariant sheaf cohomology. In the special case of the Hilbert scheme of K points on DOUBLE-STRUCK CAPITAL C-2, we obtain a rigorous estimate for the exponential growth of the index degeneracies of BPS states as K &amp; RARR; &amp; INFIN;. This growth serves as a toy model for our recently proposed duality between a seven dimensional black hole and superconformal quantum mechanics.</t>
  </si>
  <si>
    <t>[Dorey, Nick; Zhao, Boan] Univ Cambridge, Ctr Math Sci, DAMTP, Wilberforce Rd, Cambridge CB3 0WA, England</t>
  </si>
  <si>
    <t>Dorey, N (corresponding author), Univ Cambridge, Ctr Math Sci, DAMTP, Wilberforce Rd, Cambridge CB3 0WA, England.</t>
  </si>
  <si>
    <t>N.Dorey@damtp.cam.ac.uk; bz258@cam.ac.uk</t>
  </si>
  <si>
    <t>10.1007/JHEP08(2023)096</t>
  </si>
  <si>
    <t>P3ZZ8</t>
  </si>
  <si>
    <t>WOS:001050076700003</t>
  </si>
  <si>
    <t>Focke, JK; Kraemer, M</t>
  </si>
  <si>
    <t>Focke, Jan K.; Kraemer, Markus</t>
  </si>
  <si>
    <t>A familial missense ACTA2 variant p.Arg198Cys leading to Moyamoya-like arteriopathy with straight course of the intracranial arteries, aortic aneurysm and lethal aortic dissection</t>
  </si>
  <si>
    <t>NEUROLOGICAL RESEARCH AND PRACTICE</t>
  </si>
  <si>
    <t>ACTA2 variant; Cerebral vasculopathies; Angiography; Moyamoya angiopathy; Aortic dissections</t>
  </si>
  <si>
    <t>GUIDELINES; GENETICS</t>
  </si>
  <si>
    <t>BackgroundCerebral vasculopathies frequently lead to severe medical conditions such as stroke or intracranial hemorrhage and have a broad range of possible etiologies that require different therapeutic regimens. However, vasculopathies sometimes present with characteristic angiographic findings, that - if recognized - can guide a more specific diagnostic work-up. Certain ACTA2 variants are associated with a distinctive cerebrovascular phenotype characterized by an anomalously straight course of intracranial arteries, dilatation of proximal ICA and stenosis of distal ICA, in the absence of a compensatory basal collateral network found in Moyamoya disease. Until recently, this ACTA2 cerebral arteriopathy has been reported only in ACTA2 variants impairing Arg179.Methods and materialsWe report a familial case of a missense ACTA2 variant p.Arg198Cys with angiographic features of an ACTA2 cerebral arteriopathy. We analyzed the neuroimaging features of all four variant carrying family members and discussed the cerebrovascular abnormalities we found on the background of the current literature on ACTA2 arteriopathies.ResultsNeuroimaging of the variant carriers revealed angiographic abnormalities characteristic for ACTA2 cerebral arteriopathy such as stenoses of the terminal internal carotid artery, occlusion of the proximal middle cerebral artery and an anomalously straight course of the intracranial arteries. In our index patient catheter angiography showed a Moyamoya-like basal collateral network alongside with the above-mentioned features of an ACTA2 cerebral arteriopathy. The detected missense ACTA2 variant p.Arg198Cys was not known to be associated a cerebral arteriopathy, so far. One of the patients later died from aortic dissection - a common vascular complication of ACTA2 variants.ConclusionThe familial case expands the phenotype of the detected ACTA2 variant p.Arg198Cys and hereby broadens the range of ACTA2 variants associated with a cerebral arteriopathy. Further, it emphasizes the importance of an interdisciplinary approach of vasculopathies.</t>
  </si>
  <si>
    <t>[Focke, Jan K.; Kraemer, Markus] Alfried Krupp Hosp, Dept Neurol, Essen, Germany; [Kraemer, Markus] Heinrich Heine Univ Hosp, Dept Neurol, Dusseldorf, Germany</t>
  </si>
  <si>
    <t>Alfried Krupp Hospital; Heinrich Heine University Dusseldorf; Heinrich Heine University Dusseldorf Hospital</t>
  </si>
  <si>
    <t>Focke, JK (corresponding author), Alfried Krupp Hosp, Dept Neurol, Essen, Germany.</t>
  </si>
  <si>
    <t>jan.focke@krupp-krankenhaus.de</t>
  </si>
  <si>
    <t>Focke, Jan Karl/0000-0001-8014-5063</t>
  </si>
  <si>
    <t>2524-3489</t>
  </si>
  <si>
    <t>NEUROL RES PRACT</t>
  </si>
  <si>
    <t>Neurol. Res. Pract.</t>
  </si>
  <si>
    <t>10.1186/s42466-023-00268-2</t>
  </si>
  <si>
    <t>P1XE0</t>
  </si>
  <si>
    <t>WOS:001048632700002</t>
  </si>
  <si>
    <t>Frasheri, I; Tsakiridou, ND; Hickel, R; Folwaczny, M</t>
  </si>
  <si>
    <t>Frasheri, Iris; Tsakiridou, Nikoletta Dimitra; Hickel, Reinhard; Folwaczny, Matthias</t>
  </si>
  <si>
    <t>The molecular weight of hyaluronic acid influences metabolic activity and osteogenic differentiation of periodontal ligament cells</t>
  </si>
  <si>
    <t>CLINICAL ORAL INVESTIGATIONS</t>
  </si>
  <si>
    <t>Periodontal ligament; Osteogenesis; Osteogenic differentiation; Hyaluronan; Molecular weight</t>
  </si>
  <si>
    <t>GLYCOSAMINOGLYCANS; PROLIFERATION; FIBROBLASTS; ESTABLISHMENT; ENHANCEMENT</t>
  </si>
  <si>
    <t>ObjectiveWhile HA is present naturally in periodontal tissues, its molecular weight can vary widely in vivo. The objective of this study was to directly compare the biological reactions of periodontal ligament cells to four distinct molecular weights of hyaluronic acid (HA).Materials and methodsImmortalized human periodontal ligament cells (PDL-hTERT) were cultured for 21 days in culture medium alone (control) or enriched with osteogenic supplements (OS group). Other 4 experimental groups were cultured in OS medium with the addition of HA with different molecular weights (HMW, MMW, LMW, and ULMW). The cell morphology was examined daily. WST1 assays were performed to evaluate metabolic activity. Von Kossa staining and calcium deposition assay were used to analyze osteogenic differentiation and mineralization.ResultsCell morphology remained unaltered in all groups. Cells stimulated with OS alone or with the addition of hyaluronan showed all the typical microscopic appearance of osteogenic differentiation. Metabolic activity increased in all groups over time. Hyaluronan stimulated greater metabolic activity than the control group, with LMW HA and MMW HA showing the most significant increase. All groups showed mineral deposits and calcium deposition after 21 days of stimulation.ConclusionOur results suggest that hyaluronan can promote metabolic activity and mineralization of PDL-hTERT cells, with LMW HA being the most effective.</t>
  </si>
  <si>
    <t>[Frasheri, Iris; Tsakiridou, Nikoletta Dimitra; Hickel, Reinhard; Folwaczny, Matthias] Ludwig Maximilians Univ Munchen, Univ Hosp, Dept Conservat Dent &amp; Periodontol, LMU Munich, Goethestr 70, D-80336 Munich, Germany</t>
  </si>
  <si>
    <t>Frasheri, I (corresponding author), Ludwig Maximilians Univ Munchen, Univ Hosp, Dept Conservat Dent &amp; Periodontol, LMU Munich, Goethestr 70, D-80336 Munich, Germany.</t>
  </si>
  <si>
    <t>irisfrasheri@yahoo.it</t>
  </si>
  <si>
    <t>1432-6981</t>
  </si>
  <si>
    <t>1436-3771</t>
  </si>
  <si>
    <t>CLIN ORAL INVEST</t>
  </si>
  <si>
    <t>Clin. Oral Investig.</t>
  </si>
  <si>
    <t>10.1007/s00784-023-05202-z</t>
  </si>
  <si>
    <t>P4LP1</t>
  </si>
  <si>
    <t>WOS:001050380600002</t>
  </si>
  <si>
    <t>Gaiotto, D; Johnson-Freyd, T</t>
  </si>
  <si>
    <t>Gaiotto, Davide; Johnson-Freyd, Theo</t>
  </si>
  <si>
    <t>Mock modularity and a secondary elliptic genus</t>
  </si>
  <si>
    <t>Anomalies in Field and String Theories; Sigma Models; Supersymmetry and Duality; Supersymmetry Breaking</t>
  </si>
  <si>
    <t>The theory of Topological Modular Forms suggests the existence of deformation invariants for two-dimensional supersymmetric field theories that are more refined than the standard elliptic genus. In this note we give a physical definition of some of these invariants. The theory of mock modular forms makes a surprise appearance, shedding light on the integrality properties of some well-known examples.</t>
  </si>
  <si>
    <t>[Gaiotto, Davide; Johnson-Freyd, Theo] Perimeter Inst Theoret Phys, 31 Caroline St N, Waterloo, ON N2L 2Y5, Canada</t>
  </si>
  <si>
    <t>Perimeter Institute for Theoretical Physics</t>
  </si>
  <si>
    <t>Gaiotto, D (corresponding author), Perimeter Inst Theoret Phys, 31 Caroline St N, Waterloo, ON N2L 2Y5, Canada.</t>
  </si>
  <si>
    <t>dgaiotto@perimeterinstitute.ca; tjohnsonfreyd@perimeterinstitute.ca</t>
  </si>
  <si>
    <t>10.1007/JHEP08(2023)094</t>
  </si>
  <si>
    <t>WOS:001050076700004</t>
  </si>
  <si>
    <t>Gerfer, S; Kuhn, E; Wahlers, T; Luehr, M</t>
  </si>
  <si>
    <t>Gerfer, Stephen; Kuhn, Elmar; Wahlers, Thorsten; Luehr, Maximilian</t>
  </si>
  <si>
    <t>Apixaban fails as anticoagulant in patients with mechanical aortic valves-PROACT-Xa study</t>
  </si>
  <si>
    <t>ZEITSCHRIFT FUR HERZ THORAX UND GEFASSCHIRURGIE</t>
  </si>
  <si>
    <t>CLINICAL-TRIAL; WARFARIN</t>
  </si>
  <si>
    <t>[Gerfer, Stephen; Kuhn, Elmar; Wahlers, Thorsten; Luehr, Maximilian] Univ Cologne, Herzzentrum, Klin Herzchirurg Herzchirurg Intens Med &amp; Thoraxch, Cologne, Germany; [Gerfer, Stephen] Univ Cologne, Herzzentrum, Klin Herzchirurg Herzchirurg Intens Med &amp; Thoraxch, Kerpener Str 62, D-50937 Cologne, Germany</t>
  </si>
  <si>
    <t>University of Cologne; University of Cologne</t>
  </si>
  <si>
    <t>Gerfer, S (corresponding author), Univ Cologne, Herzzentrum, Klin Herzchirurg Herzchirurg Intens Med &amp; Thoraxch, Kerpener Str 62, D-50937 Cologne, Germany.</t>
  </si>
  <si>
    <t>stephen.gerfer@uk-koeln.de</t>
  </si>
  <si>
    <t>Luehr, Maximilian/AAX-7027-2020</t>
  </si>
  <si>
    <t>Luehr, Maximilian/0000-0002-0645-1764</t>
  </si>
  <si>
    <t>0930-9225</t>
  </si>
  <si>
    <t>1435-1277</t>
  </si>
  <si>
    <t>Z HERZ THORAX GEFASS</t>
  </si>
  <si>
    <t>Z. Herz Thorax Gefasschir.</t>
  </si>
  <si>
    <t>10.1007/s00398-023-00603-4</t>
  </si>
  <si>
    <t>P4LX8</t>
  </si>
  <si>
    <t>WOS:001050389300001</t>
  </si>
  <si>
    <t>Grassmann, C; Decius, J</t>
  </si>
  <si>
    <t>Grassmann, Carolin; Decius, Julian</t>
  </si>
  <si>
    <t>Self-development in the twenty-first century: An exploratory analysis of the relationship between new work characteristics and informal workplace learning</t>
  </si>
  <si>
    <t>Digitalization; Dissolution of boundaries; Informal workplace learning; Learning climate; New work; Relevance of work</t>
  </si>
  <si>
    <t>JOB; CONSERVATION; CONSTRUCTION; ANTECEDENTS; INSTRUMENT; RESOURCES; EMPLOYEES; BEHAVIOR; CLIMATE; GENDER</t>
  </si>
  <si>
    <t>This article in the journal Gruppe. Interaktion. Organisation. (GIO) presents the results of an exploratory study on the relationship between new work characteristics and informal workplace learning (IWL). New ways of working drastically shaped modern workplaces, but their association with workplace learning, a key driver of organizations' success, remains unclear-little is known about whether and under which circumstances new work characteristics are related to workplace learning. Drawing on Conservation of Resources theory, we tested if new work characteristics (i.e., digitalization, flexibility, dissolution of boundaries, participation, and relevance of work) are positively related to IWL. Moreover, we assumed that learning climate positively influences the strength of the relationship between new work characteristics and IWL. We conducted an online survey involving 291 participants to test our hypotheses. We found a positive overall relationship between new work characteristics and IWL. Examining the new work characteristics in more detail, relative importance analysis showed that this overall relationship seems to be driven by relevance of work, followed by participation and dissolution of boundaries. Digitalization and flexibility showed only weak relationships with IWL. Contrary to our assumption, learning climate did not strengthen the new work characteristics-IWL relationship. Our study introduces new work characteristics as an antecedent of IWL and speaks to their overall benefits for IWL. However, our findings suggest that new work might not be studied as a unified concept, but rather separately for its different characteristics. We hope to inspire further research to help organizations and employees to capitalize on the effects of new work characteristics.</t>
  </si>
  <si>
    <t>[Grassmann, Carolin] VICTORIA Int Univ Appl Sci, Bernburger Str 24-25, D-10963 Berlin, Germany; [Decius, Julian] Univ Bremen, Fac Business Studies &amp; Econ, Bremen, Germany</t>
  </si>
  <si>
    <t>University of Bremen</t>
  </si>
  <si>
    <t>Grassmann, C (corresponding author), VICTORIA Int Univ Appl Sci, Bernburger Str 24-25, D-10963 Berlin, Germany.</t>
  </si>
  <si>
    <t>carolin.grassmann@victoria-hochschule.de; julian.decius@uni-bremen.de</t>
  </si>
  <si>
    <t>Decius, Julian/0000-0003-2361-6054</t>
  </si>
  <si>
    <t>10.1007/s11612-023-00702-8</t>
  </si>
  <si>
    <t>P2RV2</t>
  </si>
  <si>
    <t>WOS:001049172000001</t>
  </si>
  <si>
    <t>Guo, X; Wang, YJ; Zha, L; Li, H; Qian, K</t>
  </si>
  <si>
    <t>Guo, Xiong; Wang, Yujun; Zha, Lang; Li, Hui; Qian, Kun</t>
  </si>
  <si>
    <t>DNA methylation-related lncRNAs predict prognosis and immunotherapy response in gastric cancer</t>
  </si>
  <si>
    <t>Gastric cancer; DNA methylation; lncRNA; Prognosis; Tumor microenvironment</t>
  </si>
  <si>
    <t>CELLS</t>
  </si>
  <si>
    <t>BackgroundLncRNAs and DNA methylation are both key regulators of tumorigenesis and immune regulation. However, the interaction between lncRNA and DNA methylation, their regulation and their clinical and immune relevance in gastric cancer (GC) remain unclear.MethodsIn this study, we identified DNA methylation regulator-related lncRNAs through Pearson correlation analysis in The Cancer Genome Atlas datasets. Univariate Cox regression was used to screen DNA methylationrelated prognostic lncRNAs. Further, through least absolute shrinkage and selection operator Cox regression, a prognostic model based on 13 lncRNAs was established. Survival analysis and receiver operating characteristic curve analysis verified the accuracy of the model in predicting the survival of GC patients. Univariate and multivariate analyses also confirmed that the risk score obtained from the risk model could be applied as an independent prognostic factor for patients with GC. Furthermore, based on the risk score and other clinicopathological characteristics that can be used as independent prognostic factors, we constructed a nomogram that could accurately determine the survival time of each patient. In addition, a lncRNA score was constructed using a principal component analysis algorithm to quantify the DNA methylation-related lncRNA expression patterns of individual tumors.ResultsWe found that a higher lncRNA score indicated a worse the prognosis and was associated with a reduced tumor mutation burden and immunosuppression. A low lncRNA score was related to an increase in neoantigen load and an increase in the anti-PDL1/CTLA4 immunotherapy response. Additionally, a low lncRNA score was related to a significant therapeutic advantage and clinical benefit.ConclusionsThis study describes a DNA methylation regulator-related lncRNA signature model, which provides a new approach for predicting therapeutic response and patient stratification in GC. Assessing lncRNA expression patterns in individual tumors will contribute to enhancing our understanding of tumor microenvironment infiltration and guide more effective immunotherapy strategies.</t>
  </si>
  <si>
    <t>[Guo, Xiong; Zha, Lang; Li, Hui; Qian, Kun] Chongqing Med Univ, Affiliated Hosp 1, Dept Gastrointestinal Surg, Chongqing, Peoples R China; [Wang, Yujun] Army Mil Med Univ, Daping Hosp, Dept Pathol, Chongqing 400042, Peoples R China</t>
  </si>
  <si>
    <t>Chongqing Medical University; Army Medical University</t>
  </si>
  <si>
    <t>Qian, K (corresponding author), Chongqing Med Univ, Affiliated Hosp 1, Dept Gastrointestinal Surg, Chongqing, Peoples R China.</t>
  </si>
  <si>
    <t>hxjsqk@hotmail.com</t>
  </si>
  <si>
    <t>academic leader Reserve Talent Fund project of the First AffiliatedHospital of Chongqing Medical University [03010203XKTS085]</t>
  </si>
  <si>
    <t>academic leader Reserve Talent Fund project of the First AffiliatedHospital of Chongqing Medical University</t>
  </si>
  <si>
    <t>This work was supported by the academic leader Reserve Talent Fund project of the First AffiliatedHospital of Chongqing Medical University (03010203XKTS085).</t>
  </si>
  <si>
    <t>10.1007/s00432-023-05234-8</t>
  </si>
  <si>
    <t>P3YS1</t>
  </si>
  <si>
    <t>WOS:001050042600002</t>
  </si>
  <si>
    <t>Heine, GH</t>
  </si>
  <si>
    <t>Heine, Gunnar Henrik</t>
  </si>
  <si>
    <t>CKD G 3-5: anticoagulation with atrial fibrillation and venous thromboembolism</t>
  </si>
  <si>
    <t>KARDIOLOGIE</t>
  </si>
  <si>
    <t>Chronic kidney disease; Ischemia; Hemorrhage; Vitamin K antagonist; Direct oral anticoagulants</t>
  </si>
  <si>
    <t>WARFARIN; APIXABAN; HEMODIALYSIS; DABIGATRAN</t>
  </si>
  <si>
    <t>The decision about anticoagulation in patients with chronic kidney disease (CKD) and atrial fibrillation is difficult as such patients have a clearly elevated risk for bleeding and thrombotic events. There is an evidence-based consensus that anticoagulation with direct oral anticoagulants (DOAC) is indicated in CKD grade 3 a/b if the CHADS2VA2SC score is =2 (men) and =3 (women); patients with mechanical valve replacement or with moderate to severe mitral valve stenosis require vitamin K antagonists (VKA). A similar procedure is suggested for patients with CKD grade 4. In dialysis patients the indications for anticoagulation are highly controversial as the benefits (reduction of ischemic events) are uncertain and the risk (bleeding) is substantially higher than among patients who are not dialysis dependent. When the decision for anticoagulation is made in dialysis patients, in most cases dose-adapted DOACs are superior to VKAs.</t>
  </si>
  <si>
    <t>[Heine, Gunnar Henrik] Agaples Markus Krankenhaus, Med Klin 2, Frankfurt, Germany; [Heine, Gunnar Henrik] Univ Saarland, Homburg, Germany; [Heine, Gunnar Henrik] Agaples Markus Krankenhaus, Med Klin 2, Wilhelm Epstein Str 4, D-60431 Frankfurt, Germany</t>
  </si>
  <si>
    <t>University of Hamburg; University Medical Center Hamburg-Eppendorf; Saarland University; University of Hamburg; University Medical Center Hamburg-Eppendorf</t>
  </si>
  <si>
    <t>Heine, GH (corresponding author), Agaples Markus Krankenhaus, Med Klin 2, Wilhelm Epstein Str 4, D-60431 Frankfurt, Germany.</t>
  </si>
  <si>
    <t>gunnar.heine@agaplesion.de</t>
  </si>
  <si>
    <t>2731-7129</t>
  </si>
  <si>
    <t>2731-7137</t>
  </si>
  <si>
    <t>Kardiologie</t>
  </si>
  <si>
    <t>10.1007/s12181-023-00633-0</t>
  </si>
  <si>
    <t>P5NG8</t>
  </si>
  <si>
    <t>WOS:001051137000001</t>
  </si>
  <si>
    <t>Jin, XJ; Yang, JP; Xu, LW; Wei, CF; Wang, ZR; Yin, GD</t>
  </si>
  <si>
    <t>Jin, Xianjian; Yang, Junpeng; Xu, Liwei; Wei, Chongfeng; Wang, Zhaoran; Yin, Guodong</t>
  </si>
  <si>
    <t>Combined Estimation of Vehicle Dynamic State and Inertial Parameter for Electric Vehicles Based on Dual Central Difference Kalman Filter Method</t>
  </si>
  <si>
    <t>CHINESE JOURNAL OF MECHANICAL ENGINEERING</t>
  </si>
  <si>
    <t>Distributed drive; Electric vehicle; State observation; Inertial parameter; Dual central difference Kalman filter</t>
  </si>
  <si>
    <t>GRAVITY POSITION; STEERING SYSTEM; SIDESLIP ANGLE; FUZZY CONTROL; SLIP ANGLE; MODEL</t>
  </si>
  <si>
    <t>Distributed drive electric vehicles (DDEVs) possess great advantages in the viewpoint of fuel consumption, environment protection and traffic mobility. Whereas the effects of inertial parameter variation in DDEV control system become much more pronounced due to the drastic reduction of vehicle weights and body size, and inertial parameter has seldom been tackled and systematically estimated. This paper presents a dual central difference Kalman filter (DCDKF) where two Kalman filters run in parallel to simultaneously estimate vehicle different dynamic states and inertial parameters, such as vehicle sideslip angle, vehicle mass, vehicle yaw moment of inertia, the distance from the front axle to centre of gravity. The proposed estimation method only integrates and utilizes real-time measurements of hub torque information and other in-vehicle sensors from standard DDEVs. The four-wheel nonlinear vehicle dynamics estimation model considering payload variations, Pacejka tire model, wheel and motor dynamics model is developed, the observability of the DCDKF observer is analysed and derived via Lie derivative and differential geometry theory. To address system nonlinearities in vehicle dynamics estimation, the DCDKF and dual extended Kalman filter (DEKF) are also investigated and compared. Simulation with various maneuvers are carried out to verify the effectiveness of the proposed method using Matlab/Simulink-Carsim(&amp; REG;). The results show that the proposed DCDKF method can effectively estimate vehicle dynamic states and inertial parameters despite the existence of payload variations and variable driving conditions. This research provides a boot-strapping procedure which can performs optimal estimation to estimate simultaneously vehicle system state and inertial parameter with high accuracy and real-time ability.</t>
  </si>
  <si>
    <t>[Jin, Xianjian; Yang, Junpeng; Wang, Zhaoran] Shanghai Univ, Sch Mechatron Engn &amp; Automat, Shanghai 200072, Peoples R China; [Jin, Xianjian] Jilin Univ, State Key Lab Automot Simulat &amp; Control, Changchun 130025, Peoples R China; [Xu, Liwei; Yin, Guodong] Southeast Univ, Sch Mech Engn, Nanjing 211189, Peoples R China; [Wei, Chongfeng] Northumbria Univ, Mech &amp; Construct Engn, Newcastle Upon Tyne NE1 8ST, England</t>
  </si>
  <si>
    <t>Shanghai University; Jilin University; Southeast University - China; Northumbria University</t>
  </si>
  <si>
    <t>Jin, XJ (corresponding author), Shanghai Univ, Sch Mechatron Engn &amp; Automat, Shanghai 200072, Peoples R China.;Jin, XJ (corresponding author), Jilin Univ, State Key Lab Automot Simulat &amp; Control, Changchun 130025, Peoples R China.</t>
  </si>
  <si>
    <t>xianjianjin@shu.edu.cn</t>
  </si>
  <si>
    <t>1000-9345</t>
  </si>
  <si>
    <t>2192-8258</t>
  </si>
  <si>
    <t>CHIN J MECH ENG-EN</t>
  </si>
  <si>
    <t>Chin. J. Mech. Eng.</t>
  </si>
  <si>
    <t>10.1186/s10033-023-00914-5</t>
  </si>
  <si>
    <t>P3DM3</t>
  </si>
  <si>
    <t>WOS:001049480200002</t>
  </si>
  <si>
    <t>Kim, M; Hwang, S; Kim, B; Shin, S; Yang, S; Gwak, J; Jeong, SM</t>
  </si>
  <si>
    <t>Kim, Minjoong; Hwang, Sunsook; Kim, Byungjoo; Shin, Seungmin; Yang, Seungyeon; Gwak, Jihye; Jeong, Seung Min</t>
  </si>
  <si>
    <t>YAP governs cellular adaptation to perturbation of glutamine metabolism by regulating ATF4-mediated stress response</t>
  </si>
  <si>
    <t>SIGNALING PATHWAY; MTORC1; PROLIFERATION; ACTIVATION; YAP/TAZ</t>
  </si>
  <si>
    <t>Proliferating cells have metabolic dependence on glutamine to fuel anabolic pathways and to refill the mitochondrial carbon pool. The Hippo pathway is essential for coordinating cell survival and growth with nutrient availability, but no molecular connection to glutamine deprivation has been reported. Here, we identify a non-canonical role of YAP, a key effector of the Hippo pathway, in cellular adaptation to perturbation of glutamine metabolism. Whereas YAP is inhibited by nutrient scarcity, enabling cells to restrain proliferation and to maintain energy homeostasis, glutamine shortage induces a rapid YAP dephosphorylation and activation. Upon glutaminolysis inhibition, an increased reactive oxygen species production inhibits LATS kinase via RhoA, leading to YAP dephosphorylation. Activated YAP promotes transcriptional induction of ATF4 to induce the expression of genes involved in amino acid homeostasis, including Sestrin2. We found that YAP-mediated Sestrin2 induction is crucial for cell viability during glutamine deprivation by suppressing mTORC1. Thus, a critical relationship between YAP, ATF4, and mTORC1 is uncovered by our findings. Finally, our data indicate that targeting the Hippo-YAP pathway in combination with glutaminolysis inhibition may provide potential therapeutic approaches to treat tumors.</t>
  </si>
  <si>
    <t>[Kim, Minjoong; Hwang, Sunsook; Kim, Byungjoo; Shin, Seungmin; Yang, Seungyeon; Gwak, Jihye; Jeong, Seung Min] Catholic Univ Korea, Dept Biochem Inst Aging &amp; Metab Dis, Coll Med, Dept Biomed &amp; Hlth Sci, 222 Banpo Daero, Seoul 06591, South Korea</t>
  </si>
  <si>
    <t>Catholic University of Korea</t>
  </si>
  <si>
    <t>Jeong, SM (corresponding author), Catholic Univ Korea, Dept Biochem Inst Aging &amp; Metab Dis, Coll Med, Dept Biomed &amp; Hlth Sci, 222 Banpo Daero, Seoul 06591, South Korea.</t>
  </si>
  <si>
    <t>smjeong@catholic.ac.kr</t>
  </si>
  <si>
    <t>Jeong, Seung Min/0000-0002-9787-2539</t>
  </si>
  <si>
    <t>Basic Science Research Program through the National Research Foundation of Korea - Korean Government [2022R1F1A1066394, RS-2023-00244737]; Basic Science Research Program through the National Research Foundation of Korea - Ministry of Education [2022R1A6A3A13068164]</t>
  </si>
  <si>
    <t>Basic Science Research Program through the National Research Foundation of Korea - Korean Government(National Research Foundation of Korea); Basic Science Research Program through the National Research Foundation of Korea - Ministry of Education(Ministry of Education (MOE), Republic of KoreaNational Research Foundation of Korea)</t>
  </si>
  <si>
    <t>This research was supported by Basic Science Research Program through the National Research Foundation of Korea funded by the Korean Government (2022R1F1A1066394 and RS-2023-00244737). M.K. was supported in part by Basic Science Research Program through the National Research Foundation of Korea funded by the Ministry of Education (2022R1A6A3A13068164).</t>
  </si>
  <si>
    <t>10.1038/s41388-023-02811-6</t>
  </si>
  <si>
    <t>R8LF0</t>
  </si>
  <si>
    <t>WOS:001050044400001</t>
  </si>
  <si>
    <t>Liu, CY; Xu, PC; Shao, S; Wang, F; Zheng, ZW; Li, SJ; Liu, W; Li, GY</t>
  </si>
  <si>
    <t>Liu, Chengyi; Xu, Pengcheng; Shao, Song; Wang, Fang; Zheng, Zhiwen; Li, Shuangjie; Liu, Wei; Li, Guangyuan</t>
  </si>
  <si>
    <t>The value of urinary exosomal lncRNA SNHG16 as a diagnostic biomarker for bladder cancer</t>
  </si>
  <si>
    <t>Urine exosome; lncRNA SNHG16; Diagnosis; Biomarker; Bladder cancer</t>
  </si>
  <si>
    <t>CELL; PROLIFERATION; EXPRESSION; GUIDELINES; PROMOTES; CYTOLOGY; NMP22</t>
  </si>
  <si>
    <t>ObjectiveTo detect the expression level of urinary exosomal lncRNA SNHG16 in patients with bladder cancer and healthy individuals and explore its clinical application value in the diagnosis of bladder cancer.MethodsUrine samples were collected from 42 patients with bladder cancer and 42 healthy volunteers who visited Lu'an Hospital of Anhui Medical University and the Second Hospital of Tianjin Medical University from January 2020 to December 2022. The expression levels of lncRNA SNHG16 in urinary exosomes of the two groups were detected by RT-qPCR, and their correlation with clinical pathological parameters of bladder cancer patients was analysed. An Receiver Operating Characteristic(ROC) curve was drawn to analyse the diagnostic value of urinary exosomal lncRNA SNHG16 for bladder cancer and compared with urinary cytology.ResultsThe expression of urinary exosomal lncRNA SNHG16 in patients with bladder cancer was significantly higher (P &lt; 0.05), and the expression level had no correlation with the age, sex, pathological T stage, pathological grade, or tumour size of bladder cancer patients (P &gt; 0.05). The Area Under Curve(AUC) of urinary exosomal lncRNA SNHG16 in diagnosing bladder cancer was 0.791, which was superior to that of urinary cytology (AUC = 0.597).ConclusionUrinary exosomal lncRNA SNHG16 with high expression can serve as a potential diagnostic biological marker for bladder cancer.</t>
  </si>
  <si>
    <t>[Liu, Chengyi; Xu, Pengcheng; Li, Shuangjie; Liu, Wei; Li, Guangyuan] Luan Hosp Anhui Med Univ, Luan Peoples Hosp Anhui Prov, Dept Urol, 21, Wanxi West Rd, Luan 237000, Anhui, Peoples R China; [Li, Guangyuan] Anhui Med Univ, Anhui Publ Hlth Clin Ctr, Affiliated Hosp 1, An Hui Sheng, Peoples R China; [Shao, Song] Anhui Med Univ, Luan Peoples Hosp Anhui Prov, Dept Orthopaed, Luan Hosp, Luan 237000, Peoples R China; [Wang, Fang] Anhui Med Univ, Luan Peoples Hosp Anhui Prov, Dept Pharm, Luan Hosp, Luan 237000, Peoples R China; [Zheng, Zhiwen] Tianjin Med Univ, Tianjin Inst Urol, Dept Urol, Hosp 2, Tianjin 300211, Peoples R China</t>
  </si>
  <si>
    <t>Anhui Medical University; Anhui Medical University; Anhui Medical University; Tianjin Medical University</t>
  </si>
  <si>
    <t>Li, GY (corresponding author), Luan Hosp Anhui Med Univ, Luan Peoples Hosp Anhui Prov, Dept Urol, 21, Wanxi West Rd, Luan 237000, Anhui, Peoples R China.;Li, GY (corresponding author), Anhui Med Univ, Anhui Publ Hlth Clin Ctr, Affiliated Hosp 1, An Hui Sheng, Peoples R China.</t>
  </si>
  <si>
    <t>liguangyuan202288@163.com</t>
  </si>
  <si>
    <t>10.1007/s11033-023-08667-z</t>
  </si>
  <si>
    <t>P6MC7</t>
  </si>
  <si>
    <t>hybrid, Green Published</t>
  </si>
  <si>
    <t>WOS:001051788000004</t>
  </si>
  <si>
    <t>Ouyang, KB; Yang, ZF; Yang, YS; Wang, JJ; Wu, DQ; Li, Y</t>
  </si>
  <si>
    <t>Ouyang, Kaibo; Yang, Zifeng; Yang, Yuesheng; Wang, Junjiang; Wu, Deqing; Li, Yong</t>
  </si>
  <si>
    <t>Which treatment strategy is optimal for acute left-sided malignant colonic obstruction? A Bayesian meta-analysis</t>
  </si>
  <si>
    <t>Acute left-sided malignant colonic obstruction; Self-expanding metallic stent; Transanal drainage tube; Decompressive stoma; Bayesian network meta-analyses</t>
  </si>
  <si>
    <t>TRANSANAL-DRAINAGE-TUBE; EXPANDING METALLIC STENT; SHORT-TERM OUTCOMES; EMERGENCY-SURGERY; COLORECTAL-CANCER; ELECTIVE SURGERY; BRIDGE; INSERTION; MANAGEMENT; RESECTION</t>
  </si>
  <si>
    <t>PurposeThis study aimed to determine the best treatment for acute left-sided malignant colonic obstruction (ALMCO) among emergency surgery (ES), self-expanding metallic stent (SEMS), transanal drainage tube (TD), and decompressive stoma (DS).MethodArticles that compared two or more treatments of ALMCO were searched from PubMed, Cochrane Library, and Embase. Network meta-analyses were performed to calculate the outcomes of primary anastomosis, stoma creation, morbidity, mortality, and 5-year survival.ResultsFifty-one articles met inclusion criteria. TD was the optimal treatment in performing primary anastomosis [probability of ranking first (Pro-1) 0.96], while ES was the worst [probability of ranking fourth (Pro-4) 0.99]. More permanent stoma was formed in ES and TD groups than in SEMS and DS groups [OR (95%CI): TD vs SEMS: 4.12 (1.89, 9.45); TD vs DS: 3.39 (1.46, 8.75); ES vs DS: 2.55 (1.73, 4.17); SEMS vs ES: 0.33 (0.24, 0.42)]. More morbidity occurred in ES group than in SEMS group [OR (95%CI): ES vs SEMS: 1.44 (1.14, 1.82)]. Besides, SEMS was ranked first in avoiding infection (Pro-4 0.95). For in-hospital mortality, ES was ranked first (Pro-1 0.93). TD was ranked first in recurrence (Pro-1 0.97) and metastasis (Pro-1 0.98). There was no discrepancy in 5-year overall and disease-free survival among all strategies.ConclusionSEMS as a bridge to surgery reduces stoma formation, and morbidity especially the infection rate with relatively great oncological outcomes. Therefore, SEMS should be recommended first for ALMCO in the medical center with experience and conditions.</t>
  </si>
  <si>
    <t>[Ouyang, Kaibo; Yang, Yuesheng] Shantou Univ Med Coll, Shantou 515041, Guangdong, Peoples R China; [Ouyang, Kaibo; Yang, Zifeng; Yang, Yuesheng; Wang, Junjiang; Wu, Deqing; Li, Yong] Southern Med Univ, Guangdong Prov Peoples Hosp, Guangdong Acad Med Sci, Dept Gastrointestinal Surg,Dept Gen Surg, Guangzhou 510080, Guangdong, Peoples R China</t>
  </si>
  <si>
    <t>Shantou University; Southern Medical University - China; Guangdong Academy of Medical Sciences &amp; Guangdong General Hospital</t>
  </si>
  <si>
    <t>Wu, DQ; Li, Y (corresponding author), Southern Med Univ, Guangdong Prov Peoples Hosp, Guangdong Acad Med Sci, Dept Gastrointestinal Surg,Dept Gen Surg, Guangzhou 510080, Guangdong, Peoples R China.</t>
  </si>
  <si>
    <t>wudeqing@gdph.org.cn; liyong@gdph.org.cn</t>
  </si>
  <si>
    <t>Yang, Zifeng/M-5392-2016</t>
  </si>
  <si>
    <t>National Key Clinical Specialty Construction Project [2022YW030009]; Natural Science Foundation of Guangdong Province [2020A1515010573]</t>
  </si>
  <si>
    <t>National Key Clinical Specialty Construction Project; Natural Science Foundation of Guangdong Province(National Natural Science Foundation of Guangdong Province)</t>
  </si>
  <si>
    <t>This work was supported by the National Key Clinical Specialty Construction Project (2021-2024, No. 2022YW030009), Natural Science Foundation of Guangdong Province (2020A1515010573).</t>
  </si>
  <si>
    <t>10.1007/s00384-023-04489-4</t>
  </si>
  <si>
    <t>P3ZV9</t>
  </si>
  <si>
    <t>WOS:001050072800001</t>
  </si>
  <si>
    <t>Podili, B; Raghukanth, STG</t>
  </si>
  <si>
    <t>Podili, Bhargavi; Raghukanth, S. T. G.</t>
  </si>
  <si>
    <t>Seismic Zone Map for India Based on Cluster Analysis of Uniform Hazard Response Spectra</t>
  </si>
  <si>
    <t>PURE AND APPLIED GEOPHYSICS</t>
  </si>
  <si>
    <t>Seismic zones; India zone map; probabilistic seismic hazard analysis; uniform hazard response spectra; cluster analysis</t>
  </si>
  <si>
    <t>EARTHQUAKE GROUND-MOTION; PART I; MODEL; ATTENUATION; PREDICTION; SUBDUCTION; EQUATIONS; SEQUENCE; PGV</t>
  </si>
  <si>
    <t>A novel methodology for obtaining a seismic zone map of India is demonstrated in this study, wherein a concrete theoretical framework is provided for deriving the zones and the respective zonal response spectra. The method involves time series clustering of uniform hazard response spectra (UHRS) that were obtained for the entire country on a 0.1 &amp; DEG; x 0.1 &amp; DEG; grid by performing probabilistic analysis corresponding to a 2475-year return period. The Euclidean distance between the UHRS values at all periods (27 data points between 0.01 s and 5 s) was taken as the similarity measure in an evolutionary particle swarm optimization algorithm. The analysis was conducted with a swarm population of 100 over 3000 iterations, and the mean UHRS of the resulting clusters was assumed as the cluster centre. Various quality/validity indices including the compactness measure, similarity measure, combined measure and Dunn Index were used to verify the results of the clustering. Based on these clusters, the entire country can be divided into seven zones, with a unique zonal spectrum for each zone.</t>
  </si>
  <si>
    <t>[Podili, Bhargavi; Raghukanth, S. T. G.] Indian Inst Technol Madras, Dept Civil Engn, Chennai, India</t>
  </si>
  <si>
    <t>Indian Institute of Technology System (IIT System); Indian Institute of Technology (IIT) - Madras</t>
  </si>
  <si>
    <t>Podili, B (corresponding author), Indian Inst Technol Madras, Dept Civil Engn, Chennai, India.</t>
  </si>
  <si>
    <t>bhargavi19892@gmail.com</t>
  </si>
  <si>
    <t>0033-4553</t>
  </si>
  <si>
    <t>1420-9136</t>
  </si>
  <si>
    <t>PURE APPL GEOPHYS</t>
  </si>
  <si>
    <t>Pure Appl. Geophys.</t>
  </si>
  <si>
    <t>10.1007/s00024-023-03329-4</t>
  </si>
  <si>
    <t>Geochemistry &amp; Geophysics</t>
  </si>
  <si>
    <t>P3WI9</t>
  </si>
  <si>
    <t>WOS:001049976200001</t>
  </si>
  <si>
    <t>Song, G; Xing, LL</t>
  </si>
  <si>
    <t>Song, Ge; Xing, Lili</t>
  </si>
  <si>
    <t>Application of an energy-based design procedure in self-centering shear wall systems</t>
  </si>
  <si>
    <t>Self-centering shear wall system; Energy-based design procedure; Hysteretic energy demand; Multi-level design</t>
  </si>
  <si>
    <t>PRECAST CONCRETE WALLS; LATERAL LOAD BEHAVIOR; SEISMIC ENERGY; INPUT; PERFORMANCE; DEMAND</t>
  </si>
  <si>
    <t>Self-centering shear wall systems (SCSWSs) exhibit superior seismic capacities with low-damage and self-centering features. However, the cumulative effect under long duration earthquakes would diminish robustness of the system and lead to increased unrecoverable damage. Thus, it should be considered in seismic designs for SCSWSs. This paper applies an energy-based design procedure (EBDP) to SCSWSs in accordance with the Chinese code. A step-by-step design procedure is presented to conduct multi-level designs for SCSWSs using EBDP, while detailed explanations are elaborated corresponding to SCSWS features. A design example is presented to verify the applicability of the EBDP in SCSWSs. The performance of the designed SCSWS is then assessed and compared with a SCSWS designed by the direct displacement-based design method. Results show that the EBDP designed structure has 13% enhanced strength capacity with better controllability in the damage development. The damage index equaling to 0.35 and 0.46 are quantified with two groups of earthquakes, which consists with the performance demands. In addition, deformations are in good agreement with the design objectives, implying reasonable application of the EBDP in SCSWSs.</t>
  </si>
  <si>
    <t>[Song, Ge] Suzhou Univ Sci &amp; Technol, Sch Civil Engn, Suzhou 215009, Peoples R China; [Xing, Lili] Qingdao Univ Technol, Dept Civil Engn, Qingdao 266520, Peoples R China</t>
  </si>
  <si>
    <t>Suzhou University of Science &amp; Technology; Qingdao University of Technology</t>
  </si>
  <si>
    <t>Song, G (corresponding author), Suzhou Univ Sci &amp; Technol, Sch Civil Engn, Suzhou 215009, Peoples R China.</t>
  </si>
  <si>
    <t>gesong@usts.edu.cn</t>
  </si>
  <si>
    <t>Song, Ge/0000-0002-3199-3354; Lili, Xing/0000-0002-4017-4617</t>
  </si>
  <si>
    <t>Suzhou University of Science and Technology [332211107]</t>
  </si>
  <si>
    <t>Suzhou University of Science and Technology</t>
  </si>
  <si>
    <t>The authors are grateful for the financial support received from Suzhou University of Science and Technology (Grant No. 332211107).</t>
  </si>
  <si>
    <t>10.1007/s10518-023-01757-0</t>
  </si>
  <si>
    <t>WOS:001049910400001</t>
  </si>
  <si>
    <t>Strauss, AT; Suh, DC; Galbraith, K; Coker, SM; Schroeder, K; Brandon, C; Warburton, EM; Yabsley, MJ; Cleveland, CA</t>
  </si>
  <si>
    <t>Strauss, Alexander T.; Suh, Daniel C.; Galbraith, Kate; Coker, Sarah M.; Schroeder, Katie; Brandon, Christopher; Warburton, Elizabeth M.; Yabsley, Michael J.; Cleveland, Christopher A.</t>
  </si>
  <si>
    <t>Mysterious microsporidians: springtime outbreaks of disease in Daphnia communities in shallow pond ecosystems (Jul, 10.1007/s00442-023-05421-x, 2023)</t>
  </si>
  <si>
    <t>OECOLOGIA</t>
  </si>
  <si>
    <t>[Strauss, Alexander T.; Suh, Daniel C.; Galbraith, Kate; Schroeder, Katie; Brandon, Christopher; Warburton, Elizabeth M.] Univ Georgia, Odum Sch Ecol, Athens, GA 30602 USA; [Strauss, Alexander T.; Suh, Daniel C.; Warburton, Elizabeth M.; Yabsley, Michael J.; Cleveland, Christopher A.] Univ Georgia, Ctr Ecol Infect Dis, Athens, GA 30602 USA; [Strauss, Alexander T.] Univ Georgia, River Basin Ctr, Athens, GA 30602 USA; [Coker, Sarah M.; Yabsley, Michael J.; Cleveland, Christopher A.] Univ Georgia, Coll Vet Med, Southeastern Cooperat Wildlife Dis Study, Athens, GA USA; [Yabsley, Michael J.] Univ Georgia, Warnell Sch Forestry &amp; Nat Resources, Athens, GA USA</t>
  </si>
  <si>
    <t>University System of Georgia; University of Georgia; University System of Georgia; University of Georgia; University System of Georgia; University of Georgia; University System of Georgia; University of Georgia; University System of Georgia; University of Georgia</t>
  </si>
  <si>
    <t>Strauss, AT (corresponding author), Univ Georgia, Odum Sch Ecol, Athens, GA 30602 USA.;Strauss, AT (corresponding author), Univ Georgia, Ctr Ecol Infect Dis, Athens, GA 30602 USA.;Strauss, AT (corresponding author), Univ Georgia, River Basin Ctr, Athens, GA 30602 USA.</t>
  </si>
  <si>
    <t>atstrauss@uga.edu; daniel.suh@uga.edu; kseader@uga.edu; cokersm6866@gmail.com; k.schroeder@uga.edu; christopher.brandon@uga.edu; ewarburton@uga.edu; myabsley@uga.edu; ccleve@uga.edu</t>
  </si>
  <si>
    <t>Cleveland, Christopher/0000-0002-5437-4011; Yabsley, Michael/0000-0003-2452-5015</t>
  </si>
  <si>
    <t>0029-8549</t>
  </si>
  <si>
    <t>1432-1939</t>
  </si>
  <si>
    <t>Oecologia</t>
  </si>
  <si>
    <t>10.1007/s00442-023-05432-8</t>
  </si>
  <si>
    <t>Ecology</t>
  </si>
  <si>
    <t>P4NI0</t>
  </si>
  <si>
    <t>WOS:001050425500001</t>
  </si>
  <si>
    <t>Suganya, K; Vasanthrao, R; Chattopadhyay, I</t>
  </si>
  <si>
    <t>Suganya, K.; Vasanthrao, Ramavath; Chattopadhyay, Indranil</t>
  </si>
  <si>
    <t>Impact of environment on transmission of antibiotic-resistant superbugs in humans and strategies to lower dissemination of antibiotic resistance</t>
  </si>
  <si>
    <t>FOLIA MICROBIOLOGICA</t>
  </si>
  <si>
    <t>Antibiotic resistance genes; Transmission; Environments; Novel therapeutics; Metagenomics</t>
  </si>
  <si>
    <t>WASTE-WATER TREATMENT; VETERINARY ANTIBIOTICS; TREATMENT-PLANT; EXTRACELLULAR DNA; GENES; SOIL; BACTERIA; REMOVAL; CHLORTETRACYCLINE; MANURE</t>
  </si>
  <si>
    <t>Antibiotics are the most efficient type of therapy developed in the twentieth century. From the early 1960s to the present, the rate of discovery of new and therapeutically useful classes of antibiotics has significantly decreased. As a result of antibiotic use, novel strains emerge that limit the efficiency of therapies in patients, resulting in serious consequences such as morbidity or mortality, as well as clinical difficulties. Antibiotic resistance has created major concern and has a greater impact on global health. Horizontal and vertical gene transfers are two mechanisms involved in the spread of antibiotic resistance genes (ARGs) through environmental sources such as wastewater treatment plants, agriculture, soil, manure, and hospital-associated area discharges. Mobile genetic elements have an important part in microbe selection pressure and in spreading their genes into new microbial communities; additionally, it establishes a loop between the environment, animals, and humans. This review contains antibiotics and their resistance mechanisms, diffusion of ARGs, prevention of ARG transmission, tactics involved in microbiome identification, and therapies that aid to minimize infection, which are explored further below. The emergence of ARGs and antibiotic-resistant bacteria (ARB) is an unavoidable threat to global health. The discovery of novel antimicrobial agents derived from natural products shifts the focus from chemical modification of existing antibiotic chemical composition. In the future, metagenomic research could aid in the identification of antimicrobial resistance genes in the environment. Novel therapeutics may reduce infection and the transmission of ARGs.</t>
  </si>
  <si>
    <t>[Suganya, K.; Vasanthrao, Ramavath; Chattopadhyay, Indranil] Cent Univ Tamil Nadu, Sch Life Sci, Dept Biotechnol, Thiruvarur 610101, India</t>
  </si>
  <si>
    <t>Central University of Tamil Nadu</t>
  </si>
  <si>
    <t>Chattopadhyay, I (corresponding author), Cent Univ Tamil Nadu, Sch Life Sci, Dept Biotechnol, Thiruvarur 610101, India.</t>
  </si>
  <si>
    <t>indranilchattopadhyay2020@gmail.com</t>
  </si>
  <si>
    <t>Chattopadhyay, Indranil/0000-0002-0191-2621</t>
  </si>
  <si>
    <t>0015-5632</t>
  </si>
  <si>
    <t>1874-9356</t>
  </si>
  <si>
    <t>FOLIA MICROBIOL</t>
  </si>
  <si>
    <t>Folia Microbiol.</t>
  </si>
  <si>
    <t>10.1007/s12223-023-01083-7</t>
  </si>
  <si>
    <t>P4MF4</t>
  </si>
  <si>
    <t>WOS:001050396900001</t>
  </si>
  <si>
    <t>Taubman, DS; Parikh, SV</t>
  </si>
  <si>
    <t>Taubman, Danielle S.; Parikh, Sagar V.</t>
  </si>
  <si>
    <t>Understanding and Addressing Mental Health Disorders: a Workplace Imperative</t>
  </si>
  <si>
    <t>CURRENT PSYCHIATRY REPORTS</t>
  </si>
  <si>
    <t>Workplace mental health; Employee mental health; Depression and anxiety; Workplace interventions; Mental health services</t>
  </si>
  <si>
    <t>MAJOR DEPRESSIVE DISORDER; WORK DISABILITY; JOB-PERFORMANCE; ILLNESS; INTERVENTIONS; RETIREMENT; DISCLOSURE; IMPACT; STIGMA; US</t>
  </si>
  <si>
    <t>Purpose of ReviewThis article seeks to provide a broad overview of the workplace mental health literature, highlight practical implications of current research, and formulate key recommendations for stakeholders. Various aspects of disability related to mental health disorders, their associated financial costs, and the impact of stigma are covered. This article also discusses key strategies for assessing mental health problems among employees and reviews different types of interventions in the workplace.Recent FindingsWorkplace mental health is an evolving area, particularly in the wake of the pandemic. While established national workplace mental health standards do not currently exist, mental illness continues to have a severe impact on the health of organizations, employees, and the economy. Additional research is needed to fully understand and address the diversity of mental health needs among the broad range of employees and organizations across the USA.Employers have a responsibility and an opportunity to create workplaces that support the whole person, not just the employee. While research in the area has increased in the last decade, there is still much to learn in terms of the most effective ways to support our workforce.</t>
  </si>
  <si>
    <t>[Taubman, Danielle S.; Parikh, Sagar V.] Univ Michigan, Ann Arbor, MI 48109 USA</t>
  </si>
  <si>
    <t>Parikh, SV (corresponding author), Univ Michigan, Ann Arbor, MI 48109 USA.</t>
  </si>
  <si>
    <t>parikhsa@med.umich.edu</t>
  </si>
  <si>
    <t>1523-3812</t>
  </si>
  <si>
    <t>1535-1645</t>
  </si>
  <si>
    <t>CURR PSYCHIAT REP</t>
  </si>
  <si>
    <t>Curr. Psychiatry Rep.</t>
  </si>
  <si>
    <t>10.1007/s11920-023-01443-7</t>
  </si>
  <si>
    <t>P3UE7</t>
  </si>
  <si>
    <t>WOS:001049919900001</t>
  </si>
  <si>
    <t>Yu, D; Dong, S; Liu, Q; Jia, WY; Gao, FM; Wang, YT</t>
  </si>
  <si>
    <t>Yu, Dan; Dong, Seng; Liu, Qian; Jia, Weiyi; Gao, Faming; Wang, Yatao</t>
  </si>
  <si>
    <t>PdM (M = Fe, Co, Ni) bimetallic nanowires enhances oxygen reduction catalysis in acid medium</t>
  </si>
  <si>
    <t>Bimetallic; Nanowires; Oxygen reduction reaction; Platinum-free electrocatalysts</t>
  </si>
  <si>
    <t>ELECTROCATALYSTS; NANOPARTICLES; SURFACE; ALLOY; PLATINUM</t>
  </si>
  <si>
    <t>The preparation of platinum-free electrocatalysts with ideal oxygen reduction reaction (ORR) activity is of great significance for cost-effective fuel cells. Herein, we synthesize a series of Pd-based (PdFe, PdCo, PdNi, and Pd) nanowires (PdM NWs). Their diameters are about 10 nm. And the lengths are up to even micrometers. The mass activity of the series of Pd-based catalysts followed the descending order: PdNi NWs/C &gt; commercial Pt/C &gt; PdCo NWs/C &gt; PdFe NWs/C &gt; pure Pd NWs/C. The optimal half-wave (E-1/2) of PdNi NWs/C (839 mV) is positive shift 138 and 25 mV compared with pure Pd NWs/C (701 mV) and commercial Pt/C (814 mV), respectively. The mass activity (MA) of PdNi NWs/C only dropped 28% after 10,000 potential cycles between 0.6 and 1.1 V versus RHE in acid medium. This work provides a promising and reliable strategy to synthesize high performance Pd-based electrocatalyst, which is promising alternative to expensive Pt-based electrocatalysts for fuel cells.</t>
  </si>
  <si>
    <t>[Yu, Dan; Liu, Qian; Gao, Faming] Yanshan Univ, Hebei Key Lab Appl Chem, Qinhuangdao 066004, Peoples R China; [Dong, Seng; Jia, Weiyi; Wang, Yatao] Coal Chem R&amp;D Centr Kailuan Grp, Tangshan 063018, Peoples R China; [Dong, Seng; Jia, Weiyi; Wang, Yatao] Hebei Prov Technol Innovat Ctr Coal Based Mat &amp; Ch, Tangshan 063018, Peoples R China; [Gao, Faming] Tianjin Univ Sci &amp; Technol, Coll Chem Engn &amp; Mat, Tianjin 300222, Peoples R China</t>
  </si>
  <si>
    <t>Yanshan University; Tianjin University Science &amp; Technology</t>
  </si>
  <si>
    <t>Gao, FM (corresponding author), Yanshan Univ, Hebei Key Lab Appl Chem, Qinhuangdao 066004, Peoples R China.;Wang, YT (corresponding author), Coal Chem R&amp;D Centr Kailuan Grp, Tangshan 063018, Peoples R China.;Wang, YT (corresponding author), Hebei Prov Technol Innovat Ctr Coal Based Mat &amp; Ch, Tangshan 063018, Peoples R China.;Gao, FM (corresponding author), Tianjin Univ Sci &amp; Technol, Coll Chem Engn &amp; Mat, Tianjin 300222, Peoples R China.</t>
  </si>
  <si>
    <t>fmgao@tust.edu.cn; wangyatao@kailuan.com.cn</t>
  </si>
  <si>
    <t>National Natural Science Foundation of China [21875205]; Natural Science Foundation of Hebei [22281403Z, B2021203016]</t>
  </si>
  <si>
    <t>National Natural Science Foundation of China(National Natural Science Foundation of China (NSFC)); Natural Science Foundation of Hebei(Natural Science Foundation of Hebei Province)</t>
  </si>
  <si>
    <t>The financial support from the National Natural Science Foundation of China (Grant No. 21875205) and the Natural Science Foundation of Hebei (Grant No. 22281403Z and B2021203016)</t>
  </si>
  <si>
    <t>10.1007/s11581-023-05159-9</t>
  </si>
  <si>
    <t>P4ME8</t>
  </si>
  <si>
    <t>WOS:001050396300001</t>
  </si>
  <si>
    <t>Zhang, HX</t>
  </si>
  <si>
    <t>Zhang, Haixia</t>
  </si>
  <si>
    <t>Multi-objective optimization for improved efficiency and reliability in renewable-integrated distribution networks</t>
  </si>
  <si>
    <t>MULTISCALE AND MULTIDISCIPLINARY MODELING EXPERIMENTS AND DESIGN</t>
  </si>
  <si>
    <t>Distribution channel rearrangement; Distributed products; Reliability; MOPSO algorithm</t>
  </si>
  <si>
    <t>DISTRIBUTION FEEDER RECONFIGURATION; DISTRIBUTION-SYSTEMS; LOSS REDUCTION; ALGORITHM</t>
  </si>
  <si>
    <t>This paper presents a comprehensive approach to optimize the layout of distribution networks in the presence of scattered renewable production sources. The study focuses on simultaneously optimizing the location and capacity of distributed production units, alongside determining the most optimal network arrangement. The objectives of the optimization process are to reduce power losses and improve network reliability. To address this complex problem, a multi-objective particle swarm optimization (MOPSO) algorithm is employed. The proposed method is evaluated using the IEEE 33 bus standard system as a test case. The optimization process incorporates two primary objective functions: loss reduction and network reliability improvement. By utilizing MOPSO, a collection of Pareto solutions is obtained, and the best option is selected based on the trade-off between loss reduction and network reliability enhancement. The results showcase the accuracy and efficiency of the proposed method in determining the optimal layout of distribution networks while integrating renewable production sources. By simultaneously optimizing the location, capacity, and network arrangement, the method demonstrates significant improvements in reducing power losses and enhancing network reliability.</t>
  </si>
  <si>
    <t>[Zhang, Haixia] Henan Ind &amp; Trade Vocat Coll, Zhengzhou 450000, Henan, Peoples R China</t>
  </si>
  <si>
    <t>Zhang, HX (corresponding author), Henan Ind &amp; Trade Vocat Coll, Zhengzhou 450000, Henan, Peoples R China.</t>
  </si>
  <si>
    <t>zhanghaixia@hngm.edu.cn</t>
  </si>
  <si>
    <t>significant Ramp;D and extension efforts in the province of Henan [202102210177]</t>
  </si>
  <si>
    <t>significant Ramp;D and extension efforts in the province of Henan</t>
  </si>
  <si>
    <t>The study is supported by significant R &amp; amp;D and extension efforts in the province of Henan (202102210177).</t>
  </si>
  <si>
    <t>2520-8160</t>
  </si>
  <si>
    <t>2520-8179</t>
  </si>
  <si>
    <t>MULTISCALE MULTI MOD</t>
  </si>
  <si>
    <t>Multiscale Multidiscip. Model Exp. Des.</t>
  </si>
  <si>
    <t>10.1007/s41939-023-00211-7</t>
  </si>
  <si>
    <t>Engineering, Multidisciplinary; Engineering, Mechanical; Materials Science, Multidisciplinary</t>
  </si>
  <si>
    <t>P3WL7</t>
  </si>
  <si>
    <t>WOS:001049979000001</t>
  </si>
  <si>
    <t>Zhang, Q; Yang, DW; Zhu, Y; Liu, YT; Ye, X</t>
  </si>
  <si>
    <t>Zhang, Qi; Yang, Dawei; Zhu, Yu; Liu, Yatong; Ye, Xiong</t>
  </si>
  <si>
    <t>An optimized optical-flow-based method for quantitative tracking of ultrasound-guided right diaphragm deformation</t>
  </si>
  <si>
    <t>BMC MEDICAL IMAGING</t>
  </si>
  <si>
    <t>Diaphragm; Optical flow; Ultrasound; Strain; Deformation</t>
  </si>
  <si>
    <t>SPECKLE TRACKING</t>
  </si>
  <si>
    <t>ObjectivesTo develop a quantitative analysis method for right diaphragm deformation. This method is based on optical flow and applied to diaphragm ultrasound imaging.MethodsThis study enrolls six healthy subjects and eight patients under mechanical ventilation. Dynamic images with 3-5 breathing cycles were acquired from three directions of right diaphragm by a portable ultrasound system. Filtering and density clustering algorithms are used for denoising Digital Imaging and Communications in Medicine (DICOM) data. An optical flow based method is applied to track movements of the right diaphragm. An improved drift correction algorithm is used to optimize the results. The method can automatically analyze the respiratory cycle, inter-frame/cumulative vertical and horizontal displacements, and strain of the input right diaphragm ultrasound image.ResultsThe optical-flow-based diaphragm ultrasound image motion tracking algorithm can accurately track the right diaphragm during respiratory motion. There are significant differences in horizontal and vertical displacements in each section (p-values &lt; 0.05 for all). Significant differences are found between healthy subjects and mechanical ventilation patients for both horizontal and vertical displacements in Section III (p-values &lt; 0.05 for both). There is no significant difference in global strain in each section between healthy subjects and mechanical ventilation patients (p-values &gt; 0.05 for all).ConclusionsThe developed method can quantitatively evaluate the inter-frame/cumulative displacement of the diaphragm in both horizontal and vertical directions, as well as the global strain in three different imaging planes. The above indicators can be used to evaluate diaphragmatic dynamics.</t>
  </si>
  <si>
    <t>[Zhang, Qi; Zhu, Yu; Liu, Yatong] East China Univ Sci &amp; Technol, Sch Informat Sci &amp; Engn, Shanghai 200237, Peoples R China; [Yang, Dawei] Fudan Univ, Zhongshan Hosp, Dept Pulm &amp; Crit Care Med, Shanghai 200032, Peoples R China; [Yang, Dawei; Zhu, Yu] Shanghai Engn Res Ctr Internet Things Resp Med, Shanghai 200237, Peoples R China; [Ye, Xiong] Shanghai Univ Med &amp; Hlth Sci, Sch Clin Med, Shanghai 201318, Peoples R China</t>
  </si>
  <si>
    <t>East China University of Science &amp; Technology; Fudan University; Shanghai University of Medicine &amp; Health Sciences</t>
  </si>
  <si>
    <t>Zhu, Y (corresponding author), East China Univ Sci &amp; Technol, Sch Informat Sci &amp; Engn, Shanghai 200237, Peoples R China.;Zhu, Y (corresponding author), Shanghai Engn Res Ctr Internet Things Resp Med, Shanghai 200237, Peoples R China.;Ye, X (corresponding author), Shanghai Univ Med &amp; Hlth Sci, Sch Clin Med, Shanghai 201318, Peoples R China.</t>
  </si>
  <si>
    <t>zhuyu@ecust.edu.cn; yex@sumhs.edu.cn</t>
  </si>
  <si>
    <t>1471-2342</t>
  </si>
  <si>
    <t>BMC MED IMAGING</t>
  </si>
  <si>
    <t>BMC Med. Imag.</t>
  </si>
  <si>
    <t>10.1186/s12880-023-01066-7</t>
  </si>
  <si>
    <t>P3DM8</t>
  </si>
  <si>
    <t>WOS:001049480700001</t>
  </si>
  <si>
    <t>Zhang, WH; Zhang, YL; Jin, C; Fang, RH; Hua, RX; Zang, XD; Zhang, HG</t>
  </si>
  <si>
    <t>Zhang, Wenhao; Zhang, Yulong; Jin, Cong; Fang, Ruihan; Hua, Ruixue; Zang, Xiaodong; Zhang, Hengguo</t>
  </si>
  <si>
    <t>The indicative role of inflammatory index in the progression of periodontal attachment loss</t>
  </si>
  <si>
    <t>Periodontal attachment loss; Immune cell; NHANES; WBC; Neutrophils</t>
  </si>
  <si>
    <t>PERIPHERAL-BLOOD; ADULTS; CLASSIFICATION; ASSOCIATION; NEUTROPHILS; PREVALENCE; MONOCYTES; COUNTS</t>
  </si>
  <si>
    <t>ObjectiveTo explore the forewarning immunological indicators during periodontal attachment loss progression in American adults.MethodsA total of 5744 participants with periodontal attachment loss were enrolled from the National Health and Nutrition Examination Surveys (NHANES) 2009-2014. In which, dependent variable was the counts of teeth with severe attachment loss (depth of periodontal probing was above 5 mm). Independent variables were circulatory immunological indexes, including counts of white blood cells (WBC), Lymphocytes, Monocytes, Neutrophils, Eosinophils, and Basophils. The association among variables was examined using multivariable linear regression models, fitting with smoothing curves, and generalizing additive models.ResultsBased on the indicators of 5744 subjects, we found that severe attachment loss tended to occur in the elderly or males and was accompanied by higher WBC, Monocytes, and Neutrophils, as well as lower poverty-income ratio and educational qualification. WBC (above the inflection point: 6200 cells/&amp; mu;L) and Neutrophils (above the inflection point: 3300 cells/&amp; mu;L) counts were positively associated with attachment loss progression in each multivariable linear regression model. On subgroup analyses, stratified by sex and race, the positive correlation of WBC or Neutrophils with severe attachment loss was stable in both men and women, as well as in all races except blacks (WBC &amp; beta; = - 0.0576, 95% CI - 0.1945 to 0.0793, Neutrophils &amp; beta; = - 0.0527, 95% CI - 0.2285 to 0.1231).ConclusionIncreasing WBC (above 6200 cells/&amp; mu;L) and Neutrophils (above 3300 cells/&amp; mu;L) counts were risk indicators of severe periodontal attachment loss among all races, except in blacks.</t>
  </si>
  <si>
    <t>[Zhang, Wenhao; Zhang, Yulong; Jin, Cong; Fang, Ruihan; Hua, Ruixue; Zhang, Hengguo] Anhui Med Univ, Coll &amp; Hosp Stomatol, Key Lab Oral Dis Res Anhui Prov, Hefei 230032, Peoples R China; [Zang, Xiaodong] Univ Sci &amp; Technol China, Affiliated Hosp USTC 1, Div Life Sci &amp; Med, Hefei 230032, Peoples R China; [Zhang, Hengguo] Anhui Med Univ, Coll &amp; Hosp Stomatol, Dept Dent Implantol, Hefei 230032, Peoples R China</t>
  </si>
  <si>
    <t>Anhui Medical University; Chinese Academy of Sciences; University of Science &amp; Technology of China, CAS; Anhui Medical University</t>
  </si>
  <si>
    <t>Zhang, HG (corresponding author), Anhui Med Univ, Coll &amp; Hosp Stomatol, Key Lab Oral Dis Res Anhui Prov, Hefei 230032, Peoples R China.;Zang, XD (corresponding author), Univ Sci &amp; Technol China, Affiliated Hosp USTC 1, Div Life Sci &amp; Med, Hefei 230032, Peoples R China.;Zhang, HG (corresponding author), Anhui Med Univ, Coll &amp; Hosp Stomatol, Dept Dent Implantol, Hefei 230032, Peoples R China.</t>
  </si>
  <si>
    <t>xiaodong_zang@ustc.edu.cn; zhanghengguo@ahmu.edu.cn</t>
  </si>
  <si>
    <t>10.1186/s40001-023-01247-8</t>
  </si>
  <si>
    <t>P3ZO7</t>
  </si>
  <si>
    <t>WOS:001050065500002</t>
  </si>
  <si>
    <t>Zhang, X; Xiao, LJ; Liu, JH; Tian, QB; Xie, JQ</t>
  </si>
  <si>
    <t>Zhang, Xian; Xiao, Lijun; Liu, Jiahui; Tian, Qibai; Xie, Jiaqi</t>
  </si>
  <si>
    <t>Trade-off in genome turnover events leading to adaptive evolution of Microcystis aeruginosa species complex</t>
  </si>
  <si>
    <t>Microcystis aeruginosa; Gene flow; Hereditary differentiation; Adaptive evolution; Trade-off</t>
  </si>
  <si>
    <t>HORIZONTAL GENE-TRANSFER; TOXIC CYANOBACTERIUM; WEB SERVER; DIVERSITY; PROPOSAL; REVEALS; STRAINS; ECOLOGY</t>
  </si>
  <si>
    <t>BackgroundNumerous studies in the past have expanded our understanding of the genetic differences of global distributed cyanobacteria that originated around billions of years ago, however, unraveling how gene gain and loss drive the genetic evolution of cyanobacterial species, and the trade-off of these evolutionary forces are still the central but poorly understood issues.ResultsTo delineate the contribution of gene flow in mediating the hereditary differentiation and shaping the microbial evolution, a global genome-wide study of bloom-forming cyanobacterium, Microcystis aeruginosa species complex, provided robust evidence for genetic diversity, reflected by enormous variation in gene repertoire among various strains. Mathematical extrapolation showed an 'open' microbial pan-genome of M. aeruginosa species, since novel genes were predicted to be introduced after new genomes were sequenced. Identification of numerous horizontal gene transfer's signatures in genome regions of interest suggested that genome expansion via transformation and phage-mediated transduction across bacterial lineage as an evolutionary route may contribute to the differentiation of Microcystis functions (e.g., carbohydrate metabolism, amino acid metabolism, and energy metabolism). Meanwhile, the selective loss of some dispensable genes at the cost of metabolic versatility is as a mean of adaptive evolution that has the potential to increase the biological fitness.ConclusionsNow that the recruitment of novel genes was accompanied by a parallel loss of some other ones, a trade-off in gene content may drive the divergent differentiation of M. aeruginosa genomes. Our study provides a genetic framework for the evolution of M. aeruginosa species and illustrates their possible evolutionary patterns.</t>
  </si>
  <si>
    <t>[Zhang, Xian; Liu, Jiahui; Tian, Qibai] Cent South Univ, Xiangya Sch Publ Hlth, Dept Occupat &amp; Environm Hlth, Changsha, Peoples R China; [Zhang, Xian] Cent South Univ, Hunan Prov Key Lab Clin Epidemiol, Changsha, Peoples R China; [Xiao, Lijun] Chinese Peoples Armed Police Forces, Guangdong Corps Hosp, Guangzhou, Peoples R China; [Xie, Jiaqi] Hunan Food &amp; Drug Vocat Coll, Changsha, Peoples R China</t>
  </si>
  <si>
    <t>Central South University; Central South University</t>
  </si>
  <si>
    <t>Zhang, X (corresponding author), Cent South Univ, Xiangya Sch Publ Hlth, Dept Occupat &amp; Environm Hlth, Changsha, Peoples R China.;Zhang, X (corresponding author), Cent South Univ, Hunan Prov Key Lab Clin Epidemiol, Changsha, Peoples R China.</t>
  </si>
  <si>
    <t>zixuange2010@126.com</t>
  </si>
  <si>
    <t>Xiao, Li-Jun/ISB-4522-2023</t>
  </si>
  <si>
    <t>Xiao, Li-Jun/0000-0002-3998-3628</t>
  </si>
  <si>
    <t>10.1186/s12864-023-09555-3</t>
  </si>
  <si>
    <t>P3DU1</t>
  </si>
  <si>
    <t>WOS:001049488100004</t>
  </si>
  <si>
    <t>Zhao, MJ; Yang, MQ; Yang, PL; Su, R; Xiao, F; He, P; Deng, HQ; Zhang, TH; Jia, B</t>
  </si>
  <si>
    <t>Zhao, Maojie; Yang, Mengqi; Yang, Peilin; Su, Rong; Xiao, Feng; He, Ping; Deng, Hongquan; Zhang, Tinghong; Jia, Bin</t>
  </si>
  <si>
    <t>One-step electrodeposition preparation of boron nitride and samarium co-modified Ti/PbO2 anode with ultra-long lifetime: highly efficient degradation of lincomycin wastewater</t>
  </si>
  <si>
    <t>Electrocatalytic degradation; Lincomycin wastewater; Boron nitride and samarium co-modified Ti; PbO2 electrode; Degradation pathway</t>
  </si>
  <si>
    <t>ELECTROCHEMICAL DEGRADATION; PARAMETER OPTIMIZATION; AQUEOUS-SOLUTION; PBO2 ANODE; ANTIBIOTICS; MECHANISM; OXIDATION; REMOVAL; REACTOR; PERFORMANCE</t>
  </si>
  <si>
    <t>Lincomycin (LC) is an extensively applied broad-spectrum antibiotic, and its considerable residues in wastewater have caused a series of environmental problems, which makes degradation of LC wastewater extremely urgent. In this work, we have constructed a novel boron nitride (BN) and samarium (Sm) co-modified Ti/PbO2 as anode for high-performance degradation of LC wastewater. Compared with Ti/PbO2, Ti/PbO2-Sm, and Ti/PbO2-BN electrodes, Ti/PbO2-BN-Sm electrode with smaller pyramidal particles possesses higher oxygen evolution potential (2.32 V), excellent accelerated service life (103 h), and outstanding electrocatalytic activity. The single-factor experiments demonstrate that under optimized conditions (current density of 20 mA.cm(-2), 6.0 g L-1 Na2SO4, pH 9, and temperature of 30 &amp; DEG;C), removal rate and COD degradation rate of LC at 3 h have reached 92.85% and 89.11%, respectively. At the same time, degradation of LC is in accordance with the primary kinetic model. Based on the analysis of high-performance liquid chromatography-mass spectrometry (HPLC-MS), four possible degradation pathways are hypothesized. Therefore, efficient electrochemical degradation of LC by using an extremely long-life Ti/PbO2 electrode with high catalytic activity may be a promising method.</t>
  </si>
  <si>
    <t>[Zhao, Maojie; Yang, Mengqi; Yang, Peilin; Su, Rong; Xiao, Feng; He, Ping; Deng, Hongquan; Zhang, Tinghong] Southwest Univ Sci &amp; Technol, Sch Mat &amp; Chem, Mianyang 621010, Peoples R China; [He, Ping; Jia, Bin] Southwest Univ Sci &amp; Technol, Int Sci &amp; Technol Cooperat Lab Micronanoparticle A, Mianyang 621010, Peoples R China; [Jia, Bin] Southwest Univ Sci &amp; Technol, Key Lab Shock &amp; Vibrat Engn Mat &amp; Struct Sichuan P, Mianyang 621010, Peoples R China</t>
  </si>
  <si>
    <t>Southwest University of Science &amp; Technology - China; Southwest University of Science &amp; Technology - China; Southwest University of Science &amp; Technology - China</t>
  </si>
  <si>
    <t>He, P; Deng, HQ (corresponding author), Southwest Univ Sci &amp; Technol, Sch Mat &amp; Chem, Mianyang 621010, Peoples R China.;He, P (corresponding author), Southwest Univ Sci &amp; Technol, Int Sci &amp; Technol Cooperat Lab Micronanoparticle A, Mianyang 621010, Peoples R China.</t>
  </si>
  <si>
    <t>heping@swust.edu.cn; denghongquan@swust.edu.cn</t>
  </si>
  <si>
    <t>Longshan Academic Talent Research Supporting Program of Southwest University of Science and Technology [18LZX322]; International Science and Technology Cooperation Laboratory of Micro-nanoparticle Application Research of Southwest University of Science and Technology [19MNA001]</t>
  </si>
  <si>
    <t>Longshan Academic Talent Research Supporting Program of Southwest University of Science and Technology; International Science and Technology Cooperation Laboratory of Micro-nanoparticle Application Research of Southwest University of Science and Technology</t>
  </si>
  <si>
    <t>This work was supported by the Longshan Academic Talent Research Supporting Program of Southwest University of Science and Technology (Grant No. 18LZX322) and the International Science and Technology Cooperation Laboratory of Micro-nanoparticle Application Research of Southwest University of Science and Technology (Grant No. 19MNA001).</t>
  </si>
  <si>
    <t>10.1007/s11356-023-28819-9</t>
  </si>
  <si>
    <t>WOS:001050424400001</t>
  </si>
  <si>
    <t>Ahmed, SE; Raju, R; Kurien, A; Kanaha, M; Bano, S; Shalma, H</t>
  </si>
  <si>
    <t>Ahmed, Syed Ershad; Raju, Ramesh; Kurien, Anjana; Kanaha, M.; Bano, Sidra; Shalma, Hemcle</t>
  </si>
  <si>
    <t>Impact of Denture Prostheses on Cognitive Functioning in Completely Edentulous Patients: A Pilot Study</t>
  </si>
  <si>
    <t>geriatric; completely edentulous; cognitive functioning; alzheimer's disease; dementia; denture</t>
  </si>
  <si>
    <t>QUALITY-OF-LIFE; ELDERS</t>
  </si>
  <si>
    <t>Aim: The aim is to evaluate the impact of denture prostheses on cognitive functioning in completely edentulous patients using a novel cognitive assessment tool. Methods: Thirty (n=30) completely edentulous patients of age groups above 60 years were taken in the present study group. Pre- and post-cognitive assessments were done on the patients using a novel cognitive assessment tool, Dental Cognitive Functioning Assessment Tool (DCFAT). These assessments were done in the pre-treatment stage and after two weeks and three months of prostheses function. Results: The mean DCFAT score of 30 patients shows 10.13 recorded prior to denture fabrication and 11.5 and 14 after two weeks and three months of prosthesis function, respectively. A mean difference in the DCFAT score of 1.37 was seen between the pre-denture fabrication stage and two weeks of prosthesis function. The mean difference in DCFAT score of 3.87 was seen between the pre-denture fabrication stage and three months of prosthesis function and the mean difference score of DCFAT score 2.5 was observed after two weeks and three months of prosthesis function. One-way ANOVA was used to investigate the statistical difference between bivariate samples followed by the post hoc Tukey test. The results were statistically significant p &lt; 0.00001. Conclusion: The inference obtained suggest that the replacement of missing teeth by denture prostheses enhances the cognitive functioning in the elderly population which can eventually reduce the occurrence of dementia.</t>
  </si>
  <si>
    <t>[Ahmed, Syed Ershad] Vinayaka Missions Res Fdn Deemed be Univ, Prosthodont, Salem, India; [Ahmed, Syed Ershad] Sri Ramakrishna Dent Coll &amp; Hosp, Prosthodont &amp; Crown &amp; Bridge, Coimbatore, India; [Raju, Ramesh] Vinayaka Missions Res Fdn Deemed be Univ, Vinayaka Missions Sankarachariyar Dent Coll, Prosthodont, Salem, India; [Kurien, Anjana] Sri Ramakrishna Dent Coll &amp; Hosp, Prosthodont, Coimbatore, India; [Kanaha, M.] Ultra Best Dent Coll &amp; Hosp, Pharmacol, Madurai, India; [Bano, Sidra; Shalma, Hemcle] Sri Ramakrishna Dent Coll &amp; Hosp, Oral Med &amp; Radiol, Coimbatore, India</t>
  </si>
  <si>
    <t>Vinayaka Mission's Research Foundation; Vinayaka Mission's Research Foundation</t>
  </si>
  <si>
    <t>Ahmed, SE (corresponding author), Vinayaka Missions Res Fdn Deemed be Univ, Prosthodont, Salem, India.;Ahmed, SE (corresponding author), Sri Ramakrishna Dent Coll &amp; Hosp, Prosthodont &amp; Crown &amp; Bridge, Coimbatore, India.</t>
  </si>
  <si>
    <t>syed@srdch.ac.in</t>
  </si>
  <si>
    <t>AUG 16</t>
  </si>
  <si>
    <t>e43570</t>
  </si>
  <si>
    <t>10.7759/cureus.43570</t>
  </si>
  <si>
    <t>Q6DD5</t>
  </si>
  <si>
    <t>WOS:001058399300017</t>
  </si>
  <si>
    <t>Bashkirtseva, I; Ryashko, L</t>
  </si>
  <si>
    <t>Bashkirtseva, Irina; Ryashko, Lev</t>
  </si>
  <si>
    <t>Structural and stochastic transformations in a system of coupled populations (vol 232, pg 1247, 2023)</t>
  </si>
  <si>
    <t>EUROPEAN PHYSICAL JOURNAL-SPECIAL TOPICS</t>
  </si>
  <si>
    <t>[Bashkirtseva, Irina; Ryashko, Lev] Ural Fed Univ, Dept Theoret &amp; Math Phys, Lenina 51, Ekaterinburg 620000, Russia</t>
  </si>
  <si>
    <t>Ural Federal University</t>
  </si>
  <si>
    <t>Bashkirtseva, I (corresponding author), Ural Fed Univ, Dept Theoret &amp; Math Phys, Lenina 51, Ekaterinburg 620000, Russia.</t>
  </si>
  <si>
    <t>irina.bashkirtseva@urfu.ru</t>
  </si>
  <si>
    <t>1951-6355</t>
  </si>
  <si>
    <t>1951-6401</t>
  </si>
  <si>
    <t>EUR PHYS J-SPEC TOP</t>
  </si>
  <si>
    <t>Eur. Phys. J.-Spec. Top.</t>
  </si>
  <si>
    <t>2023 AUG 16</t>
  </si>
  <si>
    <t>10.1140/epjs/s11734-023-00958-7</t>
  </si>
  <si>
    <t>P3PL0</t>
  </si>
  <si>
    <t>WOS:001049794900002</t>
  </si>
  <si>
    <t>Catterall, S; Giedt, J; Toga, GC</t>
  </si>
  <si>
    <t>Catterall, Simon; Giedt, Joel; Toga, Goksu Can</t>
  </si>
  <si>
    <t>Holography from lattice N=4 super Yang-Mills</t>
  </si>
  <si>
    <t>Lattice Quantum Field Theory; Supersymmetric Gauge Theory; Wilson; 't Hooft and Polyakov loops; Algorithms and Theoretical Developments</t>
  </si>
  <si>
    <t>In this paper we use lattice simulation to study four dimensional N = 4 super Yang-Mills (SYM) theory. We have focused on the three color theory on lattices of size 124 and for 't Hooft couplings up to ? = 40.0. Our lattice action is based on a discretization of the Marcus or GL twist of N = 4 SYM and retains one exact supersymmetry for non-zero lattice spacing. We show that lattice theory exists in a single non-Abelian Coulomb phase for all 't Hooft couplings. Furthermore the static potential we obtain from correlators of Polyakov lines is in good agreement with that obtained from holography - specifically the potential has a Coulombic form with a coefficent that varies as the square root of the 't Hooft coupling.</t>
  </si>
  <si>
    <t>[Catterall, Simon; Toga, Goksu Can] Syracuse Univ, Dept Phys, Syracuse, NY 13244 USA; [Giedt, Joel] RPI, Dept Phys &amp; Astron, Troy, NY 12180 USA</t>
  </si>
  <si>
    <t>Syracuse University; Rensselaer Polytechnic Institute</t>
  </si>
  <si>
    <t>Catterall, S (corresponding author), Syracuse Univ, Dept Phys, Syracuse, NY 13244 USA.</t>
  </si>
  <si>
    <t>smcatter@syr.edu; giedtj@rpi.edu; gctoga@syr.edu</t>
  </si>
  <si>
    <t>Toga, Goksu Can/0000-0002-0316-2502</t>
  </si>
  <si>
    <t>US Department of Energy (DOE), Office of Science, Office of High Energy Physics [DE-SC0009998, DESC0013496]; NSF [PHY170035]</t>
  </si>
  <si>
    <t>US Department of Energy (DOE), Office of Science, Office of High Energy Physics(United States Department of Energy (DOE)); NSF(National Science Foundation (NSF))</t>
  </si>
  <si>
    <t>This work was supported by the US Department of Energy (DOE), Office of Science, Office of High Energy Physics, under Award Numbers DE-SC0009998 (SC,GT) and DESC0013496 (JG). Numerical calculations were carried out on the DOE-funded USQCD facilities at Fermilab and NSF-funded ACCESS SDSC-Expanse facilities under Award number PHY170035.</t>
  </si>
  <si>
    <t>10.1007/JHEP08(2023)084</t>
  </si>
  <si>
    <t>P3QJ1</t>
  </si>
  <si>
    <t>WOS:001049819100010</t>
  </si>
  <si>
    <t>Duan, WZ; Liu, WW; Xia, SK; Zhou, Y; Tang, MY; Xu, MX; Lin, MQ; Li, XY; Wang, Q</t>
  </si>
  <si>
    <t>Duan, Wenzhe; Liu, Wenwen; Xia, Shengkai; Zhou, Yang; Tang, Mengyi; Xu, Mingxin; Lin, Manqing; Li, Xinyu; Wang, Qi</t>
  </si>
  <si>
    <t>Warburg effect enhanced by AKR1B10 promotes acquired resistance to pemetrexed in lung cancer-derived brain metastasis</t>
  </si>
  <si>
    <t>Lung cancer; Brain metastasis; Chemotherapeutic resistance; Pemetrexed; Warburg metabolism; Histone lactylation</t>
  </si>
  <si>
    <t>CELL; CHEMOTHERAPY; GLYCOLYSIS; EXPRESSION; CISPLATIN</t>
  </si>
  <si>
    <t>BackgroundResistance to pemetrexed (PEM), a rare chemotherapeutic agent that can efficiently cross the blood-brain barrier, limits the therapeutic efficacy for patients with lung cancer brain metastasis (BM). Aldo-keto reductase family 1 B10 (AKR1B10) was recently found to be elevated in lung cancer BM. The link between AKR1B10 and BM-acquired PEM is unknown.MethodsPEM drug-sensitivity was assessed in the preclinical BM model of PC9 lung adenocarcinoma cells and the BM cells with or without AKR1B10 interference in vitro and in vivo. Metabolic reprogramming of BM attributed to AKR1B10 was identified by chromatography-mass spectrometry (GC-MS) metabolomics, and the mechanism of how AKR1B10 mediates PEM chemoresistance via a way of modified metabolism was revealed by RNA sequencing as well as further molecular biology experimental approaches.ResultsThe lung cancer brain metastatic subpopulation cells (PC9-BrM3) exhibited significant resistance to PEM and silencing AKR1B10 in PC9-BrM3 increased the PEM sensitivity in vitro and in vivo. Metabolic profiling revealed that AKR1B10 prominently facilitated the Warburg metabolism characterized by the overproduction of lactate. Glycolysis regulated by AKR1B10 is vital for the resistance to PEM. In mechanism, AKR1B10 promoted glycolysis by regulating the expression of lactate dehydrogenase (LDHA) and the increased lactate, acts as a precursor that stimulates histone lactylation (H4K12la), activated the transcription of CCNB1 and accelerated the DNA replication and cell cycle.ConclusionsOur finding demonstrates that AKR1B10/glycolysis/H4K12la/CCNB1 promotes acquired PEM chemoresistance in lung cancer BM, providing novel strategies to sensitize PEM response in the treatment of lung cancer patients suffering from BM.</t>
  </si>
  <si>
    <t>[Duan, Wenzhe; Xia, Shengkai; Tang, Mengyi; Xu, Mingxin; Lin, Manqing; Wang, Qi] Dalian Med Univ, Hosp 2, Dept Resp Med, Dalian, Peoples R China; [Liu, Wenwen; Zhou, Yang; Wang, Qi] Dalian Med Univ, Hosp 2, Canc Translat Med Res Ctr, Dalian, Peoples R China; [Zhou, Yang] Ningbo Univ, Affiliated Li Huili Hosp, Ningbo Inst Innovat Combined Med &amp; Engn, Ningbo, Peoples R China; [Li, Xinyu] Dalian Med Univ, Hosp 2, Dept Neurosurg, Dalian, Peoples R China</t>
  </si>
  <si>
    <t>Dalian Medical University; Dalian Medical University; Ningbo University; Dalian Medical University</t>
  </si>
  <si>
    <t>Wang, Q (corresponding author), Dalian Med Univ, Hosp 2, Dept Resp Med, Dalian, Peoples R China.;Liu, WW; Wang, Q (corresponding author), Dalian Med Univ, Hosp 2, Canc Translat Med Res Ctr, Dalian, Peoples R China.;Li, XY (corresponding author), Dalian Med Univ, Hosp 2, Dept Neurosurg, Dalian, Peoples R China.</t>
  </si>
  <si>
    <t>liuwenwenphd@163.com; 185452835@qq.com; wqdlmu@163.com</t>
  </si>
  <si>
    <t>WANG, HUI/JFA-9683-2023; Yang, Tian/JFB-1008-2023</t>
  </si>
  <si>
    <t>10.1186/s12967-023-04403-0</t>
  </si>
  <si>
    <t>P6LS8</t>
  </si>
  <si>
    <t>WOS:001051778000005</t>
  </si>
  <si>
    <t>Economidou-Kogetsidis, M</t>
  </si>
  <si>
    <t>Economidou-Kogetsidis, Maria</t>
  </si>
  <si>
    <t>Cambridge Handbook of Intercultural Pragmatics</t>
  </si>
  <si>
    <t>CORPUS PRAGMATICS</t>
  </si>
  <si>
    <t>[Economidou-Kogetsidis, Maria] Univ Nicosia, Sch Humanities &amp; Social Sci, Dept Languages &amp; Literature, 46 Makedonitissas Ave, CY-2417 Nicosia, Cyprus</t>
  </si>
  <si>
    <t>University of Nicosia</t>
  </si>
  <si>
    <t>Economidou-Kogetsidis, M (corresponding author), Univ Nicosia, Sch Humanities &amp; Social Sci, Dept Languages &amp; Literature, 46 Makedonitissas Ave, CY-2417 Nicosia, Cyprus.</t>
  </si>
  <si>
    <t>kogetsidis.m@unic.ac.cy</t>
  </si>
  <si>
    <t>2509-9507</t>
  </si>
  <si>
    <t>2509-9515</t>
  </si>
  <si>
    <t>Corpus Pragmat.</t>
  </si>
  <si>
    <t>10.1007/s41701-023-00154-x</t>
  </si>
  <si>
    <t>Linguistics; Language &amp; Linguistics</t>
  </si>
  <si>
    <t>Linguistics</t>
  </si>
  <si>
    <t>P3OS7</t>
  </si>
  <si>
    <t>WOS:001049776300001</t>
  </si>
  <si>
    <t>Gao, SM; Qiu, Y; Meng, YM; Jia, YJ; Lang, XM; Zhao, HM; Sun, H; Zhang, JS; Ding, LS</t>
  </si>
  <si>
    <t>Gao, Sumin; Qiu, Yun; Meng, Yuming; Jia, Yajuan; Lang, Xuemei; Zhao, Hongmei; Sun, Hong; Zhang, Jinsong; Ding, Lianshu</t>
  </si>
  <si>
    <t>Blockage of PHLPP1 protects against myocardial ischemia/reperfusion injury in diabetic mice via activation of STAT3 signaling</t>
  </si>
  <si>
    <t>JOURNAL OF BIOENERGETICS AND BIOMEMBRANES</t>
  </si>
  <si>
    <t>Myocardial ischemia reperfusion injury; Diabetes; PHLPP1; STAT3; Akt</t>
  </si>
  <si>
    <t>PERMEABILITY TRANSITION PORE; MITOCHONDRIAL STAT3; AKT; APOPTOSIS; PATHWAYS</t>
  </si>
  <si>
    <t>Diabetes can exacerbate myocardial ischemia/reperfusion (IR) injury. However, the sensitivity to IR injury and the underlying mechanisms in diabetic hearts remain unclear. Inhibition of PH domain leucine-rich repeating protein phosphatase (PHLPP1) could reduce myocardial IR injury, our previous study demonstrated that the expression of PHLPP1 was upregulated in diabetic myocardial IR model. Thus, this study aimed to investigate the mechanism of PHLPP1 in diabetic myocardial IR injury. Nondiabetic and diabetic C57BL/6 mice underwent 45 min of coronary artery occlusion followed by 2 h of reperfusion. Male C57BL/6 mice were injected with streptozotocin for five consecutive days to establish a diabetes model. H9c2 cells were exposed to normal or high glucose and subjected to 4 h of hypoxia followed by 4 h of reoxygenation. Diabetes or hyperglycemia increased postischemic infarct size, cellular injury, release of creatine kinase-MB, apoptosis, and oxidative stress, while exacerbating mitochondrial dysfunction. This was accompanied by enhanced expression of PHLPP1 and decreased levels of p-STAT3 and p-Akt. These effects were counteracted by PHLPP1 knockdown. Moreover, PHLPP1 knockdown resulted in an increase in mitochondrial translocation of p-STAT3 Ser727 and nuclear translocation of p-STAT3 Tyr705 and p-STAT3 Ser727. However, the effect of PHLPP1 knockdown in reducing posthypoxic cellular damage was nullified by either Stattic or LY294002. Additionally, a co-immunoprecipitation assay indicated a direct interaction between PHLPP1 and p-STAT3 Ser727, but not p-STAT3 Tyr705. The abnormal expression of PHLPP1 plays a significant role in exacerbating myocardial IR injury in diabetic mice. Knockdown of PHLPP1 to activate the STAT3 signaling pathway may represent a novel strategy for alleviating myocardial IR injury in diabetes.</t>
  </si>
  <si>
    <t>[Gao, Sumin; Qiu, Yun; Meng, Yuming; Jia, Yajuan; Lang, Xuemei; Zhao, Hongmei; Sun, Hong] Nanjing Med Univ, Affiliated Huaian Peoples Hosp 1, Dept Emergency Med, Huaian, Peoples R China; [Zhang, Jinsong] Nanjing Med Univ, Affiliated Hosp 1, Dept Emergency Med, Nanjing, Peoples R China; [Ding, Lianshu] Nanjing Med Univ, Dept Neurosurg, Affiliated Huaian 1 Peoples Hosp, Huaian, Peoples R China</t>
  </si>
  <si>
    <t>Nanjing Medical University; Nanjing Medical University; Nanjing Medical University</t>
  </si>
  <si>
    <t>Zhang, JS (corresponding author), Nanjing Med Univ, Affiliated Hosp 1, Dept Emergency Med, Nanjing, Peoples R China.;Ding, LS (corresponding author), Nanjing Med Univ, Dept Neurosurg, Affiliated Huaian 1 Peoples Hosp, Huaian, Peoples R China.</t>
  </si>
  <si>
    <t>zhangjso@njmu.edu.cn; dlshu@163.com</t>
  </si>
  <si>
    <t>0145-479X</t>
  </si>
  <si>
    <t>1573-6881</t>
  </si>
  <si>
    <t>J BIOENERG BIOMEMBR</t>
  </si>
  <si>
    <t>J. Bioenerg. Biomembr.</t>
  </si>
  <si>
    <t>10.1007/s10863-023-09977-4</t>
  </si>
  <si>
    <t>Biophysics; Cell Biology</t>
  </si>
  <si>
    <t>P2RJ1</t>
  </si>
  <si>
    <t>WOS:001049159900001</t>
  </si>
  <si>
    <t>Garcia-Aparicio, L; Martin-Sole, O; Capdevila-Vilaro, B; Perez-Bertolez, S</t>
  </si>
  <si>
    <t>Garcia-Aparicio, Luis; Martin-Sole, Oriol; Capdevila-Vilaro, Blanca; Perez-Bertolez, Sonia</t>
  </si>
  <si>
    <t>Long-term outcome of randomized clinical trial between polyacrylate-polyalcohol copolymer (PPC) and dextranomer-hyaluronic acid copolymer (Dx/HA) as bulking agents for endoscopic treatment of primary vesicoureteral reflux (VUR)</t>
  </si>
  <si>
    <t>WORLD JOURNAL OF UROLOGY</t>
  </si>
  <si>
    <t>Vesicoureteral reflux; Endoscopic treatment; Dextranomer; hyaluronic acid copolymer; Polyacrylate-polyalcohol copolymer</t>
  </si>
  <si>
    <t>ObjectiveThe aim of our study is to compare long-term outcome of endoscopic treatment of VUR using PPC or Dx/HA.Patients and methodsFrom October 2014 to April 2017 patients with VUR grades from 3 to 5 that needed endoscopic treatment were eligible for this RCT.Patients were randomized in two groups: PPC and Dx/HA. A VCUG was performed at 6 months; if VUR &gt; 3 was still present a second ET was performed.We included for this long-term follow-up study those patients that were successfully treated at short-term follow-up. At 36 months postoperative VCUG was performed to assess outcome.Success was considered if postoperative VUR grade was 0 at 36 months, and there was no ureteral obstruction.ResultsIn the previous study, 60/73 ureters were successfully treated in 36/44 patients, and then we have analyzed 60 ureters in 36 patients. Three patients were lost in long-term follow-up, and then we analyzed 57 ureters in 33 patients divided. PPC group 18 patients (28 ureters); and Dx/HA group 15 patients (29 ureters).After 3 years of follow-up the VCUG showed a success rate of 26/28 of RU in PPC and 26/29 of DX/HA. Two RU in PPC group had ureteral obstruction, and then the successful rate for PPC group dropped to 24/28.The overall successful rate at long-term was 72.7% of the RU in PPC group and 70.3% in Dx/HA group.ConclusionPPC and Dx/HA has similar long-term outcome in VUR resolution, but ureteral obstruction could be present at long-term follow-up in PPC group.</t>
  </si>
  <si>
    <t>[Garcia-Aparicio, Luis; Martin-Sole, Oriol; Capdevila-Vilaro, Blanca; Perez-Bertolez, Sonia] Univ Barcelona, Hosp St Joan de Deu, Pediat Surg Dept, Pediat Urol Div, Passeig St Joan de Deu 2, Barcelona 08950, Spain</t>
  </si>
  <si>
    <t>University of Barcelona</t>
  </si>
  <si>
    <t>Garcia-Aparicio, L (corresponding author), Univ Barcelona, Hosp St Joan de Deu, Pediat Surg Dept, Pediat Urol Div, Passeig St Joan de Deu 2, Barcelona 08950, Spain.</t>
  </si>
  <si>
    <t>lgarcia@sjdhospitalbarcelona.org</t>
  </si>
  <si>
    <t>0724-4983</t>
  </si>
  <si>
    <t>1433-8726</t>
  </si>
  <si>
    <t>WORLD J UROL</t>
  </si>
  <si>
    <t>World J. Urol.</t>
  </si>
  <si>
    <t>10.1007/s00345-023-04548-z</t>
  </si>
  <si>
    <t>P2PV3</t>
  </si>
  <si>
    <t>WOS:001049120000002</t>
  </si>
  <si>
    <t>Gartaganis, PS; Natsi, PD; Gartaganis, SP; Koutsoukos, PG; Manousakis, E; Karmiris, E</t>
  </si>
  <si>
    <t>Gartaganis, Panos S.; Natsi, Panagiota D.; Gartaganis, Sotirios P.; Koutsoukos, Petros G.; Manousakis, Evangelos; Karmiris, Efthymios</t>
  </si>
  <si>
    <t>Explantation of a sutureless scleral fixated Carlevale intraocular lens due to calcification: a clinical and laboratory report</t>
  </si>
  <si>
    <t>BMC OPHTHALMOLOGY</t>
  </si>
  <si>
    <t>Hydrophilic acrylic intraocular lens; Calcification; Opacification</t>
  </si>
  <si>
    <t>BackgroundHydrophilic intraocular lens opacification is a rare complication due to calcification. With current new surgical techniques, including lamellar endothelial keratoplasty and vitrectomies, this irreversible complication is becoming more common. In this case study, we present clinical and laboratory features of a case of Carlevale hydrophilic acrylic IOL calcification.Case presentationObservational case report of a single incident case. An 83-year-old man was referred to our ophthalmic department complaining of right eye vision blurring for six months. Slit-lamp biomicroscopy revealed IOL opacification. Deposits of calcium phosphate were found both on the IOL's surface and inside it, according to thorough investigation using optical, scanning electron microscopy (SEM), and energy-dispersive X-ray (EDX) spectrometry.ConclusionsTo the best of our knowledge, this is the first case to describe the laboratory evidence of Carlevale hydrophilic IOL calcification, suggesting possible explanation mechanisms based on underlying pathology and surgical technique. It reminds us that these findings suggest that physicians should be aware of possible hydrophilic IOL calcification.</t>
  </si>
  <si>
    <t>[Gartaganis, Panos S.; Manousakis, Evangelos; Karmiris, Efthymios] 251 Hellen AF Gen Hosp, Dept Ophthalmol, 16 Avras Str, Athens 16673, Greece; [Natsi, Panagiota D.; Koutsoukos, Petros G.] Univ Patras, Dept Chem Engn, Lab Inorgan &amp; Analyt Chem, Patras, Greece; [Natsi, Panagiota D.; Koutsoukos, Petros G.] FORTH ICE HT, Patras, Greece; [Gartaganis, Sotirios P.] Univ Patras, Med Sch, Dept Ophthalmol, Patras, Greece</t>
  </si>
  <si>
    <t>University of Patras; Foundation for Research &amp; Technology - Hellas (FORTH); Institute of Chemical Engineering Sciences (ICE-HT); University of Patras</t>
  </si>
  <si>
    <t>Gartaganis, PS (corresponding author), 251 Hellen AF Gen Hosp, Dept Ophthalmol, 16 Avras Str, Athens 16673, Greece.</t>
  </si>
  <si>
    <t>gartaganisp@gmail.com</t>
  </si>
  <si>
    <t>1471-2415</t>
  </si>
  <si>
    <t>BMC OPHTHALMOL</t>
  </si>
  <si>
    <t>BMC Ophthalmol.</t>
  </si>
  <si>
    <t>10.1186/s12886-023-03102-0</t>
  </si>
  <si>
    <t>P1WL0</t>
  </si>
  <si>
    <t>WOS:001048613700002</t>
  </si>
  <si>
    <t>Georgieva, SK; Georgieva, A; Peteva, ZV; Trifonova, TP</t>
  </si>
  <si>
    <t>Georgieva, Stanislava K.; Georgieva, Angelika; Peteva, Zlatina V.; Trifonova, Temenuga P.</t>
  </si>
  <si>
    <t>Polycyclic aromatic hydrocarbons contamination levels of dried herbal teas and their infusions</t>
  </si>
  <si>
    <t>EUROPEAN FOOD RESEARCH AND TECHNOLOGY</t>
  </si>
  <si>
    <t>Polycyclic aromatic hydrocarbons; Medicinal plants; Herbal teas; Daily intake</t>
  </si>
  <si>
    <t>PAHS</t>
  </si>
  <si>
    <t>Medicinal plants and herbs are commonly used for preparing teas as water infusions but they may be contaminated with environmental pollutants such as polycyclic aromatic hydrocarbons (PAHs). The aim of the study was to assess the contamination levels of polycyclic aromatic hydrocarbons in dried herbal teas and their transfer into water infusions. The PAHs concentrations were determined in dried tea from five plant species: Matricaria chamomilla L., Thymus serpyllum L., Tilia tomentosa Moench, Sambucus nigra L. and Achillea millefolium L. Dried herbal teas from different commercial brands were purchased from Bulgarian markets. Detection of PAHs was performed using gas chromatography coupled with mass spectrometry (GC-MS). In dried tea samples, PAHs with 3 and 4 aromatic rings were predominant with a contribution over 79%, whereas 5-6 rings PAHs were not detected. Benzo[a]pyrene was found below the limit of detection both in dried teas and their water infusion. The results showed white yarrow as the least contaminated herbal tea, while teas made of Tilia tomentosa Moench (linden) were more polluted (mean total content of 13 PAHs-274 &amp; mu;g/kg dw). The mean content of PAHs in infusions ranged from 185 to 478 ng/L (in white yarrow and linden teas, respectively). The mean transfer rates of sum 13 PAHs from dried herbs into water infusions were found in the range 15.4-56.7%. The potential health risk by tea consumption was assess by evaluation of daily intake of PAHs.</t>
  </si>
  <si>
    <t>[Georgieva, Stanislava K.; Georgieva, Angelika; Peteva, Zlatina V.] Med Univ Varna, Fac Pharm, Dept Chem, 84 Tsar Osvoboditel Str, Varna, Varna, Bulgaria; [Trifonova, Temenuga P.] Med Univ Varna, Fac Pharm, Dept Pharmaceut Technol, 84 Tsar Osvoboditel Str, Varna, Varna, Bulgaria</t>
  </si>
  <si>
    <t>Medical University Varna; Medical University Varna</t>
  </si>
  <si>
    <t>Georgieva, SK (corresponding author), Med Univ Varna, Fac Pharm, Dept Chem, 84 Tsar Osvoboditel Str, Varna, Varna, Bulgaria.</t>
  </si>
  <si>
    <t>stgeorgieva@mu-varna.bg</t>
  </si>
  <si>
    <t>Georgieva, Stanislava Katelieva/JCE-6158-2023</t>
  </si>
  <si>
    <t>Georgieva, Stanislava Katelieva/0000-0003-2373-6144</t>
  </si>
  <si>
    <t>Medical University-Varna, Science fund [?H-17/27.01.2021]</t>
  </si>
  <si>
    <t>Medical University-Varna, Science fund</t>
  </si>
  <si>
    <t>This work was supported by Medical University-Varna, Science fund, project contract ? ?H-17/27.01.2021.</t>
  </si>
  <si>
    <t>1438-2377</t>
  </si>
  <si>
    <t>1438-2385</t>
  </si>
  <si>
    <t>EUR FOOD RES TECHNOL</t>
  </si>
  <si>
    <t>Eur. Food Res. Technol.</t>
  </si>
  <si>
    <t>10.1007/s00217-023-04344-4</t>
  </si>
  <si>
    <t>S1FY7</t>
  </si>
  <si>
    <t>WOS:001049123500001</t>
  </si>
  <si>
    <t>Guerra, GN; Neto, GJM; Alves, RMB; Pontes, LAM</t>
  </si>
  <si>
    <t>Guerra, Gabriel N.; Neto, Guilherme J. Musse; Alves, Rita M. B.; Pontes, Luiz A. M.</t>
  </si>
  <si>
    <t>Conceptual process and surrogate optimization of acrylonitrile production from glycerol via green propylene</t>
  </si>
  <si>
    <t>BRAZILIAN JOURNAL OF CHEMICAL ENGINEERING</t>
  </si>
  <si>
    <t>Acrylonitrile; Biorefinery; Glycerol; Surrogate-Based Optimization; Renewable Chemicals</t>
  </si>
  <si>
    <t>Acrylonitrile is a commodity currently produced from petrochemical propylene, with significant economic importance. The development of a sustainable and economically viable process for acrylonitrile production from a renewable resource will contribute significantly to the rise of this technology. This work proposes a conceptual process for producing green propylene from glycerol hydrogenation, followed by producing renewable acrylonitrile from green propylene. The main innovation of the proposed process is the hydrogenation section, where renewable propylene is obtained by glycerol hydrogenation and recovered by absorption and distillation. The proposed process was simulated, and the equipment purchase and operating costs were estimated. The results show that most of the plant costs are related to fractionation operations (45.84% of the purchase costs and 63.84% of the operational costs), among which the final propylene purification column is the most costly. In this way, this column was used as study case for surrogate-based optimization tests, where three surrogate models (polynomial, kriging and artificial neural network) and two optimization methods (quasi-Newton and genetic algorithm) were compared. These tests indicated that an artificial neural network (ANN) and a quasi-newton algorithm were the best combination of surrogate model and optimization algorithm, which resulted in a more significant annual cost reduction for the study case.</t>
  </si>
  <si>
    <t>[Guerra, Gabriel N.; Neto, Guilherme J. Musse; Pontes, Luiz A. M.] Univ Fed Bahia, Grad Program Chem Engn, 2 Prof Aristides Novis St Federacao, BR-40210630 Salvador, BA, Brazil; [Alves, Rita M. B.] Univ Sao Paulo, Dept Chem Engn, Escola Politecn, 380 Prof Luciano Gualberto Ave, BR-05508010 Sao Paulo, SP, Brazil</t>
  </si>
  <si>
    <t>Universidade Federal da Bahia; Universidade de Sao Paulo</t>
  </si>
  <si>
    <t>Pontes, LAM (corresponding author), Univ Fed Bahia, Grad Program Chem Engn, 2 Prof Aristides Novis St Federacao, BR-40210630 Salvador, BA, Brazil.</t>
  </si>
  <si>
    <t>uolpontes@uol.com.br</t>
  </si>
  <si>
    <t>Alves, Rita M B/B-9853-2014</t>
  </si>
  <si>
    <t>Alves, Rita M B/0000-0002-1914-5133</t>
  </si>
  <si>
    <t>FAPESB - Bahia Research Foundation; FAPESP- The Sao Paulo Research Foundation [2019/27111-3]; Personnel Coordination of Improvement of Higher Level-Brazil (CAPES) [001]</t>
  </si>
  <si>
    <t>FAPESB - Bahia Research Foundation; FAPESP- The Sao Paulo Research Foundation; Personnel Coordination of Improvement of Higher Level-Brazil (CAPES)(Coordenacao de Aperfeicoamento de Pessoal de Nivel Superior (CAPES))</t>
  </si>
  <si>
    <t>The authors gratefully acknowledge the FAPESB - Bahia Research Foundation and FAPESP- The ao Paulo Research Foundation (# 2019/27111-3) for their financial support. The authors are also grateful for the support received by Unigel. This study was financed in part by the Personnel Coordination of Improvement of Higher Level-Brazil (CAPES)-Finance Code 001.</t>
  </si>
  <si>
    <t>0104-6632</t>
  </si>
  <si>
    <t>1678-4383</t>
  </si>
  <si>
    <t>BRAZ J CHEM ENG</t>
  </si>
  <si>
    <t>Braz. J. Chem. Eng.</t>
  </si>
  <si>
    <t>10.1007/s43153-023-00387-y</t>
  </si>
  <si>
    <t>Engineering, Chemical</t>
  </si>
  <si>
    <t>P3OU4</t>
  </si>
  <si>
    <t>WOS:001049778100002</t>
  </si>
  <si>
    <t>Gupta, G; Bala, N; Rath, S</t>
  </si>
  <si>
    <t>Gupta, Gaurav; Bala, Nisha; Rath, Shyama</t>
  </si>
  <si>
    <t>Electrochemical performance of ZnMgO photoanodes prepared by a green synthesis route</t>
  </si>
  <si>
    <t>MRS COMMUNICATIONS</t>
  </si>
  <si>
    <t>II-VI; Mg; Chemical synthesis; Dopant; Porosity; Defects; Energy storage</t>
  </si>
  <si>
    <t>DOPED ZNO NANOPARTICLES; BEHAVIOR; NANOSTRUCTURES; MORPHOLOGY; FILMS</t>
  </si>
  <si>
    <t>Mesoporous ZnMgO nanopowders with varying Mg compositions (0 &lt;= x &lt;= 0.15) were synthesized via a green synthesis method using Psidium Guajava leaf extract. X-ray diffraction confirms a 10% solubility of Mg in ZnO and a preservation of the wurtzite phase. The 5% Mg doped ZnO sample shows a higher electrochemical performance with an electron lifetime of 35.63 mu s and a phase angle of - 2.263 degrees and correlated to the particle size, surface area, and the oxygen vacancy concentration, which is determined both from the phonon correlation length of the E-2(high) Raman and the defect emission band measured from photoluminescence spectroscopy.</t>
  </si>
  <si>
    <t>[Gupta, Gaurav; Rath, Shyama] Univ Delhi, Dept Phys &amp; Astrophys, Delhi 110007, India; [Bala, Nisha] Univ Delhi, Daulat Ram Coll, Dept Phys, Delhi 110007, India</t>
  </si>
  <si>
    <t>Rath, S (corresponding author), Univ Delhi, Dept Phys &amp; Astrophys, Delhi 110007, India.</t>
  </si>
  <si>
    <t>srath@physics.du.ac.in</t>
  </si>
  <si>
    <t>DST INSPIRE Fellowship [DST/AORC-IF/UPGRD/IF170870]; UGC [22/06/2014(i)EU-V]; IoE [/IoE/2021/12/FRP]</t>
  </si>
  <si>
    <t>DST INSPIRE Fellowship; UGC(University Grants Commission, India); IoE</t>
  </si>
  <si>
    <t>Gaurav Gupta thanks DST INSPIRE Fellowship for a Senior Research Fellowship (Ref No. DST/AORC-IF/UPGRD/IF170870). Nisha Bala thanks UGC for Senior Research Fellowship (REF. No. 22/06/2014(i)EU-V). Funding from IoE Grant No. Ref. No./IoE/2021/12/FRP is acknowledged. The authors are thankful to CEF, Department of Physics and Astrophysics and USIC, University of Delhi for XRD, TGA and BET facilities. We thank Shikha Verma and Santosh Choudhury for the photoluminescence measurements.</t>
  </si>
  <si>
    <t>2159-6859</t>
  </si>
  <si>
    <t>2159-6867</t>
  </si>
  <si>
    <t>MRS COMMUN</t>
  </si>
  <si>
    <t>MRS Commun.</t>
  </si>
  <si>
    <t>10.1557/s43579-023-00422-6</t>
  </si>
  <si>
    <t>P3OU8</t>
  </si>
  <si>
    <t>WOS:001049778500006</t>
  </si>
  <si>
    <t>Jerushah, AS; Sherline, JA; Robinson, JA; Vinodha, C; Shyla, JM</t>
  </si>
  <si>
    <t>Jerushah, Arokiaraj Shiny; Sherline, Joseph Akshara; Robinson, Jesudas Antony; Vinodha, Charlie; Shyla, Joseph Merline</t>
  </si>
  <si>
    <t>Probing the effect of precursor concentration on the growth and properties of titanium dioxide nanocones for environment safe solar cells</t>
  </si>
  <si>
    <t>Environment friendly; Solar cells; Titanium dioxide; Nanocones; Electron transport layer; Photoconductivity</t>
  </si>
  <si>
    <t>BAND-GAP; TIO2; PERFORMANCE; EFFICIENT; LAYER; SIZE</t>
  </si>
  <si>
    <t>Environment friendly third-generation solar cells sensitized by dyes, quantum dots, and perovskites are seen as promising energy alternatives. Among the various strategies, employing one-dimensional nanostructures that exemplify the smallest dimension for efficient carrier transport rate from the active layer to electron transport layer (ETL) in photovoltaic devices is attempted in this work. We herein report the synthesis of well-aligned 1-D TiO2 nanocones as ETL for photovoltaic thin films by varying the precursor concentration (0.03 M, 0.04 M, 0.05 M) to track the evolution of growth. The hydrothermal approach is exploited to grow oriented rutile TiO2 nanocones on fluorine doped tin oxide (FTO) under neutral conditions. The examination of phase, crystallinity, morphology, and opto-electronic properties of the well-structured nanocone arrays is characterized by X-ray diffraction (XRD), scanning electron microscopy (SEM), energy dispersive X-ray spectroscopy (EDX), ultra violet diffuse reflectance spectroscopy (UV-DRS), Brunnauer-Emmett-Teller (BET) surface area analysis, and field-dependent dark and photoconductivity analysis. The XRD pattern confirms the formation of the tetragonal rutile phase. SEM micrographs and UV-DRS spectroscopy reveals that the length of the nanocones and the energy gap is found to be maximum for 0.04 M concentration with a well-defined excitation band at 316 nm. Significantly, a strong light-trapping effect that decreases the incident light reflections and correspondingly increases the light absorption is unveiled through photoconductive studies for the TiO2 nanocones at 0.04 M having a surface area of 81.767 m(2)/g. The investigation essentially suggests that the as-prepared one-dimensional nanostructures would serve as efficient photoanodes in environment safe third-generation solar cells.</t>
  </si>
  <si>
    <t>[Jerushah, Arokiaraj Shiny; Sherline, Joseph Akshara; Robinson, Jesudas Antony; Vinodha, Charlie; Shyla, Joseph Merline] Loyola Coll Autonomous, Loyola Inst Frontier Energy LIFE, Energy Nanotechnol Ctr ENTeC, Dept Phys, Chennai 600034, India</t>
  </si>
  <si>
    <t>Loyola College - Chennai</t>
  </si>
  <si>
    <t>Shyla, JM (corresponding author), Loyola Coll Autonomous, Loyola Inst Frontier Energy LIFE, Energy Nanotechnol Ctr ENTeC, Dept Phys, Chennai 600034, India.</t>
  </si>
  <si>
    <t>jmshyla@loyolacollege.edu</t>
  </si>
  <si>
    <t>, Dr J Merline Shyla/0000-0002-6117-2346</t>
  </si>
  <si>
    <t>Science and Engineering Research Board, Department of Science and Technology, Government of India, through the Core Research Grant (CRG) scheme [CRG/2022/008338]</t>
  </si>
  <si>
    <t>Science and Engineering Research Board, Department of Science and Technology, Government of India, through the Core Research Grant (CRG) scheme</t>
  </si>
  <si>
    <t>The authors acknowledge the funding support extended by the Science and Engineering Research Board, Department of Science and Technology, Government of India, through the Core Research Grant (CRG) scheme (CRG/2022/008338).</t>
  </si>
  <si>
    <t>10.1007/s11356-023-29187-0</t>
  </si>
  <si>
    <t>WOS:001049824000012</t>
  </si>
  <si>
    <t>Johnson, JA; Moore, BJ; Syrnioti, G; Eden, CM; Wright, D; Newman, LA</t>
  </si>
  <si>
    <t>Johnson, Josh A.; Moore, Brandon J.; Syrnioti, Georgia; Eden, Claire M.; Wright, Drew; Newman, Lisa A.</t>
  </si>
  <si>
    <t>Landmark Series: The Cancer Genome Atlas and the Study of Breast Cancer Disparities</t>
  </si>
  <si>
    <t>Breast cancer disparities; Genetic ancestry; Cancer genomics</t>
  </si>
  <si>
    <t>HOMOLOGOUS RECOMBINATION DEFICIENCY; AFRICAN-AMERICAN; RACE; SURVIVAL; ASSOCIATION; METHYLATION; EXPRESSION; CHEMOKINES; LANDSCAPE; ANCESTRY</t>
  </si>
  <si>
    <t>Race-related variation in breast cancer incidence and mortality are well-documented in the United States. The effect of genetic ancestry on disparities in tumor genomics, risk factors, treatment, and outcomes of breast cancer is less understood. The Cancer Genome Atlas (TCGA) is a publicly available resource that has allowed for the recent emergence of genome analysis research seeking to characterize tumor DNA and protein expression by ancestry as well as the social construction of race and ethnicity. Results from TCGA based studies support previous clinical evidence that demonstrates that American women with African ancestry are more likely to be afflicted with breast cancers featuring aggressive biology and poorer outcomes compared with women with other backgrounds. Data from TCGA based studies suggest that Asian women have tumors with favorable immune microenvironments and may experience better disease-free survival compared with white Americans. TCGA contains limited data on Hispanic/Latinx patients due to small sample size. Overall, TCGA provides important opportunities to define the molecular, biologic, and germline genetic factors that contribute to breast cancer disparities.</t>
  </si>
  <si>
    <t>[Johnson, Josh A.; Syrnioti, Georgia; Newman, Lisa A.] Weill Cornell Med, New York Presbyterian, Dept Surg, New York, NY 10065 USA; [Moore, Brandon J.] Columbia Univ, New York, NY USA; [Eden, Claire M.] Weill Cornell Med, New York Presbyterian Queens, Dept Surg, Flushing, NY USA; [Wright, Drew] Weill Cornell Med, Samuel J Wood Lib, New York, NY USA</t>
  </si>
  <si>
    <t>Cornell University; Weill Cornell Medicine; NewYork-Presbyterian Hospital; Columbia University; Cornell University; Weill Cornell Medicine; Cornell University; Weill Cornell Medicine</t>
  </si>
  <si>
    <t>Newman, LA (corresponding author), Weill Cornell Med, New York Presbyterian, Dept Surg, New York, NY 10065 USA.</t>
  </si>
  <si>
    <t>Lan4002@med.cornell.edu</t>
  </si>
  <si>
    <t>10.1245/s10434-023-13866-w</t>
  </si>
  <si>
    <t>P3PF0</t>
  </si>
  <si>
    <t>WOS:001049788900004</t>
  </si>
  <si>
    <t>Jose, A; de Mendonca, JPA; Devijver, E; Jakse, N; Monbet, V; Poloni, R</t>
  </si>
  <si>
    <t>Jose, Ashna; de Mendonca, Joao Paulo Almeida; Devijver, Emilie; Jakse, Noel; Monbet, Valerie; Poloni, Roberta</t>
  </si>
  <si>
    <t>Regression tree-based active learning</t>
  </si>
  <si>
    <t>Active learning; Non-parametric regression; Standard regression trees; Query-based learning</t>
  </si>
  <si>
    <t>DESIGNS; OPTIMALITY; MODELS</t>
  </si>
  <si>
    <t>Machine learning algorithms often require large training sets to perform well, but labeling such large amounts of data is not always feasible, as in many applications, substantial human effort and material cost is needed. Finding effective ways to reduce the size of training sets while maintaining the same performance is then crucial: one wants to choose the best sample of fixed size to be labeled among a given population, aiming at an accurate prediction of the response. This challenge has been studied in detail in classification, but not deeply enough in regression, which is known to be a more difficult task for active learning despite its need in practice. Few model-free active learning methods have been proposed that detect the new samples to be labeled using unlabeled data, but they lack the information of the conditional distribution between the response and the features. In this paper, we propose a standard regression tree-based active learning method for regression that improves significantly upon existing active learning approaches. It provides impressive results for small and large training sets and an appreciably low variance within several runs. We also exploit model-free approaches, and adapt them to our algorithm to utilize maximum information. Through experiments on numerous benchmark datasets, we demonstrate that our framework improves existing methods and is effective in learning a regression model from a very limited labeled dataset, reducing the sample size for a fixed level of performance, even with many features.</t>
  </si>
  <si>
    <t>[Jose, Ashna; de Mendonca, Joao Paulo Almeida; Jakse, Noel; Poloni, Roberta] Univ Grenoble Alpes, CNRS, Grenoble INP, SIMaP, F-38000 Grenoble, France; [Devijver, Emilie] Univ Grenoble Alpes, CNRS, Grenoble INP, LIG, F-38000 Grenoble, France; [Monbet, Valerie] Univ Rennes &amp; Inria, CNRS, UMR 6625, IRMAR, F-35000 Rennes, France</t>
  </si>
  <si>
    <t>UDICE-French Research Universities; Communaute Universite Grenoble Alpes; Institut National Polytechnique de Grenoble; Universite Grenoble Alpes (UGA); Centre National de la Recherche Scientifique (CNRS); UDICE-French Research Universities; Communaute Universite Grenoble Alpes; Institut National Polytechnique de Grenoble; Universite Grenoble Alpes (UGA); Centre National de la Recherche Scientifique (CNRS); Centre National de la Recherche Scientifique (CNRS); CNRS - National Institute for Mathematical Sciences (INSMI); Universite de Rennes</t>
  </si>
  <si>
    <t>Jose, A (corresponding author), Univ Grenoble Alpes, CNRS, Grenoble INP, SIMaP, F-38000 Grenoble, France.</t>
  </si>
  <si>
    <t>ashna.jose@grenoble-inp.fr; joao-paulo.almeida-de-mendonca@grenoble-inp.fr; emilie.devijver@univ-grenoble-alpes.fr; noel.jakse@grenoble-inp.fr; valerie.monbet@univ-rennesl.fr; roberta.poloni@grenoble-inp.fr</t>
  </si>
  <si>
    <t>MIAI@Grenoble Alpes [ANR-19-P31A-0003]</t>
  </si>
  <si>
    <t>MIAI@Grenoble Alpes</t>
  </si>
  <si>
    <t>This work has been partially supported by MIAI@Grenoble Alpes (ANR-19-P31A-0003).</t>
  </si>
  <si>
    <t>10.1007/s10618-023-00951-7</t>
  </si>
  <si>
    <t>P2RE3</t>
  </si>
  <si>
    <t>WOS:001049155100001</t>
  </si>
  <si>
    <t>Kelly, DS; Sabharwal, S; Ramsey, DJ; Morkin, MI</t>
  </si>
  <si>
    <t>Kelly, Donel S.; Sabharwal, Sabhyta; Ramsey, David J.; Morkin, Melina I.</t>
  </si>
  <si>
    <t>The effects of female sex hormones on the human cornea across a woman's life cycle</t>
  </si>
  <si>
    <t>Female hormones; Menstruation; Pregnancy; Menopause; Cornea</t>
  </si>
  <si>
    <t>INTRAOCULAR-PRESSURE CHANGES; BOVINE AQUEOUS-HUMOR; MENSTRUAL-CYCLE; REPLACEMENT THERAPY; BIOMECHANICAL PARAMETERS; POSTMENOPAUSAL WOMEN; OCULAR SURFACE; TEAR FUNCTION; DRY EYE; PREGNANCY</t>
  </si>
  <si>
    <t>The cornea is a hormone-responsive tissue that responds to changing levels of female sex hormones. This review focuses on the structural and functional changes in the human cornea associated with the hormonal milestones of menarche, pregnancy, and menopause, as well as consequences stemming from the use of exogenous sex hormones for fertility control and replacement. Articles were identified by searching PubMed without language or region restrictions. The primary outcomes evaluated were changes in central corneal thickness (CCT), intraocular pressure (IOP), and quality of the ocular tear film. The potential impact of hormone-associated changes on the diagnosis and surgical management of common eye diseases, as well as the potential use of sex hormones as therapeutic agents is also considered. Understanding the physiological effects of female sex hormones on the cornea is important because that knowledge can shape the management decisions physicians and women face about ocular health across their life stages.</t>
  </si>
  <si>
    <t>[Kelly, Donel S.] US Naval Hosp Okinawa, Ginowan, Japan; [Sabharwal, Sabhyta] Scheie Eye Inst, Philadelphia, PA 19104 USA; [Ramsey, David J.] Lahey Hosp &amp; Med Ctr, Dept Ophthalmol, Burlington, MA 01805 USA; [Ramsey, David J.; Morkin, Melina I.] Tufts Univ, Dept Ophthalmol, Sch Med, 800 Washington St, Boston, MA 02111 USA</t>
  </si>
  <si>
    <t>University of Pennsylvania; Pennsylvania Medicine; Lahey Hospital &amp; Medical Center; Tufts University</t>
  </si>
  <si>
    <t>Morkin, MI (corresponding author), Tufts Univ, Dept Ophthalmol, Sch Med, 800 Washington St, Boston, MA 02111 USA.</t>
  </si>
  <si>
    <t>melmorkin@gmail.com</t>
  </si>
  <si>
    <t>10.1186/s12886-023-03085-y</t>
  </si>
  <si>
    <t>WOS:001048613700001</t>
  </si>
  <si>
    <t>Khan, A; Goswami, A; Choudhury, T</t>
  </si>
  <si>
    <t>Khan, Asif; Goswami, Anju; Choudhury, Tonmoy</t>
  </si>
  <si>
    <t>Technology gaps, social outreach and financial sustainability of South Asian MFIs: bootstrap DEA meta-frontier approach</t>
  </si>
  <si>
    <t>ELECTRONIC COMMERCE RESEARCH</t>
  </si>
  <si>
    <t>Social outreach; Financial sustainability; Bootstrap data envelopment analysis; DEA meta-frontier; South Asia; Microfinance institutions</t>
  </si>
  <si>
    <t>MICROFINANCE INSTITUTIONS; ENERGY EFFICIENCY; PERFORMANCE; DECOMPOSITION; PRODUCTIVITY; DETERMINANTS; 2-STAGE; CHINA</t>
  </si>
  <si>
    <t>The Microfinance Institutions (MFIs) operate to achieve twin objectives: financial and social. South Asian MFIs have a major industry share in terms of clients and loan portfolios. However, the operating environment in terms of culture, legalities, technology, regulations, and funding is heterogeneous. Additionally, the diverse environment also affects the MFIs' performance in different ways. Therefore, the objective of this paper is to examine the dual goals (financial and social) of MFIs operating in South Asia. The authors incorporate bootstrap data envelopment analysis to measure bias-corrected efficiency scores. Additionally, to account for technological heterogeneity, we have opted for a meta-frontier approach. The authors also estimated the technology gap ratios and relative inefficiencies of individual MFIs. Our analysis is based on 2258 observations of MFIs operating during the years 2005 to 2018 in India, Bangladesh, Nepal, and Pakistan. Our results confirm that MFIs in the South Asian constituency are inclined towards financial goals rather than social outreach. Moreover, managerial inefficiency is the main cause of the lower level of performance in the selected region. Therefore, MFIs need to allocate resources efficiently and adopt the latest technology to further enhance social as well as financial performance levels.</t>
  </si>
  <si>
    <t>[Khan, Asif] Inst Mangement Technol IMT Nagpur, Nagpur 441502, Maharastra, India; [Goswami, Anju] Indian Inst Foreign Trade, Dept Finance, New Delhi 110016, India; [Choudhury, Tonmoy] King Fahd Univ Petr &amp; Minerals, KFUPM Business Sch, Dept Accounting &amp; Finance, Dhahran 31261, Saudi Arabia</t>
  </si>
  <si>
    <t>King Fahd University of Petroleum &amp; Minerals</t>
  </si>
  <si>
    <t>Khan, A (corresponding author), Inst Mangement Technol IMT Nagpur, Nagpur 441502, Maharastra, India.</t>
  </si>
  <si>
    <t>khanasifdu786@gmail.com</t>
  </si>
  <si>
    <t>Khan, Asif/B-2690-2016</t>
  </si>
  <si>
    <t>Khan, Asif/0000-0001-5288-3245</t>
  </si>
  <si>
    <t>1389-5753</t>
  </si>
  <si>
    <t>1572-9362</t>
  </si>
  <si>
    <t>ELECTRON COMMER RES</t>
  </si>
  <si>
    <t>Electron. Commer. Res.</t>
  </si>
  <si>
    <t>10.1007/s10660-023-09747-9</t>
  </si>
  <si>
    <t>P4NP8</t>
  </si>
  <si>
    <t>WOS:001050433300001</t>
  </si>
  <si>
    <t>Kolakkanni, C; Gonnade, NM; Gaur, R; Nayyar, AK; Ghuleliya, R; Tk, A</t>
  </si>
  <si>
    <t>Kolakkanni, Chinchu; Gonnade, Nitesh Manohar; Gaur, Ravi; Nayyar, Ashish Kumar; Ghuleliya, Rambeer; Tk, Abins</t>
  </si>
  <si>
    <t>Can ultrasound-guided radiofrequency ablation of genicular nerves of the knee, be performed without locating corresponding arterial pulsations-a cadaveric study</t>
  </si>
  <si>
    <t>Genicular nerve; Radiofrequency ablation (RFA); Ultrasound; SMGN; SLGN; IMGN; Bony landmarks</t>
  </si>
  <si>
    <t>DOUBLE-BLIND; PULSED RADIOFREQUENCY; CHRONIC PAIN; OSTEOARTHRITIS; BLOCK; INNERVATION; MANAGEMENT; NEUROTOMY; RELIEF</t>
  </si>
  <si>
    <t>IntroductionGiven the rising prevalence of knee osteoarthritis, radiofrequency ablation of genicular nerves (RFA) has emerged as a promising treatment option for knee pain. The knee has an extremely complex and variable innervation with nearly 13 genicular nerves described. The frequently ablated genicular nerves are the superomedial (SMGN), the superolateral (SLGN), and the inferomedial (IMGN) genicular nerves. Conventionally, under ultrasound guidance, these nerves are ablated near the corresponding arterial pulsations, but due to the rich vascular anastomosis around the knee joint, identifying the arteries corresponding to these constant genicular nerves can be tedious unless guided by some bony landmarks. In this study, we have evaluated whether it is possible to accurately target these three genicular nerves by just locating bony landmarks under ultrasound in human cadaveric knee specimens.MethodsFifteen formalin-fixed cadaveric knee specimens were studied. SMGN was targeted 1 cm anterior to the adductor tubercle in the axial view. For SLGN, in the coronal view, the junction of the lateral femoral condyle and shaft was identified, and at the same level in the axial view, the crest between the lateral and posterior femoral cortex was targeted. For IMGN in the coronal view, the midpoint between the most prominent part of the medial tibial condyle and the insertion of the deep fibers of the medial collateral ligament was marked. The medial end of the medial tibial cortex was then targeted at the same level in the axial view. The needle was inserted from anterior to posterior, with an in-plane approach for all nerves. Eosin, 2% W/V, in 0.1 ml was injected. Microdissection was done while keeping the needle in situ. Staining of the nerve was considered a positive outcome, and the percentage was calculated. The nerve-to-needle distance was measured, and the mean with an interquartile range was calculated.ResultThe accuracies of ultrasound-guided bony landmarks of SMGN, SLGN, and IMGN were 100% in terms of staining, with average nerve-to-needle distances of 1.67, 3.2, and 1.8 mm respectively.ConclusionIt is with 100% accuracy, that we can perform RFA of SMGN, SLGN, and IMGN under ultrasound guidance, by locating the aforementioned bony landmarks.</t>
  </si>
  <si>
    <t>[Kolakkanni, Chinchu; Gonnade, Nitesh Manohar; Gaur, Ravi; Ghuleliya, Rambeer; Tk, Abins] All India Inst Med Sci, Dept Phys Med &amp; Rehabil, Phase 2 Basni, Jodhpur 342005, Rajasthan, India; [Nayyar, Ashish Kumar] All India Inst Med Sci, Dept Anat, Phase 2 Basni, Jodhpur, Rajasthan, India; [Ghuleliya, Rambeer] Himalayan Inst Med Sci, Dept Phys Med &amp; Rehabil, Dehra Dun 248140, Uttaranchal, India</t>
  </si>
  <si>
    <t>All India Institute of Medical Sciences (AIIMS) Jodhpur; All India Institute of Medical Sciences (AIIMS) Jodhpur</t>
  </si>
  <si>
    <t>Gonnade, NM (corresponding author), All India Inst Med Sci, Dept Phys Med &amp; Rehabil, Phase 2 Basni, Jodhpur 342005, Rajasthan, India.</t>
  </si>
  <si>
    <t>drniteshgonnade9@gmail.com</t>
  </si>
  <si>
    <t>10.1186/s12891-023-06761-8</t>
  </si>
  <si>
    <t>P1XW5</t>
  </si>
  <si>
    <t>WOS:001048651500001</t>
  </si>
  <si>
    <t>Legierse, W</t>
  </si>
  <si>
    <t>Legierse, Wilco</t>
  </si>
  <si>
    <t>Offering Method and Pricing of IPOs: An Analysis of Stock IPOs in the Netherlands, 1918-1939</t>
  </si>
  <si>
    <t>ECONOMIST-NETHERLANDS</t>
  </si>
  <si>
    <t>Corporate finance; Going public; Initial public offering; Underpricing</t>
  </si>
  <si>
    <t>INITIAL PUBLIC OFFERINGS; INFORMATION; MARKET; ISSUES</t>
  </si>
  <si>
    <t>Research into the benefits of underwritten issues has been conducted primarily in settings that exhibit information asymmetries between issuing firms, financial intermediaries, and investors. This paper examines, during the interwar period, an era characterized by longstanding relationships between issuers, banks, and investors, the pricing and choice of method for offering shares of Dutch IPOs. Offering method in this setting is related mainly to the volume of the issue open for subscription prior to listing. The larger the volume, the more firms tended towards an underwritten offering. The pricing is found to be unrelated to offering method as well as to variables that theoretically proxy information asymmetries. The relatively low level of underpricing largely fluctuates with past investor sentiment.</t>
  </si>
  <si>
    <t>[Legierse, Wilco] Erasmus Univ, Rotterdam Sch Management, Dept Finance, POB 1738,Room T08-54-T06-49, NL-3000 DR Rotterdam, Netherlands</t>
  </si>
  <si>
    <t>Erasmus University Rotterdam; Erasmus University Rotterdam - Excl Erasmus MC</t>
  </si>
  <si>
    <t>Legierse, W (corresponding author), Erasmus Univ, Rotterdam Sch Management, Dept Finance, POB 1738,Room T08-54-T06-49, NL-3000 DR Rotterdam, Netherlands.</t>
  </si>
  <si>
    <t>wilcolegierse@ziggo.nl</t>
  </si>
  <si>
    <t>0013-063X</t>
  </si>
  <si>
    <t>1572-9982</t>
  </si>
  <si>
    <t>ECONOMIST-NETHERLAND</t>
  </si>
  <si>
    <t>Economist-Netherlands</t>
  </si>
  <si>
    <t>10.1007/s10645-023-09422-2</t>
  </si>
  <si>
    <t>Q5KD2</t>
  </si>
  <si>
    <t>WOS:001048584100001</t>
  </si>
  <si>
    <t>Lemos, A; Moriya, BK; Moura, AO; Silva, AT</t>
  </si>
  <si>
    <t>Lemos, A.; Moriya, B. K.; Moura, A. O.; Silva, A. T.</t>
  </si>
  <si>
    <t>On the number of weighted zero-sum subsequences</t>
  </si>
  <si>
    <t>Finite abelian group; Sequences and sets; Extremal 0-complete sequence</t>
  </si>
  <si>
    <t>Let G be a finite additive abelian group with exponent d(k)n, d, n &gt; 1, and k a positive integer. Fora sequence S over G and A = {1, 2, ... , d(k)n -1} \ {dkn/di : i ? [1, k]}, we investigate the lower bound of the number N-A,N-0(S), which denotes the number of A-weighted zero-sum subsequences of S. In particular, we prove that NA,0(S) = 2(|S|-D)A(G)+1, where D-A(G) is the A-weighted Davenport Constant. We also characterize the structures of the extremal sequences for which equality holds for some groups.</t>
  </si>
  <si>
    <t>[Lemos, A.; Moriya, B. K.; Moura, A. O.; Silva, A. T.] Univ Fed Vicosa, Dept Matemat, Vicosa, MG, Brazil</t>
  </si>
  <si>
    <t>Universidade Federal de Vicosa</t>
  </si>
  <si>
    <t>Silva, AT (corresponding author), Univ Fed Vicosa, Dept Matemat, Vicosa, MG, Brazil.</t>
  </si>
  <si>
    <t>abiliolemos@ufv.br; bhavinkumar@ufv.br; allan.moura@ufv.br; anderson.tiago@ufv.br</t>
  </si>
  <si>
    <t>FAPEMIG [RED-00133-21, APQ-02546-21]</t>
  </si>
  <si>
    <t>FAPEMIG(Fundacao de Amparo a Pesquisa do Estado de Minas Gerais (FAPEMIG))</t>
  </si>
  <si>
    <t>The authors were partially supported by FAPEMIG grant RED-00133-21 and by FAPEMIG grant APQ-02546-21.</t>
  </si>
  <si>
    <t>10.1007/s10998-023-00533-6</t>
  </si>
  <si>
    <t>P3PJ9</t>
  </si>
  <si>
    <t>WOS:001049793800001</t>
  </si>
  <si>
    <t>Li, M; Zhang, D; Jiang, L</t>
  </si>
  <si>
    <t>Li, Mi; Zhang, Dan; Jiang, Lin</t>
  </si>
  <si>
    <t>Development of multi-scale pyrolysis and combustion model for fir wood</t>
  </si>
  <si>
    <t>Fir wood; Degradation kinetics; Absorption effect; Combustion characteristics; Simulated model</t>
  </si>
  <si>
    <t>COMPOSITE</t>
  </si>
  <si>
    <t>The combustion of wood materials is a complicated process involving multi-physics field coupling heat and mass transfer, with numerous intermediate volatiles from intricate sub-reactions. Both experimental and theoretical aspects of wood sample combustion were investigated in this work. Thermogravimetric analysis (TGA) experiments for Chinese fir wood sample with three different heating rates in a nitrogen atmosphere were carried out. The activation energies were calculated and analyzed. Additionally, bench-scale combustion experiments under the external radiation were conducted using a cone calorimeter. By incorporating appropriate assumptions and simplifying the complicated process, a one-dimension numerical model was developed to explore the micro-scale degradation kinetics and bench-scale combustion characteristics. A multi-scale comprehensive model addressing the pyrolysis and combustion processes was constructed in this study. Utilizing the thermophysical and kinetic parameters derived from the TGA test by employing a multi-parameter optimization algorithm, the combustion process, including variations in mass-loss rate (MLR) and heat release rate (HRR), was simulated. The model demonstrated strong predictive performance in MLR and HRR compared to the experimental data from bench-scale combustion. This research has implications for understanding solid fuel combustion mechanism and simulations.</t>
  </si>
  <si>
    <t>[Li, Mi; Jiang, Lin] Nanjing Univ Sci &amp; Technol, Sch Mech Engn, Nanjing, Peoples R China; [Zhang, Dan] Nanjing Univ Sci &amp; Technol, Sch Chem &amp; Chem Engn, Nanjing, Peoples R China</t>
  </si>
  <si>
    <t>Nanjing University of Science &amp; Technology; Nanjing University of Science &amp; Technology</t>
  </si>
  <si>
    <t>Jiang, L (corresponding author), Nanjing Univ Sci &amp; Technol, Sch Mech Engn, Nanjing, Peoples R China.</t>
  </si>
  <si>
    <t>ljiang@njust.edu.cn</t>
  </si>
  <si>
    <t>National Key Research and Development (Ramp;D) Plan of China [2020YFC1522800]; National Natural Science Foundation of China (NSFC) [52176114, 52111530091]; Jiangsu Funding Program for Excellent Postdoctoral Talent</t>
  </si>
  <si>
    <t>National Key Research and Development (Ramp;D) Plan of China; National Natural Science Foundation of China (NSFC)(National Natural Science Foundation of China (NSFC)); Jiangsu Funding Program for Excellent Postdoctoral Talent</t>
  </si>
  <si>
    <t>The authors would like to thank the National Key Research and Development (R &amp; amp;D) Plan of China under Grant No. 2020YFC1522800, the National Natural Science Foundation of China (NSFC, Grants 52176114 and 52111530091), and the Jiangsu Funding Program for Excellent Postdoctoral Talent.</t>
  </si>
  <si>
    <t>10.1007/s10973-023-12379-8</t>
  </si>
  <si>
    <t>P5HC1</t>
  </si>
  <si>
    <t>WOS:001050974500003</t>
  </si>
  <si>
    <t>Li, S; Poelmans, G; Van Boekel, RLM; Coenen, MJH</t>
  </si>
  <si>
    <t>Li, Song; Poelmans, Geert; Van Boekel, Regina L. M.; Coenen, Marieke J. H.</t>
  </si>
  <si>
    <t>Genome-wide association study on pharmacological outcomes of musculoskeletal pain in UK Biobank</t>
  </si>
  <si>
    <t>PHARMACOGENOMICS JOURNAL</t>
  </si>
  <si>
    <t>OPIOID RECEPTOR GENE; SINGLE NUCLEOTIDE POLYMORPHISM; MORPHINE; SENSITIVITY; EXPRESSION; DEPRESSION; RESOURCE; OPRM1</t>
  </si>
  <si>
    <t>The pharmacological management of musculoskeletal pain starts with NSAIDs, followed by weak or strong opioids until the pain is under control. However, the treatment outcome is usually unsatisfying due to inter-individual differences. To investigate the genetic component of treatment outcome differences, we performed a genome-wide association study (GWAS) in similar to 23,000 participants with musculoskeletal pain from the UK Biobank. NSAID vs. opioid users were compared as a reflection of the treatment outcome of NSAIDs. We identified one genome-wide significant hit in chromosome 4 (rs549224715, P = 3.88 x 10(-8)). Suggestive significant (P &lt; 1 x 10(-6)) loci were functionally annotated to 18 target genes, including four genes linked to neuropathic pain processes or musculoskeletal development. Pathway and network analyses identified immunity-related processes and a (putative) central role of EGFR. However, this study should be viewed as a first step to elucidate the genetic background of musculoskeletal pain treatment.</t>
  </si>
  <si>
    <t>[Li, Song; Coenen, Marieke J. H.] Radboud Univ Nijmegen Med Ctr, Radboud Inst Hlth Sci, Dept Human Genet, Nijmegen, Netherlands; [Poelmans, Geert] Radboud Univ Nijmegen Med Ctr, Dept Human Genet, Nijmegen, Netherlands; [Van Boekel, Regina L. M.] Radboud Univ Nijmegen Med Ctr, Radboud Inst Hlth Sci, Dept Anesthesiol Pain &amp; Palliat Med, Nijmegen, Netherlands; [Coenen, Marieke J. H.] Erasmus MC, Dept Clin Chem, Rotterdam, Netherlands</t>
  </si>
  <si>
    <t>Radboud University Nijmegen; Radboud University Nijmegen; Radboud University Nijmegen; Erasmus University Rotterdam; Erasmus MC</t>
  </si>
  <si>
    <t>Coenen, MJH (corresponding author), Radboud Univ Nijmegen Med Ctr, Radboud Inst Hlth Sci, Dept Human Genet, Nijmegen, Netherlands.;Coenen, MJH (corresponding author), Erasmus MC, Dept Clin Chem, Rotterdam, Netherlands.</t>
  </si>
  <si>
    <t>M.Coenen@erasmusmc.nl</t>
  </si>
  <si>
    <t>LI, SONG/AAO-6647-2020; van Boekel, Regina/P-9452-2015; Coenen, Marieke/A-2159-2010</t>
  </si>
  <si>
    <t>LI, SONG/0000-0002-1429-3161; van Boekel, Regina/0000-0002-0962-2944; Coenen, Marieke/0000-0001-8796-2031</t>
  </si>
  <si>
    <t>[52524]</t>
  </si>
  <si>
    <t>AcknowledgementsThe authors thank Ward De Witte for assistance with data analysis. This research has been conducted using the UK Biobank Resource under Application Number 52524. The authors are grateful to the UK Biobank participants for making such research possible.</t>
  </si>
  <si>
    <t>1470-269X</t>
  </si>
  <si>
    <t>1473-1150</t>
  </si>
  <si>
    <t>PHARMACOGENOMICS J</t>
  </si>
  <si>
    <t>Pharmacogenomics J.</t>
  </si>
  <si>
    <t>10.1038/s41397-023-00314-x</t>
  </si>
  <si>
    <t>Genetics &amp; Heredity; Pharmacology &amp; Pharmacy</t>
  </si>
  <si>
    <t>P1UQ4</t>
  </si>
  <si>
    <t>WOS:001048567000001</t>
  </si>
  <si>
    <t>Liu, WW; Wang, XG; Liu, RR; Liao, YY; Peng, ZW; Jiang, HY; Jing, QQ; Xing, YY</t>
  </si>
  <si>
    <t>Liu, Weiwei; Wang, Xiaoguo; Liu, Ruirong; Liao, Yaya; Peng, Zhiwei; Jiang, Haoyun; Jing, Qiqi; Xing, Yuyun</t>
  </si>
  <si>
    <t>Efficient delivery of a large-size Cas9-EGFP vector in porcine fetal fibroblasts using a Lonza 4D-Nucleofector system</t>
  </si>
  <si>
    <t>BMC BIOTECHNOLOGY</t>
  </si>
  <si>
    <t>Porcine fetal fibroblasts (PFFs); Electroporation; 4D-Nucleofector &amp; TRADE;; Dual-electroporation program</t>
  </si>
  <si>
    <t>CRISPR/CAS9 SYSTEM; GENE-TRANSFER; TRANSFECTION; TRANSGENE; CELLS; OPTIMIZATION; MODELS; PIGS; DNA</t>
  </si>
  <si>
    <t>Background Porcine fetal fibroblasts (PFFs) are important donor cells for generating genetically modified pigs, but the transfection efficiencies of PFFs are often unsatisfactory especially when large-size vectors are to be delivered. In this study, we aimed to optimize the transfection conditions for delivery of a large-size vector in PFFs using Lonza 4D-Nucleofector (TM) vessels and strips.Methods We firstly delivered a 13 kb Cas9-EGFP and a 3.5 kb pMAX-GFP vector into PFFs via 7 programs recommended by the Lonza basic protocol. We then tested 6 customized dual-electroporation programs for delivering the 13 kb plasmid into PFFs. In addition, we screened potential alternative electroporation buffers to the Nucleofector (TM) P3 solution. Finally, three CRISPR/Cas9-sgRNAs targeting Rosa26, H11, and Cep112 loci were delivered into PFFs with different single and dual-electroporation programs.Results Notably lower transfection efficiencies were observed when delivering the 13 kb vector than delivering the 3.5 kb vector in PFFs via the single-electroporation programs. The customized dual-electroporation program FF-113 + CA-137 exhibited higher transfection efficiencies than any of the single-electroporation programs using vessels (98.1%) or strips (89.1%) with acceptable survival rates for the 13 kb vector. Entranster-E buffer generated similar transfection efficiencies and 24-hour survival rates to those from the P3 solution, thus can be used as an alternative electroporation buffer. In the genome-editing experiments, the FF-113 + CA-137 and CA-137 + CA-137 programs showed significantly superior (P &lt; 0.01) efficiencies to ones from the single-electroporation programs in vessels and strips. Entranster-E buffer produced higher indel efficiencies than the P3 buffer.Conclusions We markedly increased the delivery efficiencies for a large vector via customized dual-electroporation programs using Lonza 4D-Nucleofector&lt;(TM)&gt; system, and Entranster-E buffer can be used as an alternative electroporation buffer to Nucleofector (TM) P3 buffer.</t>
  </si>
  <si>
    <t>[Liu, Weiwei; Wang, Xiaoguo; Liu, Ruirong; Liao, Yaya; Peng, Zhiwei; Jiang, Haoyun; Jing, Qiqi; Xing, Yuyun] Jiangxi Agr Univ, State Key Lab Pig Genet Improvement &amp; Prod Technol, Nanchang 330045, Peoples R China</t>
  </si>
  <si>
    <t>Jiangxi Agricultural University</t>
  </si>
  <si>
    <t>Xing, YY (corresponding author), Jiangxi Agr Univ, State Key Lab Pig Genet Improvement &amp; Prod Technol, Nanchang 330045, Peoples R China.</t>
  </si>
  <si>
    <t>xingyuyun9@hotmail.com</t>
  </si>
  <si>
    <t>National Science and Technology Major Project [2016ZX08006-003]; National Natural Science Foundation of China [31771372]</t>
  </si>
  <si>
    <t>National Science and Technology Major Project; National Natural Science Foundation of China(National Natural Science Foundation of China (NSFC))</t>
  </si>
  <si>
    <t>This work was supported by the National Science and Technology Major Project (Nos: 2016ZX08006-003) and the National Natural Science Foundation of China (Nos: 31771372).</t>
  </si>
  <si>
    <t>1472-6750</t>
  </si>
  <si>
    <t>BMC BIOTECHNOL</t>
  </si>
  <si>
    <t>BMC Biotechnol.</t>
  </si>
  <si>
    <t>10.1186/s12896-023-00799-1</t>
  </si>
  <si>
    <t>P3QP9</t>
  </si>
  <si>
    <t>WOS:001049826000001</t>
  </si>
  <si>
    <t>Liu, XT; Hao, YN; Huang, ZX; Shi, YJ; Su, C; Zhao, L</t>
  </si>
  <si>
    <t>Liu, Xintong; Hao, Yunni; Huang, Zhixuan; Shi, Yijie; Su, Chang; Zhao, Liang</t>
  </si>
  <si>
    <t>Modulation of microglial polarization by sequential targeting surface-engineered exosomes improves therapy for ischemic stroke</t>
  </si>
  <si>
    <t>DRUG DELIVERY AND TRANSLATIONAL RESEARCH</t>
  </si>
  <si>
    <t>Microglia; Mannose; Luteolin; Platelet-derived exosomes</t>
  </si>
  <si>
    <t>BLOOD-BRAIN-BARRIER; NEUROVASCULAR UNIT; IN-VIVO; LUTEOLIN; NANOPARTICLES; PENETRATION; VESICLES; DELIVERY; AGENT</t>
  </si>
  <si>
    <t>Microglia are important cells that act on regulating neuroinflammation and neurofunction after the induction of ischemic stroke (IS). Consequently, the efficient accumulation of drugs within ischemic regions, particularly in microglia, serves as a valuable approach for achieving effective therapy by attenuating microglia-mediated cerebral ischemic injury. In this study, we designed mannose (man)-conjugated luteolin (lut)-loaded platelet-derived exosomes (lut/man-pEXO) as surface engineered multifunctional cascade-delivery drug carriers to target ischemic blood vessels and subsequent microglia to enhance drug accumulation and induce neuroprotection of neurovascular unit (NVU) against IS. The results revealed that as platelets naturally gathered in pathological ischemic cerebral vessels, lut/man-pEXO could bind to platelets and efficiently target ischemic injury sites. Moreover, owing to the selective binding affinity of mannose present in lut/man-pEXO towards the mannose receptor expressed on microglia, lut/man-pEXO exhibited superior microglia-targeting properties, inducing the increased uptake of lut by microglia. As a result, lut/man-pEXO regulated microglia by inhibiting the activation of detrimental M1 and promoting the transition towards the anti-inflammatory type (M2), thus attenuating ischemic damage of NVU by reducing the infarct area, rescuing the damage of blood-brain barrier (BBB) and preventing inflammatory transformation of astrocytes.</t>
  </si>
  <si>
    <t>[Liu, Xintong; Hao, Yunni; Huang, Zhixuan; Shi, Yijie; Zhao, Liang] Jinzhou Med Univ, Sch Pharm, Jinzhou 121000, Peoples R China; [Su, Chang] Jinzhou Med Univ, Sch Vet Med, Jinzhou 121000, Peoples R China</t>
  </si>
  <si>
    <t>Jinzhou Medical University; Jinzhou Medical University</t>
  </si>
  <si>
    <t>Zhao, L (corresponding author), Jinzhou Med Univ, Sch Pharm, Jinzhou 121000, Peoples R China.</t>
  </si>
  <si>
    <t>lxt960515@163.com; hao326532456@163.com; jyyxhuangzhixuan@163.com; shiyijie119@jzmu.edu.cn; changsu80@163.com; liangzhao79@163.com</t>
  </si>
  <si>
    <t>Project of Liaoning Educational Committee [JYTJCZR2020067, JYTQN2020015]</t>
  </si>
  <si>
    <t>Project of Liaoning Educational Committee</t>
  </si>
  <si>
    <t>This work was supported by grants of Project of Liaoning Educational Committee (JYTJCZR2020067 and JYTQN2020015). We thank the support of the above funds.</t>
  </si>
  <si>
    <t>2190-393X</t>
  </si>
  <si>
    <t>2190-3948</t>
  </si>
  <si>
    <t>DRUG DELIV TRANSL RE</t>
  </si>
  <si>
    <t>Drug Deliv. Transl. Res.</t>
  </si>
  <si>
    <t>10.1007/s13346-023-01408-6</t>
  </si>
  <si>
    <t>Instruments &amp; Instrumentation; Medicine, Research &amp; Experimental; Pharmacology &amp; Pharmacy</t>
  </si>
  <si>
    <t>Instruments &amp; Instrumentation; Research &amp; Experimental Medicine; Pharmacology &amp; Pharmacy</t>
  </si>
  <si>
    <t>P3QD8</t>
  </si>
  <si>
    <t>WOS:001049813800001</t>
  </si>
  <si>
    <t>Madera, GA; Oliva, AI; Oliva-Aviles, AI</t>
  </si>
  <si>
    <t>Madera, G. A.; Oliva, A. I.; Oliva-Aviles, A. I.</t>
  </si>
  <si>
    <t>Effect of the carbon nanotube length on the electrical resistance relaxation of viscoelastic polymer nanocomposites</t>
  </si>
  <si>
    <t>Composite; Polymer; Electrical properties; Nanostructures; Piezoresponse</t>
  </si>
  <si>
    <t>PIEZORESISTIVE BEHAVIOR; MECHANICAL-PROPERTIES; TIME; STRESS; STRAIN; PERCOLATION; COMPOSITES; SENSORS</t>
  </si>
  <si>
    <t>The effect of carbon nanotube (CNT) length on the electrical resistance relaxation of CNT/polysulfone composites is investigated. CNTs were fragmented using controlled high-density energy via ultrasonic vibration. CNT/polysulfone composites were fabricated via solution casting technique, using non-fragmented and fragmented CNTs, and dedicated specimens were subjected to axial tension within the elastic regime. The electrical resistance of the composites was recorded with the aim of tracking the electrical signal during the viscoelastic relaxation. The experimental data were fitted to an electromechanical model inspired from the Burgers equation for polymers creep. Shorter CNTs promote higher electromechanical sensitivity during the mechanical relaxation.</t>
  </si>
  <si>
    <t>[Madera, G. A.; Oliva-Aviles, A. I.] Univ Anahuac Mayab, Div Ingn &amp; Ciencias Exactas, Carretera Merida Progreso Km 15-5, AP 96 Cordemex, Merida 97310, Yucatan, Mexico; [Oliva, A. I.] Ctr Invest &amp; Estudios Avanzados IPN Unidad Merida, Dept Fis Aplicada, Km 6 Antigua Carretera Progreso, AP 73 Cordemex, Merida 97310, Yucatan, Mexico</t>
  </si>
  <si>
    <t>Oliva-Aviles, AI (corresponding author), Univ Anahuac Mayab, Div Ingn &amp; Ciencias Exactas, Carretera Merida Progreso Km 15-5, AP 96 Cordemex, Merida 97310, Yucatan, Mexico.</t>
  </si>
  <si>
    <t>andres.oliva@anahuac.mx</t>
  </si>
  <si>
    <t>Oliva-Aviles, A.I./0000-0002-6491-2995</t>
  </si>
  <si>
    <t>Fondo Sectorial de Investigacion para la Educacion through the SEP-CONACYT [235905]</t>
  </si>
  <si>
    <t>Fondo Sectorial de Investigacion para la Educacion through the SEP-CONACYT</t>
  </si>
  <si>
    <t>This research was funded by the Fondo Sectorial de Investigacion para la Educacion through the SEP-CONACYT grant No. 235905.</t>
  </si>
  <si>
    <t>10.1557/s43579-023-00413-7</t>
  </si>
  <si>
    <t>WOS:001049778500004</t>
  </si>
  <si>
    <t>Magomedov, RA; Akhmedov, EN</t>
  </si>
  <si>
    <t>Magomedov, R. A.; Akhmedov, E. N.</t>
  </si>
  <si>
    <t>Water Vapor Isotherm as a Function of the Accuracy of Determination of an Adjustable Parameter</t>
  </si>
  <si>
    <t>JOURNAL OF ENGINEERING PHYSICS AND THERMOPHYSICS</t>
  </si>
  <si>
    <t>equation of state; fractional-order integration-differentiation; Helmholtz potential; water vapor; isotherm; thermophysical properties</t>
  </si>
  <si>
    <t>THERMODYNAMICS</t>
  </si>
  <si>
    <t>A calculation is presented for isotherms of an equation of water vapor state in the temperature range T = 773-1473 K on the basis of a fractal state equation and the Fract EOS software module. Good agreement has been obtained between the calculation results and experimental data.</t>
  </si>
  <si>
    <t>[Magomedov, R. A.; Akhmedov, E. N.] Russian Acad Sci, Inst Geothermal, Renewable Energy Branch, Joint Inst High Temp, 39A I Shamil Ave, Makhachkala 367030, Russia</t>
  </si>
  <si>
    <t>Russian Academy of Sciences; Joint Institute for High Temperatures of the Russian Academy of Sciences</t>
  </si>
  <si>
    <t>Akhmedov, EN (corresponding author), Russian Acad Sci, Inst Geothermal, Renewable Energy Branch, Joint Inst High Temp, 39A I Shamil Ave, Makhachkala 367030, Russia.</t>
  </si>
  <si>
    <t>aen-code@yandex.ru</t>
  </si>
  <si>
    <t>1062-0125</t>
  </si>
  <si>
    <t>1573-871X</t>
  </si>
  <si>
    <t>J ENG PHYS THERMOPH+</t>
  </si>
  <si>
    <t>J. Eng. Phys. Thermophys.</t>
  </si>
  <si>
    <t>10.1007/s10891-023-02770-5</t>
  </si>
  <si>
    <t>Thermodynamics</t>
  </si>
  <si>
    <t>P3PT3</t>
  </si>
  <si>
    <t>WOS:001049803300007</t>
  </si>
  <si>
    <t>Meneses, MV; Riva, A; Salemi, M; Mavian, C</t>
  </si>
  <si>
    <t>Meneses, Maria V.; Riva, Alberto; Salemi, Marco; Mavian, Carla</t>
  </si>
  <si>
    <t>ARCA: the interactive database for arbovirus reported cases in the Americas</t>
  </si>
  <si>
    <t>BMC BIOINFORMATICS</t>
  </si>
  <si>
    <t>Database; Arbovirus; Zika; Dengue; Chikungunya</t>
  </si>
  <si>
    <t>BackgroundAccurate case report data are essential to understand arbovirus dynamics, including spread and evolution of arboviruses such as Zika, dengue and chikungunya viruses. Giving the multi-country nature of arbovirus epidemics in the Americas, these data are not often accessible or are reported at different time scales (weekly, monthly) from different sources.ResultsWe developed a publicly available and user-friendly database for arboviral case data in the Americas: ARCA. ARCA is a relational database that is hosted on the ARCA website. Users can interact with the database through the website by submitting queries through the website, which generates displays results and allows users to download these results in different, convenient file formats. Users can choose to view arboviral case data through a table which containscontaining the number of cases for a particular week, a plot, or through a map.ConclusionOur ARCA database is a useful tool for arboviral epidemiology research allowing for complex queries, data visualization, integration, and formatting.</t>
  </si>
  <si>
    <t>[Meneses, Maria V.; Salemi, Marco; Mavian, Carla] Univ Florida, Emerging Pathogens Inst, Gainesville, FL 32611 USA; [Riva, Alberto] Univ Florida, Interdisciplinary Ctr Biotechnol Res, Gainesville, FL 32611 USA; [Salemi, Marco; Mavian, Carla] Univ Florida, Coll Med, Dept Pathol Immunol &amp; Lab Med, Gainesville, FL 32611 USA</t>
  </si>
  <si>
    <t>State University System of Florida; University of Florida; State University System of Florida; University of Florida; State University System of Florida; University of Florida</t>
  </si>
  <si>
    <t>Salemi, M; Mavian, C (corresponding author), Univ Florida, Emerging Pathogens Inst, Gainesville, FL 32611 USA.;Salemi, M; Mavian, C (corresponding author), Univ Florida, Coll Med, Dept Pathol Immunol &amp; Lab Med, Gainesville, FL 32611 USA.</t>
  </si>
  <si>
    <t>salemi@pathology.ufl.edu; cmavian@ufl.edu</t>
  </si>
  <si>
    <t>1471-2105</t>
  </si>
  <si>
    <t>BMC Bioinformatics</t>
  </si>
  <si>
    <t>10.1186/s12859-023-05433-7</t>
  </si>
  <si>
    <t>Biochemical Research Methods; Biotechnology &amp; Applied Microbiology; Mathematical &amp; Computational Biology</t>
  </si>
  <si>
    <t>Biochemistry &amp; Molecular Biology; Biotechnology &amp; Applied Microbiology; Mathematical &amp; Computational Biology</t>
  </si>
  <si>
    <t>P1WP6</t>
  </si>
  <si>
    <t>WOS:001048618300001</t>
  </si>
  <si>
    <t>Moraes, LG; Lima, MDR; Assis-Pereira, G; Goncalves, DD; Vidaurre, GB; Bufalino, L; Guedes, FT; Tomazello, M; Protasio, TD</t>
  </si>
  <si>
    <t>Moraes, Larissa Goncalves; Roque Lima, Michael Douglas; Assis-Pereira, Gabriel; Goncalves, Delman de Almeida; Vidaurre, Graziela Baptista; Bufalino, Lina; Perassolo Guedes, Fernanda Trisltz; Tomazello-Filho, Mario; Protasio, Thiago de Paula</t>
  </si>
  <si>
    <t>Forking and planting spacing impacts on wood density, X-ray density, and heartwood proportion of Tachigali vulgaris</t>
  </si>
  <si>
    <t>TREES-STRUCTURE AND FUNCTION</t>
  </si>
  <si>
    <t>Amazonia; Forking; Wood quality; Silviculture; Energy forests</t>
  </si>
  <si>
    <t>EUCALYPTUS CLONES; ENERGY; CHARCOAL; AGE; MICRODENSITOMETRY; PARAMETERS</t>
  </si>
  <si>
    <t>Key messageIn Tachigali vulgaris planting, the 3.0 x 3.0 m spacing reduced variability in wood properties and increased the proportion of medium-density wood, while forking increased the proportion of low-density wood.Promising Amazonia species for forest energy crops require further investigation into how silviculture affects wood quality. This study sought to investigate how planting spacing and stem type (forked and non-forked) affect the basic wood density, X-ray density, and heartwood development of Tachigali vulgaris in a homogeneous plantation in Amazonia. The experiment was established with initial planting spacings of 3.0 x 1.5 m, 3.0 x 2.0 m, 3.0 x 2.5 m, 3.0 x 3.0 m, 3.0 x 3.5 m, and 3.0 x 4.0 m. 102-month-old trees were harvested for the work. Disks sampled along the stem height were tested for wood basic density and density measured by X-ray densitometry (air-dry density by growth ring) analyses. Disks obtained at the 1.3 m height were photographed and submitted to image manipulation for heartwood/sapwood analysis. The lowest average wood density was 0.512 g cm(-3) in the 3.0 x 1.5 m spacing, and the highest was 0.538 g cm(-3) in the 3.0 x 4.0 m spacing. Among non-forked trees, 66% had medium-density (&amp; GE; 0.500 g cm(-3)) and 34% low-density (&lt; 0.500 g cm(-3)) wood. In contrast, forked trees had only 55% of trees with medium-density wood. The X-ray density profiles reduced from 0.713 to 0.582 g cm(-3) in the increasing longitudinal direction and from 0.393 to 0.973 g cm(-3) in the radial direction. Forking did not influence the heartwood proportion (60.03-61.54%). The 3.0 x 3.0 m spacing favored the wood quality concerning density class and variability, while the widest spacings improved heartwood formation. The forking increases the chances of low-density wood and its variations along the stem. Thus, future genetic studies should focus on this phenomenon to increase the productivity of Tachigali vulgaris energy forests.</t>
  </si>
  <si>
    <t>[Moraes, Larissa Goncalves; Roque Lima, Michael Douglas; Bufalino, Lina] Rural Fed Univ Amazonia, UFRA, Inst Agrarian Sci, BR-66077901 Belem, PA, Brazil; [Assis-Pereira, Gabriel; Perassolo Guedes, Fernanda Trisltz; Tomazello-Filho, Mario] Univ Sao Paulo, USP, ESALQ, Dept Forest Sci, BR-13418900 Piracicaba, SP, Brazil; [Goncalves, Delman de Almeida] Brazilian Agr Res Corp, Embrapa Eastern Amazonia, BR-66095903 Belem, PA, Brazil; [Vidaurre, Graziela Baptista] Univ Fed Espirito Santo, UFES, Dept Forest &amp; Wood Sci, BR-29075910 Jeronimo Monteiro, ES, Brazil; [Protasio, Thiago de Paula] Fed Rural Univ Amazonia, UFRA, Parauapebas Campus, BR-68515000 Parauapebas, PA, Brazil</t>
  </si>
  <si>
    <t>Universidade Federal Rural da Amazonia (UFRA); Universidade de Sao Paulo; Empresa Brasileira de Pesquisa Agropecuaria (EMBRAPA); Universidade Federal do Espirito Santo; Universidade Federal Rural da Amazonia (UFRA)</t>
  </si>
  <si>
    <t>Moraes, LG (corresponding author), Rural Fed Univ Amazonia, UFRA, Inst Agrarian Sci, BR-66077901 Belem, PA, Brazil.</t>
  </si>
  <si>
    <t>l.moraesflorestal2020@gmail.com</t>
  </si>
  <si>
    <t>de Paula Protásio, Thiago/B-2270-2018; Tomazello-Filho, Mario/ABD-8077-2020; vidaurre, graziela/G-3637-2018</t>
  </si>
  <si>
    <t>de Paula Protásio, Thiago/0000-0002-5560-8350; Tomazello-Filho, Mario/0000-0002-9814-0778; Bufalino, Lina/0000-0002-7688-3140; Roque Lima, Michael Douglas/0000-0002-4789-1205; Goncalves, Delman/0000-0002-6876-4192; vidaurre, graziela/0000-0001-9285-7105</t>
  </si>
  <si>
    <t>National Council for Scientific and Technological Development (CNPq) [306793/2019-9]; Coordination for the Improvement of Higher Education Personnel of Education (CAPES) [001, 88887.512868/2020-00, 88881.199859/2018-01]; Embrapa Amazpnia Oriental; Grupo Jari Celulose S.A</t>
  </si>
  <si>
    <t>National Council for Scientific and Technological Development (CNPq)(Conselho Nacional de Desenvolvimento Cientifico e Tecnologico (CNPQ)); Coordination for the Improvement of Higher Education Personnel of Education (CAPES)(Coordenacao de Aperfeicoamento de Pessoal de Nivel Superior (CAPES)); Embrapa Amazpnia Oriental(Empresa Brasileira de Pesquisa Agropecuaria (EMBRAPA)); Grupo Jari Celulose S.A</t>
  </si>
  <si>
    <t>The authors are grateful to the National Council for Scientific and Technological Development (CNPq; process no. 306793/2019-9), Coordination for the Improvement of Higher Education Personnel of Education (CAPES; funding codes 001, no. 88887.512868/2020-00, and Edital Procad Amazpnia 2018-process no. 88881.199859/2018-01), Embrapa Amazpnia Oriental, and Grupo Jari Celulose S.A, for funding the execution of this study.</t>
  </si>
  <si>
    <t>0931-1890</t>
  </si>
  <si>
    <t>1432-2285</t>
  </si>
  <si>
    <t>TREES-STRUCT FUNCT</t>
  </si>
  <si>
    <t>Trees-Struct. Funct.</t>
  </si>
  <si>
    <t>10.1007/s00468-023-02443-z</t>
  </si>
  <si>
    <t>Forestry</t>
  </si>
  <si>
    <t>R5RJ9</t>
  </si>
  <si>
    <t>WOS:001049142900001</t>
  </si>
  <si>
    <t>Nourine, M; Boulkadid, MK; Touidjine, S; Akbi, H; Belkhiri, S</t>
  </si>
  <si>
    <t>Nourine, Manel; Boulkadid, Moulai Karim; Touidjine, Sabri; Akbi, Hamdane; Belkhiri, Samir</t>
  </si>
  <si>
    <t>Exploring the potential of nitrocellulose for improving the catalytic efficiency of nano copper oxide in the thermal degradation of ammonium perchlorate</t>
  </si>
  <si>
    <t>Nitrocellulose; Nano copper oxide; Ammonium perchlorate; Thermocatalytic degradation</t>
  </si>
  <si>
    <t>DECOMPOSITION PROPERTIES; CUO NANOPOWDERS; NANOPARTICLES; NANOCOMPOSITE; COMPATIBILITY; PARTICLES; COMPOSITE; GRAPHENE; BEHAVIOR</t>
  </si>
  <si>
    <t>This study investigates the potential of nitrocellulose (NC) to enhance the thermocatalytic action of nano CuO for the thermal degradation of ammonium perchlorate (AP). The nCuO was prepared by coprecipitation and confirmed through FTIR, XRD, and SEM analysis. AP particles were coated with nCuO and NC@nCuO using a recurrent spray coating method. The catalytic properties were estimated through TG and DSC tools. The findings of the study pointed that the presence of nitrocellulose had a pronounced effect only during the early stage of ammonium perchlorate (AP) degradation. This resulted in a reduction of 9-47 &amp; DEG;C in low thermal decomposition temperature for both AP-nCuO and AP-NC@nCuO, thus enhancing the thermocatalytic capacity of nCuO for the thermal degradation of AP. Furthermore, the Ea for AP-nCuO and AP-nCuO@NC was reduced by 21-32 kJ/mol and heat release was increased by 1059-1239 J/g. It should be noted, however, that the addition of nitrocellulose to nano copper oxide had no indicative influence on the high thermal degradation of AP.</t>
  </si>
  <si>
    <t>[Nourine, Manel; Boulkadid, Moulai Karim; Touidjine, Sabri; Akbi, Hamdane; Belkhiri, Samir] Ecole Mil Polytech, Teaching &amp; Res Unit Energet Proc, Energet Prop Lab, BP 17, Bordj-El-Bahri, Algiers 16046, Algeria</t>
  </si>
  <si>
    <t>Ecole Military Polytechnic</t>
  </si>
  <si>
    <t>Boulkadid, MK (corresponding author), Ecole Mil Polytech, Teaching &amp; Res Unit Energet Proc, Energet Prop Lab, BP 17, Bordj-El-Bahri, Algiers 16046, Algeria.</t>
  </si>
  <si>
    <t>karim.boulkadid@gmail.com</t>
  </si>
  <si>
    <t>BOULKADID, Moulai Karim/0000-0001-7458-8490</t>
  </si>
  <si>
    <t>10.1007/s11144-023-02469-x</t>
  </si>
  <si>
    <t>P5GT0</t>
  </si>
  <si>
    <t>WOS:001050965200002</t>
  </si>
  <si>
    <t>Perrot, A; Hespeels, B; Van Doninck, K; Heuskin, AC</t>
  </si>
  <si>
    <t>Perrot, Alexandre; Hespeels, Boris; Van Doninck, Karine; Heuskin, Anne-Catherine</t>
  </si>
  <si>
    <t>Adineta vaga under fire: simulating the impact of radiation</t>
  </si>
  <si>
    <t>Extreme tolerance; Bdelloid rotifers; Simulation; Ionizing radiation; TOPAS; Low and high LET</t>
  </si>
  <si>
    <t>X-RAY TUBE; DNA-DAMAGE; DESICCATION TOLERANCE; IONIZING-RADIATION; BDELLOID ROTIFERS; SPECTRA; RELEVANCE; SURVIVAL; BIOLOGY; TOPAS</t>
  </si>
  <si>
    <t>Previous studies have demonstrated the remarkable resistance of bdelloid rotifers to ionizing radiation, making them an interesting model system for studying radiation effects on living organisms. In this study, we use simulations, instead of direct experimental exposures, to examine whether all bdelloids are affected equally by radiation exposure and to explore the relationship between biological data and energy deposition patterns induced by low and high linear energy transfer (LET) radiation. To this end, tool for particle simulation (TOPAS) a simulation tool, widely used in the field of medical physics and radiation therapy, was utilized. Using simulations for proton, iron ions, and X-ray exposure, our findings showed that all individuals, cells, and nuclei were effectively hit by the administered doses of 4 MeV protons, 0.5 GeV/n Fe-56, and X-ray radiation. The results support that the impact on survival and fertility rate measured in Adineta vaga is caused by radiation-induced damage rather than the absence of hits in certain individuals or germinal cells. Notably, simulations revealed significant differences between low- and high-LET radiation concerning irradiated individuals' nuclei. Specifically, for an equivalent dose, high-LET radiation requires fewer incident particles compared to low-LET radiation, resulting in a sparser distribution of radiation hits on the nucleus surface. In conclusion, the study supports the idea that reduced fertility described in high-LET exposed samples is associated with complex DNA damage caused by the condensed energy deposition pattern of high-LET radiation compared to low-LET.</t>
  </si>
  <si>
    <t>[Perrot, Alexandre; Heuskin, Anne-Catherine] Univ Namur, NAmur Res Inst Life Sci NARILIS, Lab Anal Nucl React LARN, Namur, Belgium; [Hespeels, Boris; Van Doninck, Karine] Univ Namur, NAmur Res Inst Life Sci NARILIS, Res Unit Environm &amp; Evolutionary Biol URBE, Lab Evolutionary Genet &amp; Ecol LEGE, Namur, Belgium; [Hespeels, Boris] Univ Namur, Inst Life Earth &amp; Environm ILEE, Res Unit Environm &amp; Evolutionary Biol URBE, Namur, Belgium; [Van Doninck, Karine] Univ Libre Bruxelles ULB, Res Unit Mol Biol &amp; Evolut, DBO, B-1050 Brussels, Belgium</t>
  </si>
  <si>
    <t>University of Namur; University of Namur; University of Namur; Universite Libre de Bruxelles</t>
  </si>
  <si>
    <t>Heuskin, AC (corresponding author), Univ Namur, NAmur Res Inst Life Sci NARILIS, Lab Anal Nucl React LARN, Namur, Belgium.</t>
  </si>
  <si>
    <t>anne-catherine.heuskin@unamur.be</t>
  </si>
  <si>
    <t>European Space Agency (ESA); Belgian Federal Science Policy Office (BELSPO)</t>
  </si>
  <si>
    <t>European Space Agency (ESA)(European Space Agency); Belgian Federal Science Policy Office (BELSPO)(Belgian Federal Science Policy Office)</t>
  </si>
  <si>
    <t>The authors thank the European Space Agency (ESA) and the Belgian Federal Science Policy Office (BELSPO) for their support in the framework of the PRODEX Program.</t>
  </si>
  <si>
    <t>10.1007/s10750-023-05324-1</t>
  </si>
  <si>
    <t>P2QN7</t>
  </si>
  <si>
    <t>WOS:001049138400002</t>
  </si>
  <si>
    <t>Sala, G; Hooley, J; Hooley, M; Stokes, MA</t>
  </si>
  <si>
    <t>Sala, Giorgia; Hooley, Jessica; Hooley, Merrilyn; Stokes, Mark A. A.</t>
  </si>
  <si>
    <t>Comparing Physical Intimacy and Romantic Relationships of Autistic and Non-autistic Adults: A Qualitative Analysis</t>
  </si>
  <si>
    <t>FUNCTIONING AUTISM; SPECTRUM DISORDER; ASPERGER SYNDROME; SEXUAL AWARENESS; YOUNG-ADULTS; EXPERIENCES; CHILDREN; KNOWLEDGE; COMMUNICATION; ADOLESCENTS</t>
  </si>
  <si>
    <t>[Sala, Giorgia; Hooley, Merrilyn; Stokes, Mark A. A.] Deakin Univ, Sch Psychol, Hlth Autist Life Lab, 1 Gheringhap St, Geelong, Vic 3220, Australia; [Hooley, Jessica] Swinburne Univ, Dept Psychol Sci, John St Hawthorn, Melbourne, Vic 3122, Australia</t>
  </si>
  <si>
    <t>Deakin University; Swinburne University of Technology</t>
  </si>
  <si>
    <t>Stokes, MA (corresponding author), Deakin Univ, Sch Psychol, Hlth Autist Life Lab, 1 Gheringhap St, Geelong, Vic 3220, Australia.</t>
  </si>
  <si>
    <t>mark.stokes@deakin.edu.au</t>
  </si>
  <si>
    <t>Stokes, Mark/P-8937-2017</t>
  </si>
  <si>
    <t>Stokes, Mark/0000-0001-6488-4544</t>
  </si>
  <si>
    <t>Open Access funding enabled and organized by CAUL and its Member Institutions.</t>
  </si>
  <si>
    <t>10.1007/s10803-023-06109-0</t>
  </si>
  <si>
    <t>P3PC1</t>
  </si>
  <si>
    <t>WOS:001049786000005</t>
  </si>
  <si>
    <t>Salado, V; Gaspar, T; Moreno-Maldonado, C; de Matos, MG; Rivera, F</t>
  </si>
  <si>
    <t>Salado, Vanesa; Gaspar, Tania; Moreno-Maldonado, Concepcion; de Matos, Margarida Gaspar; Rivera, Francisco</t>
  </si>
  <si>
    <t>Influence of news media use and political discussions on social self-efficacy through sense of unity: an analysis of mediation model invariance with Spanish and Portuguese adolescents</t>
  </si>
  <si>
    <t>Adolescents; Sociopolitical communication; News media use; Social self-efficacy; Sense of unity</t>
  </si>
  <si>
    <t>POSITIVE YOUTH DEVELOPMENT; OPEN-CLASSROOM CLIMATE; CIVIC ENGAGEMENT; PARTICIPATION; COMMUNICATION; SOCIALIZATION; CONNECTIONS; PERCEPTIONS; CHILDHOOD; CITIZENS</t>
  </si>
  <si>
    <t>Discussing sociopolitical issues with family or friends during adolescence, as well as staying informed through media outlets, is key to developing active civic engagement for both youth and future adults. Likewise, these communicative exchanges promote a sense of belonging and social skills which foster adolescents' wellbeing. This research aims to analyze the influence of participation in communication about political and social issues on adolescents' social self-efficacy, both directly and as well as indirectly through sense of unity, in two Mediterranean countries (Portugal and Spain). The sample was selected through random multistage sampling by conglomerates. The 36,992 adolescents (50.6% girls and 49.4% boys) participated in the Health Behaviour in School-aged Children (HBSC) study in Portugal and Spain, and the age groups were distributed as following: 39.6% 13-14-years-old; 35.8% 15-16-years-old; and 25.6% 17-18-years-old. Analyses showed positive associations between the proposed indicator of civic engagement -news media use and political discussions- and social self-efficacy, both directly as well as through sense of unity, with similar results for adolescents in Portugal and Spain. Accordingly, educational programs promoting communication about sociopolitical issues could foster adolescents' sense of unity and social skills, contributing to their positive development, wellbeing, and civic engagement. Curricular materials on current politics and social affairs could increase classroom dialogue based on respect, healthy peer relationships, and sense of belonging, fostering effective political socialization amongst youth and the development of democratic behaviors beneficial to society.</t>
  </si>
  <si>
    <t>[Salado, Vanesa; Rivera, Francisco] Univ Seville, Dept Expt Psychol, C Camilo Jose Cela S-N, Seville 41018, Spain; [Gaspar, Tania] Lusofona Univ, HEI LAB Portugal, Lisbon, Portugal; [Moreno-Maldonado, Concepcion] Univ Seville, Dept Dev &amp; Educ Psychol, C Camilo Jose Cela S-N, Seville 41018, Spain; [de Matos, Margarida Gaspar] Lisbon Univ, Univ Lisboa, Environm Hlth Inst, ISAMB, Lisbon, Portugal</t>
  </si>
  <si>
    <t>University of Sevilla; Lusofona University; University of Sevilla; Universidade de Lisboa</t>
  </si>
  <si>
    <t>Moreno-Maldonado, C (corresponding author), Univ Seville, Dept Dev &amp; Educ Psychol, C Camilo Jose Cela S-N, Seville 41018, Spain.</t>
  </si>
  <si>
    <t>vsalado@us.es; tania.gaspar.barra@gmail.com; moreno_c@us.es; margaridagaspar@netcabo.pt; franciscorivera@us.es</t>
  </si>
  <si>
    <t>Universidad de Sevilla/CBUA</t>
  </si>
  <si>
    <t>Funding for open access publishing: Universidad de Sevilla/CBUA.</t>
  </si>
  <si>
    <t>10.1007/s12144-023-04940-3</t>
  </si>
  <si>
    <t>P1NS1</t>
  </si>
  <si>
    <t>WOS:001048382900001</t>
  </si>
  <si>
    <t>Shinagawa, K; Eriguchi, R; Satake, S; Nuida, K</t>
  </si>
  <si>
    <t>Shinagawa, Kazumasa; Eriguchi, Reo; Satake, Shohei; Nuida, Koji</t>
  </si>
  <si>
    <t>Private simultaneous messages based on quadratic residues</t>
  </si>
  <si>
    <t>DESIGNS CODES AND CRYPTOGRAPHY</t>
  </si>
  <si>
    <t>Secure multiparty computation; Private simultaneous messages; Quadratic residues; Symmetric functions; Paley graphs</t>
  </si>
  <si>
    <t>Private Simultaneous Messages (PSM) model is a minimal model for secure multiparty computation. Feige, Kilian, and Naor (STOC 1994) and Ishai (Cryptology and Information Security Series 2013) constructed PSM protocols based on quadratic residues. In this paper, we define QR-PSM protocols as a generalization of these protocols. A QR-PSM protocol is a PSM protocol whose decoding function outputs the quadratic residuosity modulo p of what is computed from messages. We design a QR-PSM protocol for any symmetric function f : {0, 1}(n) -&gt; {0, 1} of communication complexity O(n(2)). As far as we know, it is the most efficient PSM protocol for symmetric functions since the previously known best PSM protocol was of O(n(2) log n) (Beimel et al., CRYPTO 2014). We also study the sizes of the underlying finite fields F-p in the protocols since the communication complexity of a QR-PSM protocol is proportional to the bit length of the prime p. We show that there is a prime p &lt;= (1 + o(1))N(2)2(2N-2) such that any length-N pattern of quadratic (non)residues appears modulo p (and hence it can be used for general QR-PSM protocols), which improves the Peralta's known result (Mathematics of Computation 1992) by a constant factor (1 + root 2)(2).</t>
  </si>
  <si>
    <t>[Shinagawa, Kazumasa] Ibaraki Univ, 4-12-1 Nakanarusawa, Hitachi, Ibaraki 3168511, Japan; [Shinagawa, Kazumasa; Eriguchi, Reo; Nuida, Koji] Natl Inst Adv Ind Sci &amp; Technol, 2-3-26 Aomi, Koto, Tokyo 1350064, Japan; [Satake, Shohei] Kumamoto Univ, 2-39-1 Kurokami, Chuo, Kumamoto 8608555, Japan; [Nuida, Koji] Kyushu Univ, Inst Math Ind IMI, 744 Motooka, Fukuoka 8190395, Japan</t>
  </si>
  <si>
    <t>Ibaraki University; National Institute of Advanced Industrial Science &amp; Technology (AIST); Kumamoto University; Kyushu University</t>
  </si>
  <si>
    <t>Shinagawa, K (corresponding author), Ibaraki Univ, 4-12-1 Nakanarusawa, Hitachi, Ibaraki 3168511, Japan.;Shinagawa, K (corresponding author), Natl Inst Adv Ind Sci &amp; Technol, 2-3-26 Aomi, Koto, Tokyo 1350064, Japan.</t>
  </si>
  <si>
    <t>kazumasa.shinagawa.np92@vc.ibaraki.ac.jp</t>
  </si>
  <si>
    <t>JSPS KAKENHI [JP21K17702]; JSPS KAKENHI [JP21K17702, JP23H00479, JP20J00469, JP19H01109, JPMJCR22M1]; JST CREST [JP20J20797, JPMJCR2113]; JST AIP Acceleration Research [JPMJCR22U5]</t>
  </si>
  <si>
    <t>JSPS KAKENHI(Ministry of Education, Culture, Sports, Science and Technology, Japan (MEXT)Japan Society for the Promotion of ScienceGrants-in-Aid for Scientific Research (KAKENHI)); JSPS KAKENHI(Ministry of Education, Culture, Sports, Science and Technology, Japan (MEXT)Japan Society for the Promotion of ScienceGrants-in-Aid for Scientific Research (KAKENHI)); JST CREST(Japan Science &amp; Technology Agency (JST)Core Research for Evolutional Science and Technology (CREST)); JST AIP Acceleration Research</t>
  </si>
  <si>
    <t>The first author was supported during this work by JSPS KAKENHI Grant Numbers JP21K17702 and JP23H00479, and JST CREST Grant Number JPMJCR22M1. The second author was supported during this work by JSPS KAKENHI Grant Number JP20J20797. The third author was supported during this work by JSPS KAKENHI Grant Number JP20J00469. The last author was supported during this work by JSPS KAKENHI Grant Number JP19H01109, JST CREST Grant Number JPMJCR2113, and JST AIP Acceleration Research JPMJCR22U5.</t>
  </si>
  <si>
    <t>0925-1022</t>
  </si>
  <si>
    <t>1573-7586</t>
  </si>
  <si>
    <t>DESIGN CODE CRYPTOGR</t>
  </si>
  <si>
    <t>Designs Codes Cryptogr.</t>
  </si>
  <si>
    <t>10.1007/s10623-023-01279-5</t>
  </si>
  <si>
    <t>Computer Science, Theory &amp; Methods; Mathematics, Applied</t>
  </si>
  <si>
    <t>P3OL5</t>
  </si>
  <si>
    <t>WOS:001049769000002</t>
  </si>
  <si>
    <t>Shirata, M; Ito, I; Tanaka, M; Murata, K; Murakami, K; Ikeda, H; Oi, I; Hamao, N; Nishioka, K; Hayashi, Y; Nagao, M; Hashimoto, M; Ito, H; Ueno, H; Morinobu, A; Hirai, T</t>
  </si>
  <si>
    <t>Shirata, Masahiro; Ito, Isao; Tanaka, Masao; Murata, Koichi; Murakami, Kosaku; Ikeda, Hiroyuki; Oi, Issei; Hamao, Nobuyoshi; Nishioka, Kensuke; Hayashi, Yasuyuki; Nagao, Miki; Hashimoto, Motomu; Ito, Hiromu; Ueno, Hideki; Morinobu, Akio; Hirai, Toyohiro</t>
  </si>
  <si>
    <t>Impact of methotrexate on humoral and cellular immune responses to SARS-CoV-2 mRNA vaccine in patients with rheumatoid arthritis</t>
  </si>
  <si>
    <t>CLINICAL AND EXPERIMENTAL MEDICINE</t>
  </si>
  <si>
    <t>SARS-CoV-2; mRNA vaccine; Methotrexate; Rheumatoid arthritis; Immunogenicity</t>
  </si>
  <si>
    <t>The aim of this study was to longitudinally evaluate the undetermined impact of methotrexate (MTX) on the cumulative immunogenicity elicited by three doses of SARS-CoV-2 mRNA vaccination in patients with rheumatoid arthritis (RA). We prospectively evaluated vaccine-induced immune responses following the first dose, 1 and 6 months after the second dose, and 1 month after the third dose of BNT162b2 or mRNA-1273 in 144 SARS-CoV-2 naive participants (70 patients with RA, 29 disease controls without immunosuppressive conditions, and 45 healthy controls). Humoral immune responses were assessed by quantifying anti-spike IgG antibody titers and the capacity of circulating antibodies to neutralize the ancestral SARS-CoV-2 strain and the Alpha, Delta, and Omicron variants. Vaccine-induced T-cell responses were measured using an interferon-gamma release assay. At 1 and 6 months after the second dose, anti-spike titers were highest in healthy controls, followed by disease controls and patients with RA. Multivariate analyses revealed that MTX treatment was significantly associated with a decrease in anti-spike titers, neutralizing activity, and SARS-CoV-2-specific interferon-gamma levels. Furthermore, MTX dose per body weight was negatively correlated with these two indices of humoral immune response. The third vaccine dose boosted anti-spike titers, especially in patients receiving MTX, while sera from these patients neutralized the Omicron variant far less robustly than those from healthy controls. In conclusion, MTX attenuated immunogenicity following two doses of SARS-CoV-2 mRNA vaccine in patients with RA, particularly resulting in dose-dependent suppression of the humoral immune response. Furthermore, MTX deteriorated the neutralizing activity against the Omicron variant, even after the third immunization.</t>
  </si>
  <si>
    <t>[Shirata, Masahiro; Ito, Isao; Oi, Issei; Hamao, Nobuyoshi; Nishioka, Kensuke; Hayashi, Yasuyuki; Hirai, Toyohiro] Kyoto Univ, Grad Sch Med, Dept Resp Med, 54 Shogoin Kawaharacho, Sakyo, Kyoto 6068507, Japan; [Ito, Isao; Ikeda, Hiroyuki; Oi, Issei; Hamao, Nobuyoshi; Nishioka, Kensuke] Sugita Genpaku Mem Obama Municipal Hosp, Dept Internal Med, Fukui, Japan; [Tanaka, Masao; Murata, Koichi; Hashimoto, Motomu; Ito, Hiromu] Kyoto Univ, Grad Sch Med, Dept Adv Med Rheumat Dis, Kyoto, Japan; [Murata, Koichi; Ito, Hiromu] Kyoto Univ, Grad Sch Med, Dept Orthopaed Surg, Kyoto, Japan; [Murakami, Kosaku] Kyoto Univ, Ctr Canc Immunotherapy &amp; Immunobiol, Grad Sch Med, Kyoto, Japan; [Nagao, Miki] Kyoto Univ, Grad Sch Med, Dept Clin Lab Med, Kyoto, Japan; [Ueno, Hideki] Kyoto Univ, Grad Sch Med, Dept Immunol, Kyoto, Japan; [Ueno, Hideki] Kyoto Univ, Inst Adv Study Human Biol ASHBi, Kyoto, Japan; [Morinobu, Akio] Kyoto Univ, Grad Sch Med, Dept Rheumatol &amp; Clin Immunol, Kyoto, Japan</t>
  </si>
  <si>
    <t>Kyoto University; Kyoto University; Kyoto University; Kyoto University; Kyoto University; Kyoto University; Kyoto University; Kyoto University</t>
  </si>
  <si>
    <t>Ito, I (corresponding author), Kyoto Univ, Grad Sch Med, Dept Resp Med, 54 Shogoin Kawaharacho, Sakyo, Kyoto 6068507, Japan.;Ito, I (corresponding author), Sugita Genpaku Mem Obama Municipal Hosp, Dept Internal Med, Fukui, Japan.</t>
  </si>
  <si>
    <t>isaoito@kuhp.kyoto-u.ac.jp</t>
  </si>
  <si>
    <t>Ito, Isao/0000-0003-3109-898X</t>
  </si>
  <si>
    <t>1591-8890</t>
  </si>
  <si>
    <t>1591-9528</t>
  </si>
  <si>
    <t>CLIN EXP MED</t>
  </si>
  <si>
    <t>Clin. Exper. Med.</t>
  </si>
  <si>
    <t>10.1007/s10238-023-01163-5</t>
  </si>
  <si>
    <t>P1BD0</t>
  </si>
  <si>
    <t>WOS:001048050800001</t>
  </si>
  <si>
    <t>Wang, XY; Sun, HF; Li, LC; Gan, ZH; Wu, XM; Du, JQ</t>
  </si>
  <si>
    <t>Wang, Xiaoyan; Sun, Haifeng; Li, Linchang; Gan, Zhenhai; Wu, Xiaoming; Du, Jianqiang</t>
  </si>
  <si>
    <t>Changing patterns of nasopharyngeal carcinoma incidence in Hong Kong: a 30-year analysis and future projections</t>
  </si>
  <si>
    <t>Nasopharyngeal carcinoma; Incidence; Period analysis; Cohort effect; Demographic factors</t>
  </si>
  <si>
    <t>PERIOD-COHORT ANALYSIS; MORTALITY; TRENDS; EPIDEMIOLOGY; BURDEN</t>
  </si>
  <si>
    <t>BackgroundThis study aims to evaluate the relationship between age, period, and birth cohort with the incidence trends of Nasopharyngeal Carcinoma (NPC) in Hong Kong, make projections through 2030 and parse the drivers of the incidence.MethodsUsing data from the Hong Kong Cancer Registry, we used an age-period-cohort model to uniquely estimate age, period, and cohort effects on NPC incidence trends and make projections. We further assessed the drivers of NPC incidence using a validated decomposition algorithm.ResultsFrom 1991 to 2020, crude and age-standardized incidence rates of NPC decreased significantly. The net drifts showed significant downward trends for both sexes, and local drift declined in all age groups. Period and cohort rate ratios revealed monotonic declining patterns for both sexes. Projections suggested that NPC incidence will continue to decline. Population decomposition showed that while population growth and ageing have led to an increase in NPC cases, epidemiologic changes offset these increases, resulting in an encouraging downward trend in the incidence and new NPC cases in Hong Kong.ConclusionsThe period and cohort risk of NPC in Hong Kong decreased, and epidemiologic changes offset the contribution of demographic factors, resulting in a continued decline in NPC incidence and cases.</t>
  </si>
  <si>
    <t>[Wang, Xiaoyan; Gan, Zhenhai; Wu, Xiaoming; Du, Jianqiang] Xi An Jiao Tong Univ, Sch Life Sci &amp; Technol, Key Lab Biomed Informat Engn, Minist Educ, 28 Xianning West Rd, Xian 710049, Shaanxi, Peoples R China; [Sun, Haifeng] Xi An Jiao Tong Univ, Shaanxi Prov Canc Hosp, Med Coll, Dept Med Oncol 3, Xian, Shaanxi, Peoples R China; [Li, Linchang] Univ Chinese Med, Clin Sch Med 2, Dept Clin Med, Xianyang, Shaanxi, Peoples R China</t>
  </si>
  <si>
    <t>Xi'an Jiaotong University; Xi'an Jiaotong University</t>
  </si>
  <si>
    <t>Du, JQ (corresponding author), Xi An Jiao Tong Univ, Sch Life Sci &amp; Technol, Key Lab Biomed Informat Engn, Minist Educ, 28 Xianning West Rd, Xian 710049, Shaanxi, Peoples R China.</t>
  </si>
  <si>
    <t>jqdu@xjtu.edu.cn</t>
  </si>
  <si>
    <t>10.1186/s12885-023-11296-1</t>
  </si>
  <si>
    <t>P3QU1</t>
  </si>
  <si>
    <t>WOS:001049830200004</t>
  </si>
  <si>
    <t>Wu, JY; Li, H; Shuai, JK; He, Y; Li, PC</t>
  </si>
  <si>
    <t>Wu, Jin-yu; Li, Hui; Shuai, Jun-kun; He, Yue; Li, Peng-cheng</t>
  </si>
  <si>
    <t>Evidence summary on the non-pharmacological management of sleep disorders in shift workers</t>
  </si>
  <si>
    <t>SLEEP AND BREATHING</t>
  </si>
  <si>
    <t>Shift work; Sleep; Evidence-based nursing; Evidence summary</t>
  </si>
  <si>
    <t>MEDICAL-SERVICES PERSONNEL; AMERICAN ACADEMY; FATIGUE; HEALTH; METAANALYSIS</t>
  </si>
  <si>
    <t>PurposeThis study aimed to evaluate, and integrate the relevant evidence on the non-pharmacological management of sleep disorders in shift workers to provide a reference for improving sleep of shift workers.MethodsAccording to the 6S pyramid model of evidence, a comprehensive search was conducted in evidence-based databases, including BMJ-Best Practice, UpToDate, DynaMed, Cochrane Library, and Joanna Briggs Institute (JBI); clinical practice guideline websites, such as the Guidelines International Network; professional association websites, such as the World Sleep Society; and literature databases, including PubMed, Embase, CINAHL, China National Knowledge Infrastructure (CNKI), Wanfang Database, and Chinese Biology Medicine disc (CBM) from inception to November 30, 2022. Two researchers independently evaluated the literature in accordance with the evaluation standards; conducted the extraction, classification, and synthesis of the evidence; and evaluated its grade and recommendation grade.ResultsA total of 18 studies were included, including 2 clinical decisions, 2 guidelines, 3 expert consensuses, and 11 systematic reviews. In total, 25 pieces of evidence were summarized from 6 aspects: sleep assessment, sleep scheduling, sleep hygiene, light therapy, workplace intervention, and other managements.ConclusionThis study summarized the best evidence for the non-pharmacological management of sleep disorders in shift workers. Shift workers should reasonably arrange their sleep time and develop good sleep hygiene. Additionally, work organizations should jointly promote sleep to improve the sleep conditions of shift workers and promote their physical and mental health.</t>
  </si>
  <si>
    <t>[Wu, Jin-yu; Li, Hui; He, Yue; Li, Peng-cheng] Sichuan Univ, West China Hosp, Orthoped Res Inst, Dept Orthoped Surg, 37, Guoxue Alley, Chengdu 610044, Sichuan, Peoples R China; [Wu, Jin-yu; Li, Hui; He, Yue; Li, Peng-cheng] Sichuan Univ, West China Sch Nursing, 37 Guoxue Alley, Chengdu 610044, Sichuan, Peoples R China; [Shuai, Jun-kun] Chengdu Univ, Affiliated Hosp, Dept Emergency Med, 82, North Sect 2,2nd Ring Rd, Chengdu 610081, Sichuan, Peoples R China</t>
  </si>
  <si>
    <t>Sichuan University; Sichuan University; Chengdu University</t>
  </si>
  <si>
    <t>Li, PC (corresponding author), Sichuan Univ, West China Hosp, Orthoped Res Inst, Dept Orthoped Surg, 37, Guoxue Alley, Chengdu 610044, Sichuan, Peoples R China.;Li, PC (corresponding author), Sichuan Univ, West China Sch Nursing, 37 Guoxue Alley, Chengdu 610044, Sichuan, Peoples R China.</t>
  </si>
  <si>
    <t>16699411@qq.com</t>
  </si>
  <si>
    <t>Nursing Discipline Development Fund Project of West China Hospital, Sichuan University [HXHL20012, HXHL20056]</t>
  </si>
  <si>
    <t>Nursing Discipline Development Fund Project of West China Hospital, Sichuan University</t>
  </si>
  <si>
    <t>This work is supported by the Nursing Discipline Development Fund Project of West China Hospital, Sichuan University [Grant Number: HXHL20012 and HXHL20056].</t>
  </si>
  <si>
    <t>1520-9512</t>
  </si>
  <si>
    <t>1522-1709</t>
  </si>
  <si>
    <t>SLEEP BREATH</t>
  </si>
  <si>
    <t>Sleep Breath.</t>
  </si>
  <si>
    <t>10.1007/s11325-023-02901-5</t>
  </si>
  <si>
    <t>Clinical Neurology; Respiratory System</t>
  </si>
  <si>
    <t>Neurosciences &amp; Neurology; Respiratory System</t>
  </si>
  <si>
    <t>P2PE1</t>
  </si>
  <si>
    <t>WOS:001049102700001</t>
  </si>
  <si>
    <t>Wu, TL</t>
  </si>
  <si>
    <t>Wu, Tielong</t>
  </si>
  <si>
    <t>Carbon emissions trading schemes and economic growth: New evidence on the Porter Hypothesis from 285 China's prefecture-level cities</t>
  </si>
  <si>
    <t>Carbon emissions trading schemes; Economic growth; Porter Hypothesis; Difference in difference model; Innovation; Investment</t>
  </si>
  <si>
    <t>CLIMATE-CHANGE IMPACTS; ZONES EVIDENCE; EU ETS; INNOVATION; POLICY; COMPETITIVENESS; RESPONSES</t>
  </si>
  <si>
    <t>The Chinese government has established carbon emissions trading schemes (CETS) to cope with climate change and reduce carbon emissions. This paper uses the multi-period difference in difference (DID) model to explore the impact of CETS on cities' GDP and GDP growth rates in China based on data from 285 prefecture-level cities from 2008-2019. We find that CETS increase the level of GDP by 3.4% and the GDP growth rate by 0.004. The mechanism of increasing GDP includes promoting investment and innovation, and the mechanism of increasing the GDP growth rate includes only promoting the investment growth rate. Thus, CETS satisfy both the weak and strong versions of the Porter Hypothesis from the GDP and growth rate perspectives. In the heterogeneity analysis, we find that the impacts of CETS on cities' GDP and GDP growth rates decrease with the increase of the corresponding dependent variable. In the spatial spillover analysis, we find that the establishment of CETS has a positive spillover effect on the GDP of cities around 50 km and 150 km, and a negative spillover effect on the GDP of cities around 200 km, but there is no spatial spillover effect on the GDP growth rate.</t>
  </si>
  <si>
    <t>[Wu, Tielong] Renmin Univ China, Sch Appl Econ, 59 Zhongguancun St, Beijing 100872, Peoples R China</t>
  </si>
  <si>
    <t>Renmin University of China</t>
  </si>
  <si>
    <t>Wu, TL (corresponding author), Renmin Univ China, Sch Appl Econ, 59 Zhongguancun St, Beijing 100872, Peoples R China.</t>
  </si>
  <si>
    <t>wutielong@mail.bnu.edu.cn</t>
  </si>
  <si>
    <t>National College Student Innovation Training Program of China [202010027034]</t>
  </si>
  <si>
    <t>National College Student Innovation Training Program of China</t>
  </si>
  <si>
    <t>National College Student Innovation Training Program of China supported this paper under grant No.202010027034.</t>
  </si>
  <si>
    <t>10.1007/s11356-023-29266-2</t>
  </si>
  <si>
    <t>WOS:001049824000008</t>
  </si>
  <si>
    <t>Xu, JH; Wang, LX; Zhang, SY; Tan, JR</t>
  </si>
  <si>
    <t>Xu, Jinghua; Wang, Linxuan; Zhang, Shuyou; Tan, Jianrong</t>
  </si>
  <si>
    <t>In situ monitoring for numerical controlled manufacturing of large conceptual prototype based on multi-view stitching fusion</t>
  </si>
  <si>
    <t>In situ monitoring; Numerical controlled manufacturing; Large textureless conceptual prototype; Multi-view stitching fusion (MSF); Conceptual design; Digital twin visualization</t>
  </si>
  <si>
    <t>DIGITAL TWIN</t>
  </si>
  <si>
    <t>This paper presents an in situ monitoring method for numerical controlled manufacturing of large conceptual prototype based on multi-view stitching fusion (MSF). With the extensive application of numerical controlled manufacturing, like additive and subtractive manufacturing (ASM), the forming size tends to increase. Nevertheless, limited by optical lens and affiliated machine vision parameters, it is difficult to avoid the existence of blind areas when detecting defects including scratch, crack, pore, and thermal deformation by machine vision. To overcome the obstacles, multi-view information, including visible and depth sequences, were captured during the manufacturing progresses to expand monitoring scope. The overlapped regions of various frames were confirmed by stitching fusion of multi-views with homography matrix. The flaws were detected by superposing anomalous regions of multi-views which were extracted via multi-dimension synthetical anomalous degree map. The finite element analysis (FEA) was conducted to extract susceptible regions and locally adjust threshold. Inspired from digital twin visualization of Boundary representation (B-Rep), the numerical controlled manufacturing process of large textureless conceptual prototype can be quantized and visualized synchronously. The numerical outcomes were evaluated and verified that the MSF was effective in distinguishing wide-range defect regions of in situ large parts, thereby generating feedbacks. The physical experiment was implemented on W12 engine upper block and thin-walled shell of engineering machinery with laser stereo lithography appearance (SLA). The physical experiment prove that it is of great significance for fabricating large-scale high reflective objects with low defect and high efficiency, further for prototype verification of conceptual design.</t>
  </si>
  <si>
    <t>[Xu, Jinghua; Zhang, Shuyou; Tan, Jianrong] Zhejiang Univ, State Key Lab Fluid Power &amp; Mechatron Syst, Hangzhou 310058, Peoples R China; [Xu, Jinghua; Zhang, Shuyou; Tan, Jianrong] Zhejiang Univ, Sch Mech Engn, Zhejiang Key Lab Adv Mfg Technol, Hangzhou 310058, Peoples R China; [Xu, Jinghua; Wang, Linxuan; Zhang, Shuyou; Tan, Jianrong] Zhejiang Univ, Inst Design Engn, Hangzhou 310058, Peoples R China; [Xu, Jinghua] Zhejiang Univ, Zhejiang Singapore Innovat &amp; AI Joint Res Lab, Hangzhou 310058, Zhejiang, Peoples R China</t>
  </si>
  <si>
    <t>Zhejiang University; Zhejiang University; Zhejiang University; Zhejiang University</t>
  </si>
  <si>
    <t>Xu, JH (corresponding author), Zhejiang Univ, State Key Lab Fluid Power &amp; Mechatron Syst, Hangzhou 310058, Peoples R China.;Xu, JH (corresponding author), Zhejiang Univ, Sch Mech Engn, Zhejiang Key Lab Adv Mfg Technol, Hangzhou 310058, Peoples R China.;Xu, JH (corresponding author), Zhejiang Univ, Inst Design Engn, Hangzhou 310058, Peoples R China.;Xu, JH (corresponding author), Zhejiang Univ, Zhejiang Singapore Innovat &amp; AI Joint Res Lab, Hangzhou 310058, Zhejiang, Peoples R China.</t>
  </si>
  <si>
    <t>xujh@zju.edu.cn</t>
  </si>
  <si>
    <t>National Key Research and Development Project of China [2022YFB3303303]; Ng Teng Fong Charitable Foundation in the form of ZJU-SUTD IDEA Grant [188170-11102]; Zhejiang Provincial Research and Development Project [LZY22E060002]</t>
  </si>
  <si>
    <t>National Key Research and Development Project of China; Ng Teng Fong Charitable Foundation in the form of ZJU-SUTD IDEA Grant; Zhejiang Provincial Research and Development Project</t>
  </si>
  <si>
    <t>&amp; nbsp;The work presented in this article is funded by the National Key Research and Development Project of China (2022YFB3303303), The Ng Teng Fong Charitable Foundation in the form of ZJU-SUTD IDEA Grant (188170-11102), and Zhejiang Provincial Research and Development Project (LZY22E060002).</t>
  </si>
  <si>
    <t>10.1007/s00170-023-12053-1</t>
  </si>
  <si>
    <t>WOS:001048385000002</t>
  </si>
  <si>
    <t>Xu, R; Li, TH; Li, ZQ; Kong, W; Wang, T; Zhang, X; Luo, JC; Li, WJ; Jiao, LQ</t>
  </si>
  <si>
    <t>Xu, Ran; Li, Tianhua; Li, Zhiqing; Kong, Wei; Wang, Tao; Zhang, Xiao; Luo, Jichang; Li, Wenjing; Jiao, Liqun</t>
  </si>
  <si>
    <t>Knowledge fields and emerging trends about extracellular matrix in carotid artery disease from 1990 to 2021: analysis of the scientific literature</t>
  </si>
  <si>
    <t>Carotid artery disease; Extracellular matrix; Stroke; Bibliometrics; Hotspots</t>
  </si>
  <si>
    <t>SMOOTH-MUSCLE-CELLS; ATHEROSCLEROSIS; RETENTION; STROKE; PREVENTION; STIFFNESS; KINKING; ELASTIN; BLOOD; FOCUS</t>
  </si>
  <si>
    <t>BackgroundStroke is a heavy burden in modern society, and carotid artery disease is a major cause. The role of the extracellular matrix (ECM) in the development and progression of carotid artery disease has become a popular research focus. However, there is no published bibliometric analysis to derive the main publication features and trends in this scientific area. We aim to conduct a bibliometric analysis to reveal current status of ECM in carotid artery disease and to predict future hot spots.MethodsWe searched and downloaded articles from the Web of Science Core Collection with Carotid and Extracellular Matrix as subject words from 1990 to 2021. The complete bibliographic data were analyzed by Bibliometrics, BICOMB, gCLUTO and CiteSpace softwares.ResultsSince 1990, the United States has been the leader in the number of publications in the field of ECM in carotid artery disease, followed by China, Japan and Germany. Among institutions, Institut National De La Sante Et De La Recherche Medicale Inserm, University of Washington Seattle and Harvard University are in the top 3. Arteriosclerosis Thrombosis and Vascular Biology is the most popular journal and Circulation is the most cited journal. Clowes AW, Hedin Ulf and Nilsson Jan are the top three authors of published articles. Finally, we investigated the frontiers through the strongest citation bursts, conducted keyword biclustering analysis, and discovered five clusters of research hotspots. Our research provided a comprehensive analysis of the fundamental data, knowledge organization, and dynamic evolution of research about ECM in carotid artery disease.ConclusionsThe field of ECM in carotid artery disease has received increasing attention. We summarized the history of the field and predicted five future hotspots through bibliometric analysis. This study provided a reference for researchers in this fields, and the methodology can be extended to other fields.</t>
  </si>
  <si>
    <t>[Xu, Ran; Li, Tianhua; Wang, Tao; Zhang, Xiao; Luo, Jichang; Jiao, Liqun] Capital Med Univ, Xuanwu Hosp, Dept Neurosurg, Beijing, Peoples R China; [Xu, Ran; Li, Tianhua; Wang, Tao; Zhang, Xiao; Luo, Jichang; Jiao, Liqun] China Int Neurosci Inst China INI, Beijing, Peoples R China; [Li, Zhiqing; Kong, Wei] Peking Univ Hlth Sci Ctr, Sch Basic Med Sci, Dept Physiol &amp; Pathophysiol, Key Lab Mol Cardiovasc Sci,Minist Educ, Beijing, Peoples R China; [Li, Wenjing] Chinese Acad Sci, Inst Automat, Lab Computat Biol &amp; Machine Intelligence, Natl Lab Pattern Recognit, Beijing, Peoples R China; [Jiao, Liqun] Capital Med Univ, Xuanwu Hosp, Dept Intervent Radiol, Beijing, Peoples R China</t>
  </si>
  <si>
    <t>Capital Medical University; Chinese Academy of Sciences; Institute of Automation, CAS; Capital Medical University</t>
  </si>
  <si>
    <t>Jiao, LQ (corresponding author), Capital Med Univ, Xuanwu Hosp, Dept Neurosurg, Beijing, Peoples R China.;Jiao, LQ (corresponding author), China Int Neurosci Inst China INI, Beijing, Peoples R China.;Jiao, LQ (corresponding author), Capital Med Univ, Xuanwu Hosp, Dept Intervent Radiol, Beijing, Peoples R China.</t>
  </si>
  <si>
    <t>liqunjiao@sina.cn</t>
  </si>
  <si>
    <t>Liu, Yuan/JFB-4766-2023; Wang, Yi/JFA-8618-2023; qi, li/JFE-7167-2023; Luo, Jichang/HOF-6063-2023; Yang, Jing/JFK-4046-2023; Liu, Shao/JFK-0166-2023; liu, lin/JFK-3401-2023; WANG, HUI/JFA-9683-2023; JIN, LIYING/JFB-1980-2023</t>
  </si>
  <si>
    <t>Wang, Yi/0000-0003-2882-8777; Luo, Jichang/0000-0002-8341-0966; Yang, Jing/0009-0004-8274-9863;</t>
  </si>
  <si>
    <t>10.1186/s40001-023-01259-4</t>
  </si>
  <si>
    <t>P1XW4</t>
  </si>
  <si>
    <t>WOS:001048651400002</t>
  </si>
  <si>
    <t>Ye, JH; Cai, SH; Feng, YF; Li, JC; Cai, ZD; Deng, YL; Liu, R; Zhu, XJ; Lu, JM; Zhuo, YJ; Liang, YK; Xie, JJ; Zhang, YQ; He, HC; Han, ZD; Jia, ZY; Zhong, WD</t>
  </si>
  <si>
    <t>Ye, Jianheng; Cai, Shanghua; Feng, Yuanfa; Li, Jinchuang; Cai, Zhiduan; Deng, Yulin; Liu, Ren; Zhu, Xuejin; Lu, Jianming; Zhuo, Yangjia; Liang, Yingke; Xie, Jianjiang; Zhang, Yanqiong; He, Huichan; Han, Zhaodong; Jia, Zhenyu; Zhong, Weide</t>
  </si>
  <si>
    <t>Metformin escape in prostate cancer by activating the PTGR1 transcriptional program through a novel super-enhancer</t>
  </si>
  <si>
    <t>SIGNAL TRANSDUCTION AND TARGETED THERAPY</t>
  </si>
  <si>
    <t>CELL IDENTITY; ALL-CAUSE; RESISTANCE; RISK; INHIBITION; MORTALITY</t>
  </si>
  <si>
    <t>The therapeutic efficacy of metformin in prostate cancer (PCa) appears uncertain based on various clinical trials. Metformin treatment failure may be attributed to the high frequency of transcriptional dysregulation, which leads to drug resistance. However, the underlying mechanism is still unclear. In this study, we found evidences that metformin resistance in PCa cells may be linked to cell cycle reactivation. Super-enhancers (SEs), crucial regulatory elements, have been shown to be associated with drug resistance in various cancers. Our analysis of SEs in metformin-resistant (MetR) PCa cells revealed a correlation with Prostaglandin Reductase 1 (PTGR1) expression, which was identified as significantly increased in a cluster of cells with metformin resistance through single-cell transcriptome sequencing. Our functional experiments showed that PTGR1 overexpression accelerated cell cycle progression by promoting progression from the G0/G1 to the S and G2/M phases, resulting in reduced sensitivity to metformin. Additionally, we identified key transcription factors that significantly increase PTGR1 expression, such as SRF and RUNX3, providing potential new targets to address metformin resistance in PCa. In conclusion, our study sheds new light on the cellular mechanism underlying metformin resistance and the regulation of the SE-TFs-PTGR1 axis, offering potential avenues to enhance metformin's therapeutic efficacy in PCa.</t>
  </si>
  <si>
    <t>[Ye, Jianheng; Cai, Shanghua; Feng, Yuanfa; Li, Jinchuang; Cai, Zhiduan; Liu, Ren; Zhu, Xuejin; Lu, Jianming; Zhuo, Yangjia; Liang, Yingke; Xie, Jianjiang; Han, Zhaodong; Zhong, Weide] South China Univ Technol, Guangzhou Peoples Hosp 1, Dept Urol, Guangzhou 510180, Guangdong, Peoples R China; [Cai, Shanghua; Feng, Yuanfa; Deng, Yulin; He, Huichan; Zhong, Weide] Guangzhou Med Univ, Affiliated Hosp 1, Urol Key Lab Guangdong Prov, Guangzhou 510230, Guangdong, Peoples R China; [Cai, Shanghua; Zhong, Weide] Guangzhou Natl Lab, 9 XingDaoHuanBei Rd,Guangzhou Int Bio Isl, Guangzhou 510005, Guangdong, Peoples R China; [Zhang, Yanqiong] China Acad Chinese Med Sci, Inst Chinese Mat Med, Beijing 100700, Peoples R China; [Jia, Zhenyu] Univ Calif Riverside, Dept Bot &amp; Plant Sci, Riverside, CA 92507 USA; [Jia, Zhenyu] Univ Calif Riverside, Grad Program Genet Genom &amp; Bioinformat, Riverside, CA 92507 USA; [Zhong, Weide] Macau Univ Sci &amp; Technol, State Key Lab Qual Res Chinese Med, Taipa 999078, Macao, Peoples R China</t>
  </si>
  <si>
    <t>South China University of Technology; Guangzhou Medical University; China Academy of Chinese Medical Sciences; Institute of Chinese Materia Medica, CACMS; University of California System; University of California Riverside; University of California System; University of California Riverside; Macau University of Science &amp; Technology</t>
  </si>
  <si>
    <t>Han, ZD; Zhong, WD (corresponding author), South China Univ Technol, Guangzhou Peoples Hosp 1, Dept Urol, Guangzhou 510180, Guangdong, Peoples R China.;Zhong, WD (corresponding author), Guangzhou Med Univ, Affiliated Hosp 1, Urol Key Lab Guangdong Prov, Guangzhou 510230, Guangdong, Peoples R China.;Zhong, WD (corresponding author), Guangzhou Natl Lab, 9 XingDaoHuanBei Rd,Guangzhou Int Bio Isl, Guangzhou 510005, Guangdong, Peoples R China.;Jia, ZY (corresponding author), Univ Calif Riverside, Dept Bot &amp; Plant Sci, Riverside, CA 92507 USA.;Jia, ZY (corresponding author), Univ Calif Riverside, Grad Program Genet Genom &amp; Bioinformat, Riverside, CA 92507 USA.;Zhong, WD (corresponding author), Macau Univ Sci &amp; Technol, State Key Lab Qual Res Chinese Med, Taipa 999078, Macao, Peoples R China.</t>
  </si>
  <si>
    <t>75028579@qq.com; zhenyuj@ucr.edu; zhongwd2009@live.cn</t>
  </si>
  <si>
    <t>Lu, Jianming/0000-0002-3794-641X</t>
  </si>
  <si>
    <t>National Natural Science Foundation of China [82072813, 82203557, 82103358]; Science and Technology Development Fund, Macau SAR [0090/2022/A]; GuangDong Basic and Applied Basic Research Foundation [2022A1515010342, 2020A1515110640, 2020A1515011290, 202201010053]; Guangzhou Municipal Science and Technology Project [0031/2021/A]; [2020A1515110792]</t>
  </si>
  <si>
    <t>National Natural Science Foundation of China(National Natural Science Foundation of China (NSFC)); Science and Technology Development Fund, Macau SAR; GuangDong Basic and Applied Basic Research Foundation; Guangzhou Municipal Science and Technology Project;</t>
  </si>
  <si>
    <t>This study was supported by the National Natural Science Foundation of China (82072813, 82203557, 82103358), The Science and Technology Development Fund, Macau SAR (File no.0031/2021/A,0090/2022/A), GuangDong Basic and Applied Basic Research Foundation (2020A1515110792, 2022A1515010342, 2020A1515110640, 2020A1515011290) and Guangzhou Municipal Science and Technology Project (202201010053). We thank Mr. Yuanqi Feng for bioinformatic support and discussion, Mr. Zuqing Deng for technical assistance and discussion.</t>
  </si>
  <si>
    <t>2095-9907</t>
  </si>
  <si>
    <t>2059-3635</t>
  </si>
  <si>
    <t>SIGNAL TRANSDUCT TAR</t>
  </si>
  <si>
    <t>Signal Transduct. Target. Ther.</t>
  </si>
  <si>
    <t>10.1038/s41392-023-01516-2</t>
  </si>
  <si>
    <t>P2DU9</t>
  </si>
  <si>
    <t>WOS:001048806100003</t>
  </si>
  <si>
    <t>El-naggar, AM; Heiba, ZK; Kamal, AM; Mohamed, MB</t>
  </si>
  <si>
    <t>El-naggar, A. M.; Heiba, Zein K.; Kamal, A. M.; Mohamed, Mohamed Bakr</t>
  </si>
  <si>
    <t>Insight into the Influence of SnS2/Ni/Carbon Nanoparticles on the Functional Properties of PMMA Polymer</t>
  </si>
  <si>
    <t>JOURNAL OF ELECTRONIC MATERIALS</t>
  </si>
  <si>
    <t>PMMA; SnS2; Ni; CNP ratio; structure; optical; dielectric</t>
  </si>
  <si>
    <t>OPTICAL-PROPERTIES; DIELECTRIC-PROPERTIES; PHYSICAL-PROPERTIES; ELECTRIC MODULUS; DEPENDENCE; GAP; ZNO</t>
  </si>
  <si>
    <t>Poly(methyl methacrylate) (PMMA) polymers, both undoped and doped with nickel-doped tin sulfide (Sn0.8Ni0.2S2) and with various weight percentages of carbon nanoparticles (CNPs), were prepared using casting techniques. The structure, elemental analysis, morphology, and optical features of the obtained polymers were investigated using x-ray diffraction, Fourier transform infrared spectroscopy, scanning electron microscopy, energy-dispersive x-ray spectroscopy, fluorescence (FL), and diffuse reflectance spectroscopy. Investigations were conducted to determine how SnS2/Ni and/or carbon nanoparticle content affects the optical properties of PMMA, including its energy band gap, refractive index, dielectric constant, linear first-order susceptibility, nonlinear third-order susceptibility, and nonlinear refractive index. The direct and indirect optical band gaps for PMMA decreased from (4.99, 4.4) eV to (4.09, 2.28) eV upon doping with SnS2/Ni and 0.25 wt.% CNPs. The effect of SnS2/Ni and/or CNPs on the frequency dependence of the dielectric properties was investigated. The FL intensity can be controlled to a desired limit by adjusting the SnS2/Ni and CNP concentrations in PMMA blends for different applications in optical devices. The emitted colors from each sample were found using the CIE 1931 chromaticity diagram.</t>
  </si>
  <si>
    <t>[El-naggar, A. M.] King Saud Univ, Coll Sci, Res Chair Exploitat Renewable Energy Applicat Saud, Phys &amp; Astron Dept, POB 2455, Riyadh 11451, Saudi Arabia; [Heiba, Zein K.; Mohamed, Mohamed Bakr] Ain Shams Univ, Fac Sci, Phys Dept, Cairo, Egypt; [Kamal, A. M.] King Saud Univ, Coll Sci, Phys &amp; Astron Dept, POB 2455, Riyadh 11451, Saudi Arabia</t>
  </si>
  <si>
    <t>King Saud University; Egyptian Knowledge Bank (EKB); Ain Shams University; King Saud University</t>
  </si>
  <si>
    <t>Heiba, ZK; Mohamed, MB (corresponding author), Ain Shams Univ, Fac Sci, Phys Dept, Cairo, Egypt.</t>
  </si>
  <si>
    <t>zein_kh@yahoo.com; mbm1977@yahoo.com</t>
  </si>
  <si>
    <t>Deputyship for Research and Innovation, Ministry of Education in Saudi Arabia [IFKSURC-1-1017]</t>
  </si>
  <si>
    <t>Deputyship for Research and Innovation, Ministry of Education in Saudi Arabia</t>
  </si>
  <si>
    <t>AcknowledgmentsThe authors extend their appreciation to the Deputyship for Research and Innovation, Ministry of Education in Saudi Arabia for funding this research (IFKSURC-1-1017).</t>
  </si>
  <si>
    <t>0361-5235</t>
  </si>
  <si>
    <t>1543-186X</t>
  </si>
  <si>
    <t>J ELECTRON MATER</t>
  </si>
  <si>
    <t>J. Electron. Mater.</t>
  </si>
  <si>
    <t>2023 AUG 15</t>
  </si>
  <si>
    <t>10.1007/s11664-023-10632-2</t>
  </si>
  <si>
    <t>Engineering, Electrical &amp; Electronic; Materials Science, Multidisciplinary; Physics, Applied</t>
  </si>
  <si>
    <t>Engineering; Materials Science; Physics</t>
  </si>
  <si>
    <t>P4MA0</t>
  </si>
  <si>
    <t>WOS:001050391500001</t>
  </si>
  <si>
    <t>Fang, L; Huang, HX; Lv, JL; Chen, ZT; Lu, C; Jiang, TL; Xu, PH; Li, Y; Wang, S; Li, BW; Li, Z; Wang, WZ; Xu, ZK</t>
  </si>
  <si>
    <t>Fang, Lang; Huang, Hongxin; Lv, Jialun; Chen, Zetian; Lu, Chen; Jiang, Tianlu; Xu, Penghui; Li, Ying; Wang, Sen; Li, Bowen; Li, Zheng; Wang, Weizhi; Xu, Zekuan</t>
  </si>
  <si>
    <t>m5C-methylated lncRNA NR_033928 promotes gastric cancer proliferation by stabilizing GLS mRNA to promote glutamine metabolism reprogramming</t>
  </si>
  <si>
    <t>PROGRESSION; MORTALITY; INVASION; HUR</t>
  </si>
  <si>
    <t>Abnormal 5-methylcytosine (m5C) methylation has been proved to be closely related to gastric carcinogenesis, progression, and prognosis. Dysregulated long noncoding RNAs (lncRNAs) participate in a variety of biological processes in cancer. However, to date, m5C-methylated lncRNAs are rarely researched in gastric cancer (GC). Here, we found that RNA cytosine-C(5)-methyltransferase (NSUN2) was upregulated in GC and high NSUN2 expression was associated with poor prognosis. NR_033928 was identified as an NSUN2-methylated and upregulated lncRNA in GC. Functionally, NR_033928 upregulated the expression of glutaminase (GLS) by interacting with IGF2BP3/HUR complex to promote GLS mRNA stability. Increased glutamine metabolite, &amp; alpha;-KG, upregulated NR_033928 expression by enhancing its promoter 5-hydroxymethylcytosine (hm5C) demethylation. In conclusion, our results revealed that NSUN2-methylated NR_033928 promoted GC progression and might be a potential prognostic and therapeutic target for GC.</t>
  </si>
  <si>
    <t>[Fang, Lang; Huang, Hongxin; Lv, Jialun; Chen, Zetian; Lu, Chen; Jiang, Tianlu; Xu, Penghui; Li, Ying; Wang, Sen; Li, Bowen; Li, Zheng; Wang, Weizhi; Xu, Zekuan] Nanjing Med Univ, Affiliated Hosp 1, Dept Gen Surg, Nanjing, Jiangsu, Peoples R China; [Xu, Zekuan] Nanjing Med Univ, Collaborat Innovat Ctr Canc Personalized Med, Jiangsu Key Lab Canc Biomarkers Prevent &amp; Treatmen, Nanjing 210029, Jiangsu, Peoples R China</t>
  </si>
  <si>
    <t>Nanjing Medical University; Nanjing Medical University</t>
  </si>
  <si>
    <t>Wang, WZ; Xu, ZK (corresponding author), Nanjing Med Univ, Affiliated Hosp 1, Dept Gen Surg, Nanjing, Jiangsu, Peoples R China.;Xu, ZK (corresponding author), Nanjing Med Univ, Collaborat Innovat Ctr Canc Personalized Med, Jiangsu Key Lab Canc Biomarkers Prevent &amp; Treatmen, Nanjing 210029, Jiangsu, Peoples R China.</t>
  </si>
  <si>
    <t>wwzhouse@126.com; xuzekuan@njmu.edu.cn</t>
  </si>
  <si>
    <t>AUG 15</t>
  </si>
  <si>
    <t>10.1038/s41419-023-06049-8</t>
  </si>
  <si>
    <t>P2ZO8</t>
  </si>
  <si>
    <t>WOS:001049375600001</t>
  </si>
  <si>
    <t>Ferreira, R</t>
  </si>
  <si>
    <t>Ferreira, Rebecca</t>
  </si>
  <si>
    <t>Vincent Gaffney and Simon Fitch, Editors: Europe's Lost Frontiers: Volume 1: Context and Methodology</t>
  </si>
  <si>
    <t>JOURNAL OF MARITIME ARCHAEOLOGY</t>
  </si>
  <si>
    <t>[Ferreira, Rebecca] Univ Southampton, Southampton, England; [Ferreira, Rebecca] Univ Reading, Reading, England</t>
  </si>
  <si>
    <t>University of Southampton; University of Reading</t>
  </si>
  <si>
    <t>Ferreira, R (corresponding author), Univ Southampton, Southampton, England.;Ferreira, R (corresponding author), Univ Reading, Reading, England.</t>
  </si>
  <si>
    <t>rlf2g13@soton.ac.uk</t>
  </si>
  <si>
    <t>1557-2285</t>
  </si>
  <si>
    <t>1557-2293</t>
  </si>
  <si>
    <t>J MARIT ARCHAEOL</t>
  </si>
  <si>
    <t>J. Marit. Archaeol.</t>
  </si>
  <si>
    <t>10.1007/s11457-023-09366-3</t>
  </si>
  <si>
    <t>Archaeology</t>
  </si>
  <si>
    <t>P2NS2</t>
  </si>
  <si>
    <t>WOS:001049064800001</t>
  </si>
  <si>
    <t>Forghany, B; Akhlaghi, IA</t>
  </si>
  <si>
    <t>Forghany, Batool; Ahadi Akhlaghi, Iman</t>
  </si>
  <si>
    <t>A tensor-based approach for frequency-selective MIMO channel equalization</t>
  </si>
  <si>
    <t>MULTIDIMENSIONAL SYSTEMS AND SIGNAL PROCESSING</t>
  </si>
  <si>
    <t>Tensor algebra; Channel equalization; Frequency-selective MIMO channels; Higher-order SVD (HOSVD); Computational complexity</t>
  </si>
  <si>
    <t>JOINT CHANNEL; SYSTEMS; OFDM; PERFORMANCE; DIVERSITY; DECOMPOSITIONS; REDUCTION</t>
  </si>
  <si>
    <t>In this paper, a novel tensor-based method is proposed to equalize frequency-selective multiple-input multiple-output (FS-MIMO) channels. Since both the spatial and temporal aspects of such channels are considered in the proposed method at the same time, it has the capability of simultaneously removing both the inter-channel interference and inter-symbol interference of such channels. In this method, a novel HOSVD-based coding scheme is applied to the input and output signals of an FS-MIMO channel modeled by a tensor. The performance of the proposed method is studied for different numbers of antennas at the transmitter and receiver sides and the paths between them. Simulation results show that under the same circumstances, the proposed HOSVD-based equalization method has a much better performance than that of a standard MIMO-OFDM system. This is a very interesting result since although the MIMO-OFDM systems are widely used commercially, they suffer from some important shortcomings. The computational complexity of the proposed method is also analyzed and it is observed that it has much lower complexity than several popular equalization methods for the special case of flat channels, although according to the bit error rate, it easily outperforms them, especially at low SNRs. The effect of incorrect CSI at the transmitter and receiver sides and ill-conditioned channels on the performance of the proposed method is studied, as well.</t>
  </si>
  <si>
    <t>[Forghany, Batool; Ahadi Akhlaghi, Iman] Sadjad Univ, Elect &amp; Bioelect Engn Dept, Mashhad 9188148848, Iran</t>
  </si>
  <si>
    <t>Akhlaghi, IA (corresponding author), Sadjad Univ, Elect &amp; Bioelect Engn Dept, Mashhad 9188148848, Iran.</t>
  </si>
  <si>
    <t>bforghany@sadjad.ac.ir; i_a_akhlaghi@sadjad.ac.ir</t>
  </si>
  <si>
    <t>0923-6082</t>
  </si>
  <si>
    <t>1573-0824</t>
  </si>
  <si>
    <t>MULTIDIM SYST SIGN P</t>
  </si>
  <si>
    <t>Multidimens. Syst. Signal Process.</t>
  </si>
  <si>
    <t>10.1007/s11045-023-00884-w</t>
  </si>
  <si>
    <t>Computer Science, Theory &amp; Methods; Engineering, Electrical &amp; Electronic</t>
  </si>
  <si>
    <t>P1BX6</t>
  </si>
  <si>
    <t>WOS:001048071400001</t>
  </si>
  <si>
    <t>Kaliya, N; Pawar, D</t>
  </si>
  <si>
    <t>Kaliya, Neha; Pawar, Digambar</t>
  </si>
  <si>
    <t>Unboxing fog security: a review of fog security and authentication mechanisms</t>
  </si>
  <si>
    <t>Fog computing; Fog security; Fog security threats; Fog security challenges; Fog authentication mechanisms</t>
  </si>
  <si>
    <t>COMPUTING-BASED INTERNET; KEY MANAGEMENT PROTOCOL; MUTUAL AUTHENTICATION; PRIVACY ISSUES; SCHEME; IOT; CHALLENGES; THINGS; LIGHTWEIGHT; ARCHITECTURE</t>
  </si>
  <si>
    <t>Due to the massive advancement of the Internet of Things in our day-to-day lives, there is a strong need to bring connectivity to a very accessible level. To enable the execution of real-time applications at the device end or network edge for connected devices, fog computing was introduced. Due to the resource constraint nature and geographical distribution of fog devices, security and privacy concerns may arise. With an increased number of smart devices, authentication is turning to be more and more vital to enable secure communication for fog-based applications. Hence, it is mandatory to use a strong authentication mechanism for each device or application installed in the fog network system. Our survey paper focuses on a complete understanding of fog computing in terms of its architecture, features, and security. We have done a rigorous study on existing authentication mechanisms with their working principles, performance, and limitations. Also, we provided a taxonomy of security issues in fog computing for a better understanding of all security concerns that would help the researchers to work in the right direction in this domain. To design an effective authentication system for fog security, we provided future research directions and open challenges.</t>
  </si>
  <si>
    <t>[Kaliya, Neha; Pawar, Digambar] Univ Hyderabad, Sch Comp &amp; Informat Sci, Prof CR Rao Rd, Hyderabad 500046, Telangana, India</t>
  </si>
  <si>
    <t>University of Hyderabad</t>
  </si>
  <si>
    <t>Kaliya, N (corresponding author), Univ Hyderabad, Sch Comp &amp; Informat Sci, Prof CR Rao Rd, Hyderabad 500046, Telangana, India.</t>
  </si>
  <si>
    <t>20mcpc01@uohyd.ac.in; dpr@uohyd.ac.in</t>
  </si>
  <si>
    <t>10.1007/s00607-023-01208-3</t>
  </si>
  <si>
    <t>P1CJ9</t>
  </si>
  <si>
    <t>WOS:001048083700001</t>
  </si>
  <si>
    <t>Koffi, I; Essis, EML; Bamba, I; Assi, KR; Konan, LL; Aka, J</t>
  </si>
  <si>
    <t>Koffi, Ibrahima; Essis, Esme Marie Laure; Bamba, Iba; Assi, Kaudjhis Rh; Konan, Loukou Leandre; Aka, Joseph</t>
  </si>
  <si>
    <t>Factors associated with exclusive breastfeeding of children under six months of age in Cote d'Ivoire</t>
  </si>
  <si>
    <t>INTERNATIONAL BREASTFEEDING JOURNAL</t>
  </si>
  <si>
    <t>Exclusive breastfeeding; Duration; Infant; Explanatory factors; Abidjan; Cote d'Ivoire</t>
  </si>
  <si>
    <t>MOTHERS</t>
  </si>
  <si>
    <t>BackgroundDespite benefits of exclusive breastfeeding (EBF) and its strategic place in the national guidelines for infant and young child feeding, its practice remains insufficient in Cote d'Ivoire. It is therefore important to identify its early stopping associated factors. We aimed to (i) assess the extent of children's exposure to exclusive breastfeeding and the associated explanatory factors for discontinuation before six months, and (ii) to profile non-exclusively breastfed children and interrelationships between these factors.MethodsA secondary analysis of data from the 2016 Cote d'Ivoire Fifth Multi Indicator Cluster Survey (MICS5) of 980 children under six months of age was conducted in this study. Data were analyzed using the actuarial method of survival hazard estimation combined with the Wilcoxon (Gehan) test, discrete time proportional hazards regression models, and Multiple Correspondence Analysis (MCA) to profile the children.ResultsMaternal exposure to counseling session, age at delivery, and child sex were significantly associated with the likelihood of discontinuing exclusive breastfeeding before the first six months of life. Children deprived of EBF resided in urban areas, in high and very high economic welfare households. Their mothers had a secondary education or higher and had three or fewer children.Logistic analysis showed that health status and sex of the child were significantly associated (P &lt; 0.001) with exclusive breastfeeding. An extremely important and rarely studied factor is that children who were sick in weeks prior to the survey were more likely to remain exclusive breastfeeding (adjusted OR 1.80; 95% Confidence Interval (CI) 1.452, 2.234). Girls are less likely to be exclusively breastfed than boys (adjusted OR 1.48; 95% CI 1.22, 1.798). Low standard of living was associated with early cessation of EBF (adjusted OR 2.15; CI 1.325, 3.499). The duration of the exclusive breastfeeding was significantly longer among mothers with high exposure to medical discourse (adjusted OR 0.74; CI 0.595, 0.91).ConclusionsImproving the practice of exclusive breastfeeding in Cote d'Ivoire requires strengthening the capacities of health professionals in terms of advice and assistance to mothers for the practice of exclusive breastfeeding and its maintenance until six months of age, regardless of the health status and sex of the child.</t>
  </si>
  <si>
    <t>[Koffi, Ibrahima] Minist Planning &amp; Dev, Directorate Strategy &amp; Studies, Abidjan, Cote Ivoire; [Essis, Esme Marie Laure; Bamba, Iba; Konan, Loukou Leandre; Aka, Joseph] Natl Inst Publ Hlth, Ctr Populat &amp; Hlth Policy &amp; Syst Res, Abidjan, Cote Ivoire; [Essis, Esme Marie Laure] Cellule Rech St Reprod Cote Ivoire, Abidjan, Cote Ivoire; [Assi, Kaudjhis Rh] Natl Inst Publ Hlth, Nutr Dept, Abidjan, Cote Ivoire; [Aka, Joseph] Felix Houphouet Boigny Univ, Fac Med, Dept Publ Hlth &amp; Biostat, UFR Med Sci, Abidjan, Cote Ivoire</t>
  </si>
  <si>
    <t>Essis, EML (corresponding author), Natl Inst Publ Hlth, Ctr Populat &amp; Hlth Policy &amp; Syst Res, Abidjan, Cote Ivoire.;Essis, EML (corresponding author), Cellule Rech St Reprod Cote Ivoire, Abidjan, Cote Ivoire.</t>
  </si>
  <si>
    <t>essismarie2007@yahoo.fr</t>
  </si>
  <si>
    <t>1746-4358</t>
  </si>
  <si>
    <t>INT BREASTFEED J</t>
  </si>
  <si>
    <t>Int. Breastfeed. J.</t>
  </si>
  <si>
    <t>10.1186/s13006-023-00573-1</t>
  </si>
  <si>
    <t>P1ZU6</t>
  </si>
  <si>
    <t>WOS:001048701600002</t>
  </si>
  <si>
    <t>Liebenberg, A; Gardner, M; Nie, VM; James, CL; Reed, S</t>
  </si>
  <si>
    <t>Liebenberg, Adelle; Gardner, Melinda; Nie, Valerie M.; James, Carole L.; Reed, Sue</t>
  </si>
  <si>
    <t>A Scoping Review: Identifying Targeted Intervention Strategies for Workers with Occupational Hearing Loss</t>
  </si>
  <si>
    <t>ACOUSTICS AUSTRALIA</t>
  </si>
  <si>
    <t>Hearing conservation program; Hearing loss; Intervention; Noise control; Noise induced hearing loss; Workplace</t>
  </si>
  <si>
    <t>NOISE EXPOSURE; EMPLOYEES</t>
  </si>
  <si>
    <t>An apparent disconnect exist in workplaces regarding identification of occupational hearing loss (OHL) and implementation of specific strategies to prevent progression of OHL, evident through continued high incidence of OHL. This scoping review aimed to identify evidence regarding targeted intervention used by industry, specifically to prevent the progression of OHL for workers. The scoping review was undertaken using the PRISMA-ScR methodology. Search terms were based on three broad categories, hearing loss, workplace, and intervention. Initially 1309 articles were identified for screening and 1,207 studies not meeting the criteria were excluded. Full text reviews of 102 articles were completed and a further 93 studies excluded. The scoping review produced nine studies which were quantitatively analysed. All interventions focused primarily on lower order controls, specifically administrative and personal protective equipment. Eight studies focused on awareness training, health monitoring, mandating hearing protection device use and fit testing, and using personal attenuation ratings as a predictor to OHL. Only one study mentioned isolation of workers from noise sources, and this was an interview study with workplace managers, not a specific intervention at a workplace. The result of the review highlights the lack of published literature on targeted interventions for workers with OHL. There is insufficient evidence to inform effective, impactful change in practice to prevent the progression of OHL. It is recommended that a system of collecting and assessing specific interventions and controls for workers with OHL be developed to better inform industry on strategies that will provide adequate protection for these workers.</t>
  </si>
  <si>
    <t>[Liebenberg, Adelle; Gardner, Melinda; Reed, Sue] Edith Cowan Univ Joondalup Campus Edith Cowan Univ, Joondalup, WA, Australia; [Nie, Valerie M.] Univ Newcastle, Newcastle, NSW, Australia; [James, Carole L.] Univ Sydney, Sydney, NSW, Australia</t>
  </si>
  <si>
    <t>University of Newcastle; University of Sydney</t>
  </si>
  <si>
    <t>Liebenberg, A (corresponding author), Edith Cowan Univ Joondalup Campus Edith Cowan Univ, Joondalup, WA, Australia.</t>
  </si>
  <si>
    <t>a.liebenberg@ecu.edu.au</t>
  </si>
  <si>
    <t>0814-6039</t>
  </si>
  <si>
    <t>1839-2571</t>
  </si>
  <si>
    <t>ACOUST AUST</t>
  </si>
  <si>
    <t>Acoust. Aust.</t>
  </si>
  <si>
    <t>10.1007/s40857-023-00302-y</t>
  </si>
  <si>
    <t>Acoustics</t>
  </si>
  <si>
    <t>P1NI3</t>
  </si>
  <si>
    <t>WOS:001048373100001</t>
  </si>
  <si>
    <t>Norqvist, M; Jonsson, B; Lithner, J</t>
  </si>
  <si>
    <t>Norqvist, Mathias; Jonsson, Bert; Lithner, Johan</t>
  </si>
  <si>
    <t>Shifts in student attention on algorithmic and creative practice tasks</t>
  </si>
  <si>
    <t>EDUCATIONAL STUDIES IN MATHEMATICS</t>
  </si>
  <si>
    <t>Mathematical reasoning; Eye tracking; Solution strategies; Consecutive tasks</t>
  </si>
  <si>
    <t>COGNITIVE-ABILITIES; SCHOOL MATHEMATICS; LEARNING MATHEMATICS; INTELLIGENCE; OPPORTUNITIES; ACHIEVEMENT; STRATEGIES</t>
  </si>
  <si>
    <t>In mathematics classrooms, it is common practice to work through a series of comparable tasks provided in a textbook. A central question in mathematics education is if tasks should be accompanied with solution methods, or if students should construct the solutions themselves. To explore the impact of these two task designs on student behavior during repetitive practice, an eye-tracking study was conducted with 50 upper secondary and university students. Their eye movements were analyzed to study how the two groups shifted their gaze both within and across 10 task sets. The results show that when a solution method was present, the students reread this every time they solved the task, while only giving minute attention to the illustration that carried information supporting mathematical understanding. Students who practiced with tasks without a solution method seemed to construct a solution method by observing the illustration, which later could be retrieved from memory, making this method more efficient in the long run. We discuss the implications for teaching and how tasks without solution methods can increase student focus on important mathematical properties.</t>
  </si>
  <si>
    <t>[Norqvist, Mathias; Lithner, Johan] Umea Univ, Dept Sci &amp; Math Educ, S-90187 Umea, Sweden; [Jonsson, Bert] Umea Univ, Dept Appl Educ Sci, Umea, Sweden; [Norqvist, Mathias; Jonsson, Bert; Lithner, Johan] Umea Univ, Umea Math Educ Res Ctr, Umea, Sweden</t>
  </si>
  <si>
    <t>Umea University; Umea University; Umea University</t>
  </si>
  <si>
    <t>Norqvist, M (corresponding author), Umea Univ, Dept Sci &amp; Math Educ, S-90187 Umea, Sweden.;Norqvist, M (corresponding author), Umea Univ, Umea Math Educ Res Ctr, Umea, Sweden.</t>
  </si>
  <si>
    <t>mathias.norqvist@umu.se</t>
  </si>
  <si>
    <t>Umea University; Marcus and Amalia Wallenberg Foundation; Umea University, Sweden</t>
  </si>
  <si>
    <t>Open access funding provided by Umea University. This study was supported by the Marcus and Amalia Wallenberg Foundation and Umea University, Sweden</t>
  </si>
  <si>
    <t>0013-1954</t>
  </si>
  <si>
    <t>1573-0816</t>
  </si>
  <si>
    <t>EDUC STUD MATH</t>
  </si>
  <si>
    <t>Educ. Stud. Math.</t>
  </si>
  <si>
    <t>10.1007/s10649-023-10250-z</t>
  </si>
  <si>
    <t>P1NL4</t>
  </si>
  <si>
    <t>WOS:001048376200001</t>
  </si>
  <si>
    <t>Oostveen, RF; Kaiser, Y; Stahle, MR; Nurmohamed, NS; Tzolos, E; Dweck, MR; Kroon, J; Murphy, AJ; Dey, D; Slomka, PJ; Verberne, HJ; Stroes, ESG; Hanssen, NMJ</t>
  </si>
  <si>
    <t>Oostveen, Reindert F. F.; Kaiser, Yannick; Stahle, Mia R. R.; Nurmohamed, Nick S. S.; Tzolos, Evangelos; Dweck, Marc R. R.; Kroon, Jeffrey; Murphy, Andrew J. J.; Dey, Damini; Slomka, Piotr J. J.; Verberne, Hein J. J.; Stroes, Erik S. G.; Hanssen, Nordin M. J.</t>
  </si>
  <si>
    <t>Atorvastatin lowers Ga-68-DOTATATE uptake in coronary arteries, bone marrow and spleen in individuals with type 2 diabetes</t>
  </si>
  <si>
    <t>DIABETOLOGIA</t>
  </si>
  <si>
    <t>Atherosclerosis; Inflammation; Macrophages; Molecular imaging; Statin</t>
  </si>
  <si>
    <t>ATHEROSCLEROTIC INFLAMMATION</t>
  </si>
  <si>
    <t>Aims/hypothesis Inflammation is a core component of residual cardiovascular risk in type 2 diabetes. With new antiinflammatory therapeutics entering the field, accurate markers to evaluate their effectiveness in reducing cardiovascular disease are paramount. Gallium-68-labelled DOTATATE (Ga-68-DOTATATE) has recently been proposed as a more specific marker of arterial wall inflammation than F-18-fluorodeoxyglucose (F-18-FDG). This study set out to investigate whether (68)GaDOTATATE uptake is amenable to therapeutic intervention in individuals with type 2 diabetes. Methods Individuals aged &gt;50 years with type 2 diabetes underwent Ga-68-DOTATATE positron emission tomography (PET)/computed tomography (CT) at baseline and after 3 months treatment with atorvastatin 40 mg once daily. Primary outcome was the difference in coronary Ga-68-DOTATATE uptake, expressed as target-to-background ratio ( TBR). The secondary outcome was difference in bone marrow and splenic uptake, expressed as the standardised uptake value (SUV). Results Twenty-two individuals with type 2 diabetes (mean age 63.2 +/- 6.4 years, 82% male, LDL-cholesterol 3.42 +/- 0.81 mmol/l, HbA(1c) 55 +/- 12 mmol/mol [7.2%+/- 3.2%]) completed both Ga-68-DOTATATE PET/CT scans. The maximum TBR was -31% (95% CI -50, -12) lower in the coronary arteries, and bone marrow and splenic Ga-68-DOTATATE uptake was also significantly lower post statin treatment, with a mean percentage reduction of -15% (95% CI -27, -4) and -17% (95% CI -32, -2), respectively. Conclusions/interpretation Ga-68-DOTATATE uptake across the cardio-haematopoietic axis was lower after statin therapy in individuals with type 2 diabetes. Therefore, Ga-68-DOTATATE is promising as a metric for vascular and haematopoietic inflammation in intervention studies using anti-inflammatory therapeutics in individuals with type 2 diabetes.</t>
  </si>
  <si>
    <t>[Oostveen, Reindert F. F.; Nurmohamed, Nick S. S.; Stroes, Erik S. G.; Hanssen, Nordin M. J.] Univ Amsterdam, Amsterdam UMC, Amsterdam Cardiovasc Sci, Dept Vasc Med, Amsterdam, Netherlands; [Kaiser, Yannick; Stahle, Mia R. R.; Kroon, Jeffrey] Univ Amsterdam, Amsterdam UMC, Amsterdam Cardiovasc Sci, Dept Expt Vasc Med, Amsterdam, Netherlands; [Nurmohamed, Nick S. S.] Free Univ Amsterdam, Amsterdam UMC, Amsterdam Cardiovasc Sci, Dept Cardiol, Amsterdam, Netherlands; [Tzolos, Evangelos; Dweck, Marc R. R.] Univ Edinburgh, British Heart Fdn Ctr Cardiovasc Sci, Edinburgh, Scotland; [Kroon, Jeffrey] Katholieke Univ Leuven, Ctr Canc Biol, VIB, Lab Angiogenesis &amp; Vasc Metab, Leuven, Belgium; [Kroon, Jeffrey] Katholieke Univ Leuven, Dept Oncol, Lab Angiogenesis &amp; Vasc Metab, Leuven, Belgium; [Kroon, Jeffrey] Leuven Canc Inst LKI, Leuven, Belgium; [Murphy, Andrew J. J.] Baker Heart &amp; Diabet Inst, Melbourne, Vic, Australia; [Dey, Damini; Slomka, Piotr J. J.] Cedars Sinai Med Ctr, Biomed Imaging Res Inst, Dept Biomed Sci &amp; Med, Los Angeles, CA USA; [Verberne, Hein J. J.] Univ Amsterdam, Amsterdam UMC, Dept Radiol &amp; Nucl Med, Amsterdam, Netherlands</t>
  </si>
  <si>
    <t>University of Amsterdam; University of Amsterdam; Vrije Universiteit Amsterdam; University of Amsterdam; University of Edinburgh; Flanders Institute for Biotechnology (VIB); KU Leuven; KU Leuven; Baker Heart and Diabetes Institute; Cedars Sinai Medical Center; University of Amsterdam</t>
  </si>
  <si>
    <t>Hanssen, NMJ (corresponding author), Univ Amsterdam, Amsterdam UMC, Amsterdam Cardiovasc Sci, Dept Vasc Med, Amsterdam, Netherlands.</t>
  </si>
  <si>
    <t>n.m.j.hanssen@amsterdamumc.nl</t>
  </si>
  <si>
    <t>Kroon, Jeffrey/AAL-2588-2021</t>
  </si>
  <si>
    <t>Kroon, Jeffrey/0000-0001-9983-6614; Nurmohamed, Nick/0000-0001-9045-6009; Tzolos, Evangelos/0000-0003-0038-043X; Dey, Damini/0000-0003-2236-6970; Oostveen, Reindert/0000-0001-7182-2886; dweck, marc/0000-0001-9847-5917</t>
  </si>
  <si>
    <t>Netherlands Heart Foundation CVON 2017-20: generating the best evidence-based pharmaceutical targets for atherosclerosis [GENIUS II]); National Institutes of Health; Netherlands Heart Foundation [2021T055]</t>
  </si>
  <si>
    <t>Netherlands Heart Foundation CVON 2017-20: generating the best evidence-based pharmaceutical targets for atherosclerosis [GENIUS II]); National Institutes of Health(United States Department of Health &amp; Human ServicesNational Institutes of Health (NIH) - USA); Netherlands Heart Foundation(Netherlands Heart Foundation)</t>
  </si>
  <si>
    <t>YK and ESGS were supported by the Netherlands Heart Foundation CVON 2017-20: generating the best evidence-based pharmaceutical targets for atherosclerosis [GENIUS II]). PJS has received funding from the National Institutes of Health. NMJH is supported by a senior clinical scientist grant from the Netherlands Heart Foundation (grant number 2021T055)</t>
  </si>
  <si>
    <t>0012-186X</t>
  </si>
  <si>
    <t>1432-0428</t>
  </si>
  <si>
    <t>Diabetologia</t>
  </si>
  <si>
    <t>10.1007/s00125-023-05990-9</t>
  </si>
  <si>
    <t>P2OM8</t>
  </si>
  <si>
    <t>WOS:001049085400001</t>
  </si>
  <si>
    <t>Pfaff, T; Meschede, J; Juhasz-Boss, I; Schuster, D; Huwer, S</t>
  </si>
  <si>
    <t>Pfaff, T.; Meschede, J.; Juhasz-Boess, I.; Schuster, D.; Huwer, S.</t>
  </si>
  <si>
    <t>A rare case - heterotopic pregnancy</t>
  </si>
  <si>
    <t>GYNAKOLOGISCHE ENDOKRINOLOGIE</t>
  </si>
  <si>
    <t>IN-VITRO FERTILIZATION; ECTOPIC PREGNANCY; EMBRYO TRANSFER; INTRAUTERINE; RISK</t>
  </si>
  <si>
    <t>[Pfaff, T.; Meschede, J.; Juhasz-Boess, I.; Schuster, D.; Huwer, S.] Univ Klinikum Freiburg, Klin Frauenheilkunde, Freiburg, Germany; [Pfaff, T.] Univ Klinikum Freiburg, Klin Frauenheilkunde, Hugstetter Str 55, D-79106 Freiburg, Germany</t>
  </si>
  <si>
    <t>University of Freiburg; University of Freiburg</t>
  </si>
  <si>
    <t>Pfaff, T (corresponding author), Univ Klinikum Freiburg, Klin Frauenheilkunde, Hugstetter Str 55, D-79106 Freiburg, Germany.</t>
  </si>
  <si>
    <t>Theresa.pfaff@uniklinik-freiburg.de</t>
  </si>
  <si>
    <t>1610-2894</t>
  </si>
  <si>
    <t>1610-2908</t>
  </si>
  <si>
    <t>GYNAKOL ENDOKRINOL</t>
  </si>
  <si>
    <t>Gynakol. Endokrinol.</t>
  </si>
  <si>
    <t>10.1007/s10304-023-00517-2</t>
  </si>
  <si>
    <t>R8VP4</t>
  </si>
  <si>
    <t>WOS:001051868400001</t>
  </si>
  <si>
    <t>Shao, JC; Zhang, ZC; Cai, XC; Wu, XY; Huang, BS; Shen, Y; Tong, JP</t>
  </si>
  <si>
    <t>Shao, Jiechao; Zhang, Zongchan; Cai, Xuecheng; Wu, Xinyu; Huang, Baishuang; Shen, Ye; Tong, Jianping</t>
  </si>
  <si>
    <t>Correlation analysis of aqueous humor metabolomics with myopic axial length and choroidal parameters</t>
  </si>
  <si>
    <t>Myopia; Aqueous humor; Metabolomics; Choroid</t>
  </si>
  <si>
    <t>HIPPURIC-ACID; MELATONIN; SMPDB</t>
  </si>
  <si>
    <t>BackgroundTo explore differential metabolites in the aqueous humor of patients with different axial lengths and their correlations with axial length and choroidal parameters.MethodsIn this study, we included 12 patients with axial lengths less than 24 mm, 11 patients with axial lengths between 24 and 26 mm, and 11 patients with axial lengths greater than 26 mm. We collected their aqueous humor samples during cataract surgery for liquid chromatography-mass spectrometry metabolomic analysis. Simultaneously, we collected relevant clinical parameters such as axial length, subfoveal choroidal thickness, and choroidal vascular index. Correlations between clinical data, differential metabolites, and clinical indicators were analyzed. In addition, we plotted receiver operating characteristic curves.ResultsThe results showed that axial length was significantly negatively correlated with choroidal thickness (r=-0.7446, P &lt; 0.0001), and that several differential metabolites were significantly correlated with certain clinical parameters. After analyzing receiver operating characteristic curves, 5-methoxytryptophol and cerulenin were found to have excellent discriminative power, demonstrating their potential as biomarkers. In the enrichment analysis, we found that the differential metabolites among each group were involved in several special pathways (Taurine and Hypotaurine Metabolism, Vitamin B6 Metabolism, Pantothenate, and coenzyme A Biosynthesis), suggesting that abnormalities in these metabolic pathways may play a role in the process of axial myopia.ConclusionsOur study identified alterations in certain metabolic pathways in different axial lengths. At the same time, we found several metabolites with significant correlation with clinical indicators, among which 5-methoxytryptophol and cerulenin were associated with axial myopia.</t>
  </si>
  <si>
    <t>[Shao, Jiechao; Zhang, Zongchan; Cai, Xuecheng; Wu, Xinyu; Huang, Baishuang; Shen, Ye; Tong, Jianping] Zhejiang Univ, Affiliated Hosp 1, Coll Med, Dept Ophthalmol, Hangzhou 310003, Zhejiang, Peoples R China</t>
  </si>
  <si>
    <t>Tong, JP (corresponding author), Zhejiang Univ, Affiliated Hosp 1, Coll Med, Dept Ophthalmol, Hangzhou 310003, Zhejiang, Peoples R China.</t>
  </si>
  <si>
    <t>idrtong@zju.edu.cn</t>
  </si>
  <si>
    <t>10.1186/s12886-023-03101-1</t>
  </si>
  <si>
    <t>P1LZ5</t>
  </si>
  <si>
    <t>WOS:001048338200001</t>
  </si>
  <si>
    <t>Souders, T; Stefaniak, J; Baaki, J; Dice, T</t>
  </si>
  <si>
    <t>Souders, Tina; Stefaniak, Jill; Baaki, John; Dice, Tammi</t>
  </si>
  <si>
    <t>The effect of emotive case construction on knowledge acquisition and ethical sense-making</t>
  </si>
  <si>
    <t>JOURNAL OF COMPUTING IN HIGHER EDUCATION</t>
  </si>
  <si>
    <t>Case example; Emotive content; Ethical dilemma; Ethical sense-making; Ill-structured problem; Knowledge acquisition; Social work</t>
  </si>
  <si>
    <t>DECISION-MAKING; WORKING-MEMORY; SENSEMAKING APPROACH; FORECASTING OUTCOMES; STRATEGIES; EDUCATION; INSTRUCTION; CAPACITY; STUDENTS; MODELS</t>
  </si>
  <si>
    <t>The use of ill-structured case examples as an instructional strategy to teach ethical lessons is well-supported in the literature, however, case examples often lack an emotional or affective component. Given the importance of crafting cases for learners, more research is needed to better understand how to construct and present case examples to enhance learning outcomes, specifically related to the influence of emotive content. This study was conducted to assess the effect of emotive content on knowledge acquisition and ethical sense-making. The study employed a posttest-only control group design. Emotive content was defined as information related to the character's emotional reactions or feelings, background, beliefs, physical appearance, and/or goal focus of the character. Participants were 71 graduate-level Master of Social Work students at a university in the coastal U.S. Results contribute to the growing body of literature regarding the effect of emotion in processing and manipulating complex information. The results suggest that the addition of emotive content to a case example may distract or overwhelm learners. Case examples should be constructed using clear and simple information.</t>
  </si>
  <si>
    <t>[Souders, Tina] Univ N Carolina, Winston Salem, NC USA; [Stefaniak, Jill] Univ Georgia, 221 Rivers Crossing, 850 Coll Stn Rd, Athens, GA 30602 USA; [Baaki, John; Dice, Tammi] Old Dominion Univ, Norfolk, VA USA</t>
  </si>
  <si>
    <t>University of North Carolina; University System of Georgia; University of Georgia; Old Dominion University</t>
  </si>
  <si>
    <t>Stefaniak, J (corresponding author), Univ Georgia, 221 Rivers Crossing, 850 Coll Stn Rd, Athens, GA 30602 USA.</t>
  </si>
  <si>
    <t>jill.stefaniak@uga.edu</t>
  </si>
  <si>
    <t>1042-1726</t>
  </si>
  <si>
    <t>1867-1233</t>
  </si>
  <si>
    <t>J COMPUT HIGH EDUC</t>
  </si>
  <si>
    <t>J. Comput. High. Educ.</t>
  </si>
  <si>
    <t>10.1007/s12528-023-09383-0</t>
  </si>
  <si>
    <t>P1ND3</t>
  </si>
  <si>
    <t>WOS:001048368000001</t>
  </si>
  <si>
    <t>Storkholm, JH; Burgdorf, SK; Larsen, PN; Hansen, CP</t>
  </si>
  <si>
    <t>Storkholm, J. H.; Burgdorf, S. K.; Larsen, P. N.; Hansen, C. P.</t>
  </si>
  <si>
    <t>Pancreaticoduodenectomy with preoperative total embolization of the hepatic arteries (PD-HAE)-a novel treatment with sacrifice of the hepatic arterial blood supply without the need for arterial reconstruction</t>
  </si>
  <si>
    <t>LANGENBECKS ARCHIVES OF SURGERY</t>
  </si>
  <si>
    <t>Pancreas; Cancer; Surgery; Arterial resection</t>
  </si>
  <si>
    <t>INTERNATIONAL STUDY-GROUP; PANCREATIC SURGERY; RESECTION; CANCER; LIVER; CLASSIFICATION; DEFINITION; CARCINOMA; FLOW</t>
  </si>
  <si>
    <t>PurposeTumors with involvement of common hepatic and gastroduodenal arteries (CHA and GDA) or GDA and the proper hepatic artery (PHA) are traditionally considered nonresectable. We have devised a new procedure that includes pancreaticoduodenectomy with preoperative hepatic artery embolization (PD-HAE) to facilitate an R0 resection of tumors involving the hepatic arteries without vascular anastomoses and complete sacrifice of normal hepatic arterial blood supply.MethodsTo allow resection of the hepatic arteries, preoperative embolization of the PHA was performed to induce an increased collateral arterial blood flow from the periphery of the liver, far from the hepatic hilum 10-14 days prior to the operation. Between May 1, 2017 and December 31, 2019, eight patients with ductal adenocarcinoma were operated with the PD-HAE procedure.ResultsThe embolizations were uneventful apart from a transient marginal elevation of alanine aminotransferase in three patients.All patients had N disease with perineural invasion of tumor cells around the adventitia of the artery and severe perivascular inflammation.An R0 resection (&gt; 1.0 mm to all resection margins) was obtained in six patients (75%). Mean hospital stay was 12 days. Median survival was 23 months (95% CI: 19.5-26.5 months).Six patients (75%) are still alive 11 to 36 months after the operation. There was perioperative fatality, and morbidity was comparable to standard pancreaticoduodenectomy.ConclusionPD-HAE is a safe procedure and may provide the opportunity for curative resection in otherwise unresectable patients. However, larger studies are needed to evaluate this procedure.</t>
  </si>
  <si>
    <t>[Storkholm, J. H.; Burgdorf, S. K.; Larsen, P. N.; Hansen, C. P.] Rigshosp, Dept Gastroenterol Surg &amp; Transplantat CTx, Copenhagen, Denmark; [Storkholm, J. H.] Imperial Coll, Hammersmith Hosp, Dept HPB Surg, London, England</t>
  </si>
  <si>
    <t>University of Copenhagen; Rigshospitalet; Imperial College London</t>
  </si>
  <si>
    <t>Storkholm, JH (corresponding author), Rigshosp, Dept Gastroenterol Surg &amp; Transplantat CTx, Copenhagen, Denmark.;Storkholm, JH (corresponding author), Imperial Coll, Hammersmith Hosp, Dept HPB Surg, London, England.</t>
  </si>
  <si>
    <t>storkholm@dadlnet.dk</t>
  </si>
  <si>
    <t>hansen, carsten palnaes/0000-0002-9256-2240</t>
  </si>
  <si>
    <t>NU-Festival foundation</t>
  </si>
  <si>
    <t>This work was supported by the NU-Festival foundation</t>
  </si>
  <si>
    <t>1435-2443</t>
  </si>
  <si>
    <t>1435-2451</t>
  </si>
  <si>
    <t>LANGENBECK ARCH SURG</t>
  </si>
  <si>
    <t>Langenbecks Arch. Surg.</t>
  </si>
  <si>
    <t>10.1007/s00423-023-03054-5</t>
  </si>
  <si>
    <t>P1XJ0</t>
  </si>
  <si>
    <t>WOS:001048637700001</t>
  </si>
  <si>
    <t>Takeshita, T; Nambu, A; Tago, M; Yorita, M; Ikezoe, M; Nishizawa, K; Magome, T; Sasaki, M</t>
  </si>
  <si>
    <t>Takeshita, Toshiki; Nambu, Atsushi; Tago, Masao; Yorita, Masaki; Ikezoe, Mariko; Nishizawa, Kentaro; Magome, Taiki; Sasaki, Masayuki</t>
  </si>
  <si>
    <t>The influence of image reconstruction methods on the diagnosis of pulmonary emphysema with convolutional neural network</t>
  </si>
  <si>
    <t>RADIOLOGICAL PHYSICS AND TECHNOLOGY</t>
  </si>
  <si>
    <t>Convolutional neural network; Iterative reconstruction; Pulmonary emphysema; Deep learning; Artificial intelligence</t>
  </si>
  <si>
    <t>COMPUTED-TOMOGRAPHY; ITERATIVE RECONSTRUCTION; CT</t>
  </si>
  <si>
    <t>This study investigated the influence of iterative reconstruction (IR) methods on computed tomography (CT) images when training convolutional neural network (CNN) models to diagnose pulmonary emphysema. To evaluate the influence of the IR algorithm on CNN, the present study comprised two steps: the comparison of noise reduction by IR algorithms using phantom examinations and the change in performance of CNN with IR algorithms using patient data. We retrospectively analyzed 97 patients. Raw CT data were reconstructed using the filtered back-projection (FBP) and adaptive statistical iterative reconstruction V (ASIR-V) algorithms with blending levels of 30%, 50%, and 70%. The models were trained using reconstructed CT images and were named the FBP, ASIR-V30, ASIR-V50, and ASIR-V70 models. The mean and the standard deviation of the CT values were 11.3 &amp; PLUSMN; 21.2 at FBP, 11.0 &amp; PLUSMN; 17.3 at ASIR-V30, 11.0 &amp; PLUSMN; 14.4 at ASIR-V50, and 11.0 &amp; PLUSMN; 11.8 at ASIR-V70. For all the evaluation metrics, the best values were obtained with the FBP model applied to the ASIR-V70 test images. The worst values were obtained with the ASIR-V70 model applied to the FBP test images. The model trained with FBP images exhibited significantly better performance than the models trained using IR images. The reduction in image noise with the IR algorithm on the test images contributed to improving the accuracy of the classification of emphysema subtypes using CNN.</t>
  </si>
  <si>
    <t>[Takeshita, Toshiki; Tago, Masao; Yorita, Masaki; Ikezoe, Mariko; Nishizawa, Kentaro] Teikyo Univ Hosp, Dept Radiol, Mizonokuchi,5-1-1 Futago,Takatsu Ku, Kawasaki, Kanagawa 2138507, Japan; [Nambu, Atsushi] Kanto Cent Hosp Mutual Aid Assoc Publ Sch Teachers, Dept Radiol, 6-25-1 Kamiyoga,Setagaya Ku, Tokyo 1588531, Japan; [Magome, Taiki] Komazawa Univ, Fac Hlth Sci, Dept Radiol Sci, 1-23-1 Komazawa,Setagaya Ku, Tokyo 1548525, Japan; [Sasaki, Masayuki] Kyushu Univ, Fac Med Sci, Dept Hlth Sci, 3-1-1 Maidashi,Higashi Ku, Fukuoka 8128582, Japan</t>
  </si>
  <si>
    <t>Teikyo University; Kyushu University</t>
  </si>
  <si>
    <t>Takeshita, T (corresponding author), Teikyo Univ Hosp, Dept Radiol, Mizonokuchi,5-1-1 Futago,Takatsu Ku, Kawasaki, Kanagawa 2138507, Japan.</t>
  </si>
  <si>
    <t>t.takeshita.1227@gmail.com</t>
  </si>
  <si>
    <t>TAKESHITA, TOSHIKI/0000-0003-2812-7698</t>
  </si>
  <si>
    <t>1865-0333</t>
  </si>
  <si>
    <t>1865-0341</t>
  </si>
  <si>
    <t>RADIOL PHYS TECHNOL</t>
  </si>
  <si>
    <t>Radiol. Phys. Technol.</t>
  </si>
  <si>
    <t>10.1007/s12194-023-00736-z</t>
  </si>
  <si>
    <t>P5ER9</t>
  </si>
  <si>
    <t>WOS:001050910300001</t>
  </si>
  <si>
    <t>Tang, YX; Xiao, L; Deng, CJ; Zhu, HY; Gao, XM; Li, J; Yang, ZQ; Liu, DY; Feng, L; Hu, S</t>
  </si>
  <si>
    <t>Tang, Yongxiang; Xiao, Ling; Deng, Chijun; Zhu, Haoyue; Gao, Xiaomei; Li, Jian; Yang, Zhiquan; Liu, Dingyang; Feng, Li; Hu, Shuo</t>
  </si>
  <si>
    <t>[F-18]FDG PET metabolic patterns in mesial temporal lobe epilepsy with different pathological types</t>
  </si>
  <si>
    <t>Epilepsy; Temporal lobe; Positron emission tomography; Pathology; Prognosis</t>
  </si>
  <si>
    <t>POSITRON-EMISSION-TOMOGRAPHY; FDG-PET; EXTRATEMPORAL HYPOMETABOLISM; ILAE COMMISSION; F-18-FDG PET; SURGERY; CHILDREN; MRI; CLASSIFICATION; TAU</t>
  </si>
  <si>
    <t>ObjectivesTo investigate [F-18]FDG PET patterns of mesial temporal lobe epilepsy (MTLE) patients with distinct pathologic types and provide possible guidance for predicting long-term prognoses of patients undergoing epilepsy surgery.MethodsThis was a retrospective review of MTLE patients who underwent anterior temporal lobectomy between 2016 and 2021. Patients were classified as having chronic inflammation and gliosis (gliosis, n = 44), hippocampal sclerosis (HS, n = 43), or focal cortical dysplasia plus HS (FCD-HS, n = 13) based on the postoperative pathological diagnosis. Metabolic patterns and the severity of metabolic abnormalities were investigated among MTLE patients and healthy controls (HCs). The standardized uptake value (SUV), SUV ratio (SUVr), and asymmetry index (AI) of regions of interest were applied to evaluate the severity of metabolic abnormalities. Imaging processing was performed with statistical parametric mapping (SPM12).ResultsWith a mean follow-up of 2.8 years, the seizure freedom (Engel class IA) rates of gliosis, HS, and FCD-HS were 54.55%, 62.79%, and 69.23%, respectively. The patients in the gliosis group presented a metabolic pattern with a larger involvement of extratemporal areas, including the ipsilateral insula. SUV, SUVr, and AI in ROIs were decreased for patients in all three MTLE groups compared with those of HCs, but the differences among all three MTLE groups were not significant.ConclusionsMTLE patients with isolated gliosis had the worst prognosis and hypometabolism in the insula, but the degree of metabolic decrease did not differ from the other two groups. Hypometabolic regions should be prioritized for [F-18]FDG PET presurgical evaluation rather than [F-18]FDG uptake values.</t>
  </si>
  <si>
    <t>[Tang, Yongxiang; Xiao, Ling; Li, Jian; Hu, Shuo] Cent South Univ, Xiangya Hosp, Dept Nucl Med, 87 Xiangya Rd, Changsha, Hunan, Peoples R China; [Deng, Chijun] Univ Elect Sci &amp; Technol China, Clin Hosp Chengdu Brain Sci Inst, MOE Key Lab Neuroinformat, High Field Magnet Resonance Brain Imaging Key Lab, Chengdu, Sichuan, Peoples R China; [Zhu, Haoyue; Feng, Li] Cent South Univ, Xiangya Hosp, Dept Neurol, Changsha, Hunan, Peoples R China; [Gao, Xiaomei] Cent South Univ, Xiangya Hosp, Dept Pathol, Changsha, Hunan, Peoples R China; [Yang, Zhiquan; Liu, Dingyang] Cent South Univ, Xiangya Hosp, Dept Neurosurg, Changsha, Hunan, Peoples R China; [Feng, Li] Cent South Univ, Xiangya Hosp, Dept Neurol, Jiangxi Branch, Nanchang, Jiangxi, Peoples R China; [Feng, Li; Hu, Shuo] Cent South Univ, Xiangya Hosp, Natl Clin Res Ctr Geriatr Dis, Changsha, Hunan, Peoples R China; [Hu, Shuo] Cent South Univ, Xiangya Hosp, Key Lab Biol Nanotechnol, Natl Hlth Commiss, Changsha, Hunan, Peoples R China</t>
  </si>
  <si>
    <t>Central South University; University of Electronic Science &amp; Technology of China; Central South University; Central South University; Central South University; Central South University; Central South University</t>
  </si>
  <si>
    <t>Hu, S (corresponding author), Cent South Univ, Xiangya Hosp, Dept Nucl Med, 87 Xiangya Rd, Changsha, Hunan, Peoples R China.;Feng, L (corresponding author), Cent South Univ, Xiangya Hosp, Dept Neurol, Changsha, Hunan, Peoples R China.;Feng, L (corresponding author), Cent South Univ, Xiangya Hosp, Dept Neurol, Jiangxi Branch, Nanchang, Jiangxi, Peoples R China.;Feng, L; Hu, S (corresponding author), Cent South Univ, Xiangya Hosp, Natl Clin Res Ctr Geriatr Dis, Changsha, Hunan, Peoples R China.;Hu, S (corresponding author), Cent South Univ, Xiangya Hosp, Key Lab Biol Nanotechnol, Natl Hlth Commiss, Changsha, Hunan, Peoples R China.</t>
  </si>
  <si>
    <t>fenglihx@163.com; hushuo2018@163.com</t>
  </si>
  <si>
    <t>10.1007/s00330-023-10089-1</t>
  </si>
  <si>
    <t>P2OQ7</t>
  </si>
  <si>
    <t>WOS:001049089300001</t>
  </si>
  <si>
    <t>Tregidgo, D; Piperata, BA; de Lima, JJS; Inglez, M; Valsecchi, J</t>
  </si>
  <si>
    <t>Tregidgo, Daniel; Piperata, Barbara A.; de Lima, Jessica Jaine Silva; Inglez, Mariana; Valsecchi, Joao</t>
  </si>
  <si>
    <t>Variation in Food and Nutritional Stability Among Amazonian Populations Living in a Context of Dramatic Seasonal Flooding</t>
  </si>
  <si>
    <t>HUMAN ECOLOGY</t>
  </si>
  <si>
    <t>Food and nutritional security; Subsistence; Fishing; Hunting; Food instability; Dietary resilience; Seasonal flooding; Mid-Solimoes region of Central Amazonia; Brazil</t>
  </si>
  <si>
    <t>CONSUMPTION; FISH; FLOODPLAIN; COMMUNITIES; FISHERIES; PATTERNS; MAMIRAUA; WILDLIFE; BUSHMEAT; FORESTS</t>
  </si>
  <si>
    <t>Central Amazonian rivers annually inundate farmland and expand aquatic habitats, making fish harder to catch. Little attention has been paid to date as to whether this hydrological regime impacts human dietary intakes, and, if so, whether impacts vary between communities in seasonally flooded (varzea) and non-flooded (terra firme) zones. To address this gap, we collected dietary data on over 8,000 meals in six varzea and three terra firme communities during the hydrological cycle, and calculated energy and macronutrient intake. Diets were dominated by fish (44%), the main source of protein and fat, and manioc flour (26%), the main source of energy and carbohydrates. Fish consumption fell as water levels rose. This resulted in reduced energy and macronutrient intake in the varzea, but not the terra firme, where wild meat and fruits helped maintain protein and fat intake, respectively. Our data demonstrate seasonal instability of dietary intake, with resilience provided by access to permanently unflooded land.</t>
  </si>
  <si>
    <t>[Tregidgo, Daniel; de Lima, Jessica Jaine Silva; Valsecchi, Joao] Inst Desenvolvimento Sustentavel Mamiraua IDSM, Tefe, Amazonas, Brazil; [Tregidgo, Daniel; Valsecchi, Joao] Comunidad Manejo Fauna Silvestre Amazonia &amp; Latino, Iquitos, Peru; [Piperata, Barbara A.] Ohio State Univ, Dept Anthropol, Columbus, OH USA; [de Lima, Jessica Jaine Silva; Valsecchi, Joao] Rede Pesquisa Estudos Diversidade Conservacao &amp; Us, Manaus, Amazonas, Brazil; [Inglez, Mariana] Univ Sao Paulo, Inst Biociencias, Sao Paulo, Brazil</t>
  </si>
  <si>
    <t>University System of Ohio; Ohio State University; Universidade de Sao Paulo</t>
  </si>
  <si>
    <t>Tregidgo, D (corresponding author), Inst Desenvolvimento Sustentavel Mamiraua IDSM, Tefe, Amazonas, Brazil.;Tregidgo, D (corresponding author), Comunidad Manejo Fauna Silvestre Amazonia &amp; Latino, Iquitos, Peru.</t>
  </si>
  <si>
    <t>dantregidgo@gmail.com</t>
  </si>
  <si>
    <t>Brazilian National Council for Scientific and Technological Development (CNPq); Brazilian Ministry of Science, Technology, and Innovation (MCTI)</t>
  </si>
  <si>
    <t>Brazilian National Council for Scientific and Technological Development (CNPq)(Conselho Nacional de Desenvolvimento Cientifico e Tecnologico (CNPQ)); Brazilian Ministry of Science, Technology, and Innovation (MCTI)</t>
  </si>
  <si>
    <t>This study was funded by The Brazilian National Council for Scientific and Technological Development (CNPq) and the Brazilian Ministry of Science, Technology, and Innovation (MCTI).</t>
  </si>
  <si>
    <t>0300-7839</t>
  </si>
  <si>
    <t>1572-9915</t>
  </si>
  <si>
    <t>HUM ECOL</t>
  </si>
  <si>
    <t>Hum. Ecol.</t>
  </si>
  <si>
    <t>10.1007/s10745-023-00433-w</t>
  </si>
  <si>
    <t>Anthropology; Environmental Studies; Sociology</t>
  </si>
  <si>
    <t>Anthropology; Environmental Sciences &amp; Ecology; Sociology</t>
  </si>
  <si>
    <t>P1MU0</t>
  </si>
  <si>
    <t>WOS:001048358700001</t>
  </si>
  <si>
    <t>Tuerxun, G; Abudurexiti, G; Abulizi, G</t>
  </si>
  <si>
    <t>Tuerxun, Gulixian; Abudurexiti, Guligeina; Abulizi, Guzalinuer</t>
  </si>
  <si>
    <t>Prevalence, persistence, clearance and risk factors for HPV infection in rural Uyghur women in China</t>
  </si>
  <si>
    <t>HPV; Prevalence; Persistent infection; Risk factor; Uyghur women</t>
  </si>
  <si>
    <t>HUMAN-PAPILLOMAVIRUS INFECTION; CERVICAL-CANCER</t>
  </si>
  <si>
    <t>BackgroundThe incidence of cervical cancer in Uyghur women ranks first among those in Han and other ethnic minority groups. We aimed to understand the natural history of HPV in Uyghur women.MethodsA longitudinal cohort study on the natural history of HPV infection in rural Uyghur women in China was conducted between May 2013 and May 2014. A total of 11000 women from South Xinjiang underwent HPV screening by careHPV and liquid-based cytology. Ultimately, a total of 298 women with positive HPV and normal biopsy results or CIN1 were enrolled to participate in a study including follow-up HPV testing for two years.ResultsThe HPV infection rate in Uyghur women was 9.15%. Among the participants, the careHPV test showed that 298 women were HPV-positive, and histology showed CIN1 or normal results for these women at baseline. Among these patients, after 24 months of initial recruitment, 92 (30.87%) patients had persistent HPV infections, and 206 (69.13%) had cleared HPV infection. Univariate analysis showed that persistent HPV infection was associated with age and shower frequency (P &lt; 0.001 and P = 0.047, respectively).ConclusionsOur results suggest that women over the age of 50 years who have been infected with HR-HPV for more than 1 year should be regularly screened and monitored for HPV. In addition, education should be strengthened to improve poor health habits in these women.</t>
  </si>
  <si>
    <t>[Tuerxun, Gulixian; Abudurexiti, Guligeina; Abulizi, Guzalinuer] Xinjiang Med Univ, Affiliated Tumor Hosp, Dept Gynecol Surg 5, Urumqi 830000, Peoples R China; [Abulizi, Guzalinuer] Xinjiang Key Lab Oncol, 789 East Suzhou St, Urumqi 830000, Peoples R China</t>
  </si>
  <si>
    <t>Xinjiang Medical University</t>
  </si>
  <si>
    <t>Abulizi, G (corresponding author), Xinjiang Med Univ, Affiliated Tumor Hosp, Dept Gynecol Surg 5, Urumqi 830000, Peoples R China.;Abulizi, G (corresponding author), Xinjiang Key Lab Oncol, 789 East Suzhou St, Urumqi 830000, Peoples R China.</t>
  </si>
  <si>
    <t>gzlnr@qq.com</t>
  </si>
  <si>
    <t>10.1186/s12905-023-02558-y</t>
  </si>
  <si>
    <t>P1LX6</t>
  </si>
  <si>
    <t>WOS:001048336300001</t>
  </si>
  <si>
    <t>Utama, MIB; Dasgupta, A; Ananth, R; Weiss, EA; Marks, TJ; Hersam, MC</t>
  </si>
  <si>
    <t>Utama, M. Iqbal Bakti; Dasgupta, Anushka; Ananth, Riddhi; Weiss, Emily A.; Marks, Tobin J.; Hersam, Mark C.</t>
  </si>
  <si>
    <t>Mixed-dimensional heterostructures for quantum photonic science and technology</t>
  </si>
  <si>
    <t>MRS BULLETIN</t>
  </si>
  <si>
    <t>2D materials; Photonic; Single-photon source; emitter; Quantum information; Quantum communications</t>
  </si>
  <si>
    <t>2-DIMENSIONAL SEMICONDUCTOR; SINGLE-MOLECULE; WSE2 MONOLAYERS; EMITTERS; EMISSION; EXCITONS; ENHANCEMENT; GENERATION; DEFECTS; ARRAYS</t>
  </si>
  <si>
    <t>Quantum information science has the potential to transform computing, communication, and sensing. Among quantum architectures, photonic systems have the advantage of producing mobile qubits for high-speed information transmission. Single photons play a critical role in this context, and significant attention has been dedicated to developing solid-state materials with robust single-photon emission properties. Two-dimensional (2D) materials have emerged as one of the most promising platforms for single-photon emitter states. The van der Waals bonding and all-surface nature of 2D materials further provide opportunities for tuning single-photon emission properties via integration with other n-dimensional materials (n = 0, 1, or 3). Here, we review recent developments in the study of single-photon emitters based on mixed-dimensional heterostructures involving 2D materials. We also provide a forward-looking perspective on the key opportunities and remaining challenges for realizing the full potential of mixed-dimensional heterostructures for quantum photonic science and technology.</t>
  </si>
  <si>
    <t>[Utama, M. Iqbal Bakti; Dasgupta, Anushka; Weiss, Emily A.; Marks, Tobin J.; Hersam, Mark C.] Northwestern Univ, Dept Mat Sci &amp; Engn, Evanston, IL 60208 USA; [Utama, M. Iqbal Bakti; Dasgupta, Anushka; Ananth, Riddhi; Weiss, Emily A.; Marks, Tobin J.; Hersam, Mark C.] Northwestern Univ, Mat Res Ctr, Evanston, IL 60208 USA; [Ananth, Riddhi; Weiss, Emily A.; Marks, Tobin J.; Hersam, Mark C.] Northwestern Univ, Dept Chem, Evanston, IL 60208 USA; [Hersam, Mark C.] Northwestern Univ, Dept Elect &amp; Comp Engn, Evanston, IL 60208 USA</t>
  </si>
  <si>
    <t>Northwestern University; Northwestern University; Northwestern University; Northwestern University</t>
  </si>
  <si>
    <t>Hersam, MC (corresponding author), Northwestern Univ, Dept Mat Sci &amp; Engn, Evanston, IL 60208 USA.;Hersam, MC (corresponding author), Northwestern Univ, Mat Res Ctr, Evanston, IL 60208 USA.;Hersam, MC (corresponding author), Northwestern Univ, Dept Chem, Evanston, IL 60208 USA.;Hersam, MC (corresponding author), Northwestern Univ, Dept Elect &amp; Comp Engn, Evanston, IL 60208 USA.</t>
  </si>
  <si>
    <t>mibutama@northwestern.edu; dasgupta@u.northwestern.edu; rananth@u.northwestern.edu; e-weiss@northwestern.edu; t-marks@northwestern.edu; m-hersam@northwestern.edu</t>
  </si>
  <si>
    <t>Hersam, Mark/0000-0003-4120-1426</t>
  </si>
  <si>
    <t>Center for Molecular Quantum Transduction; Energy Frontier Research Center - US Department of Energy, Office of Science, Office of Basic Energy Sciences [DE-SC0021314]; National Science Foundation Materials Research Science and Engineering Center at Northwestern University [DMR-1720319]; National Science Foundation Graduate Research Fellowship</t>
  </si>
  <si>
    <t>Center for Molecular Quantum Transduction; Energy Frontier Research Center - US Department of Energy, Office of Science, Office of Basic Energy Sciences(United States Department of Energy (DOE)); National Science Foundation Materials Research Science and Engineering Center at Northwestern University; National Science Foundation Graduate Research Fellowship(National Science Foundation (NSF))</t>
  </si>
  <si>
    <t>This work was primarily supported by the Center for Molecular Quantum Transduction, an Energy Frontier Research Center funded by the US Department of Energy, Office of Science, Office of Basic Energy Sciences, under Award No. DE-SC0021314. This work was performed, in part, at the National Science Foundation Materials Research Science and Engineering Center at Northwestern University under Award No. DMR-1720319. A.D. also acknowledges a National Science Foundation Graduate Research Fellowship.</t>
  </si>
  <si>
    <t>0883-7694</t>
  </si>
  <si>
    <t>1938-1425</t>
  </si>
  <si>
    <t>MRS BULL</t>
  </si>
  <si>
    <t>MRS Bull.</t>
  </si>
  <si>
    <t>10.1557/s43577-023-00584-7</t>
  </si>
  <si>
    <t>P2NV5</t>
  </si>
  <si>
    <t>WOS:001049068100001</t>
  </si>
  <si>
    <t>Vollmann, F; Ehnold, P; Schlesinger, T</t>
  </si>
  <si>
    <t>Vollmann, Franziska; Ehnold, Peter; Schlesinger, Torsten</t>
  </si>
  <si>
    <t>Analysis of the educational decisions of (former) athletes of the Armed Forces (Bundeswehr) sports promotion groups</t>
  </si>
  <si>
    <t>GERMAN JOURNAL OF EXERCISE AND SPORT RESEARCH</t>
  </si>
  <si>
    <t>Dual career; Bundeswehr sports support group; Elite sports; Educational decisions; Logistic regression</t>
  </si>
  <si>
    <t>DUAL-CAREER; DIFFERENTIALS; IDENTITY; LOGIT</t>
  </si>
  <si>
    <t>The Bundeswehr sports support groups, known as Sportfordergruppen, form a crucial pillar of support for elite athletes in Germany. This support aims to ensure the compatibility of elite sports and career within the framework of dual career planning. Despite repeated criticism, there are currently no scientific research findings on the dual career paths of sports soldiers. This study explores the extent to which sports soldiers utilize training-related opportunities during their time with the sports promotion groups and the factors influencing their decisions. The analysis of educational decisions is framed by human capital theory, considering top sport-specific aspects and institutional support conditions. In a retrospective longitudinal study (cohort design), time-related event data on the dual careers of 712 (former) sports soldiers were collected. Among them, 414 are currently active in a sports support group, while 298 dropouts of the sports promotion group within the last ten years. The findings indicate that 80.6% of the (former) sports soldiers initiated at least one training program. During their affiliation with the sports promotion groups, 42.6% of them pursued education (of which 86.7% completed at least one university degree). The educational decisions are predominantly influenced by factors related to the educational biography and the support for dual careers provided by sports promotion group. However, an (overly) optimistic assessment of the employability of the symbolic capital (reputation) accumulated in elite sports could not be observed.</t>
  </si>
  <si>
    <t>[Vollmann, Franziska] Ruhr Univ Bochum, Fak Sportwissenschaft, Lehr &amp; Forsch Bereich Sportmanagement, Bochum, Germany; [Ehnold, Peter] IST Hsch Management Dusseldorf, Dusseldorf, Germany; [Schlesinger, Torsten] Tech Univ Chemnitz, Chemnitz, Germany</t>
  </si>
  <si>
    <t>Ruhr University Bochum; Technische Universitat Chemnitz</t>
  </si>
  <si>
    <t>Vollmann, F (corresponding author), Ruhr Univ Bochum, Fak Sportwissenschaft, Lehr &amp; Forsch Bereich Sportmanagement, Bochum, Germany.</t>
  </si>
  <si>
    <t>franziska.vollmann@rub.de</t>
  </si>
  <si>
    <t>2509-3142</t>
  </si>
  <si>
    <t>2509-3150</t>
  </si>
  <si>
    <t>GER J EXERC SPORT RE</t>
  </si>
  <si>
    <t>Ger. J. Exerc. Sport Res.</t>
  </si>
  <si>
    <t>10.1007/s12662-023-00895-6</t>
  </si>
  <si>
    <t>P2NM6</t>
  </si>
  <si>
    <t>WOS:001049059200001</t>
  </si>
  <si>
    <t>Xia, C; Xu, J; Ding, XZ</t>
  </si>
  <si>
    <t>Xia, Chun; Xu, Jia; Ding, Xiuzhen</t>
  </si>
  <si>
    <t>Alienation from medical care policy, medical care avoidance, and the role of sex and risk perception</t>
  </si>
  <si>
    <t>SPA-M; Medical care avoidance; Medical financing risk perception; Sex; Moderated mediation model</t>
  </si>
  <si>
    <t>COMMON METHOD BIAS; SOCIOECONOMIC-STATUS; HEALTH; PREVENTION; BEHAVIOR; DOCTOR; CHINA</t>
  </si>
  <si>
    <t>BackgroundMedical care avoidance affects individuals' health status. Previous studies on medical care avoidance have mainly focused on medical costs and people's satisfaction with medical services. This study investigates whether an individual's sense of policy alienation toward medical care policy (SPA-M) affects behavioral intention of medical care avoidance, and to what extent an intermediary variable-medical financial risk perception-mediates the relationship between SPA-M and medical care avoidance.MethodsA cross-sectional survey was conducted involving 434 people aged 35-59 years from Wuhu, a city in China's Anhui province. A moderated mediation model was constructed to investigate the research question and sex (biological: male and female) was used as a moderating variable between SPA-M and medical financial risk perception.ResultsWe found that SPA-M significantly impacted medical care avoidance, and that medical financial risk perception played a complete mediating role in this relationship, while sex moderated the relationship between SPA-M and medical financial risk perception.ConclusionThis study contributes to the literature by enhancing our understanding of the factors that influence behavioral intention regarding medical care avoidance, deepening our understanding of the role of SPA-M in medical care policy, and expanding the role of sex differences in the analysis of the relationship between SPA-M, medical financial risk perception, and medical care avoidance, offering implications for public and community health.</t>
  </si>
  <si>
    <t>[Xia, Chun] Anhui Normal Univ, Sch Educ Sci, Jiuhua-Nan-Rd 189, Wuhu 241000, Anhui, Peoples R China; [Xu, Jia] Anhui Normal Univ, Sch Marxism, Jiuhua-Nan-Rd 189, Wuhu 241000, Anhui, Peoples R China; [Ding, Xiuzhen] Anhui Normal Univ, Sch Hist, Jiuhua-Nan-Rd 189, Wuhu 241000, Anhui, Peoples R China</t>
  </si>
  <si>
    <t>Anhui Normal University; Anhui Normal University; Anhui Normal University</t>
  </si>
  <si>
    <t>Xu, J (corresponding author), Anhui Normal Univ, Sch Marxism, Jiuhua-Nan-Rd 189, Wuhu 241000, Anhui, Peoples R China.</t>
  </si>
  <si>
    <t>xujia0550@ahnu.edu.cn</t>
  </si>
  <si>
    <t>10.1186/s12888-023-05104-0</t>
  </si>
  <si>
    <t>P2ZC7</t>
  </si>
  <si>
    <t>WOS:001049363100007</t>
  </si>
  <si>
    <t>Yang, F; Liu, X; Li, Y; Yu, ZP; Huang, X; Yang, G; Xu, SX</t>
  </si>
  <si>
    <t>Yang, Fei; Liu, Xing; Li, Yi; Yu, Zhenpeng; Huang, Xin; Yang, Guang; Xu, Shixia</t>
  </si>
  <si>
    <t>Evolutionary analysis of the mTOR pathway provide insights into lifespan extension across mammals</t>
  </si>
  <si>
    <t>Mammals; mTOR; Autophagy; Cancer; Longevity</t>
  </si>
  <si>
    <t>DNA-DAMAGE; AUTOPHAGY; LONGEVITY; SELECTION; GENES; METABOLISM; COMPLEX; HEALTH; TARGET; GROWTH</t>
  </si>
  <si>
    <t>BackgroundLifespan extension has independently evolved several times during mammalian evolution, leading to the emergence of a group of long-lived animals. Though mammalian/mechanistic target of rapamycin (mTOR) signaling pathway is shown as a central regulator of lifespan and aging, the underlying influence of mTOR pathway on the evolution of lifespan in mammals is not well understood.ResultsHere, we performed evolution analyses of 72 genes involved in the mTOR network across 48 mammals to explore the underlying mechanism of lifespan extension. We identified a total of 20 genes with significant evolution signals unique to long-lived species, including 12 positively selected genes, four convergent evolution genes, and five longevity associated genes whose evolution rate related to the maximum lifespan (MLS). Of these genes, four positively selected genes, two convergent evolution genes and one longevity-associated gene were involved in the autophagy response and aging-related diseases, while eight genes were known as cancer genes, indicating the long-lived species might have evolved effective regulation mechanisms of autophagy and cancer to extend lifespan.ConclusionOur study revealed genes with significant evolutionary signals unique to long-lived species, which provided new insight into the lifespan extension of mammals and might bring new strategies to extend human lifespan.</t>
  </si>
  <si>
    <t>[Yang, Fei; Liu, Xing; Li, Yi; Yu, Zhenpeng; Huang, Xin; Yang, Guang; Xu, Shixia] Nanjing Normal Univ, Coll Life Sci, Jiangsu Key Lab Biodiver &amp; Biotechnol, Nanjing 210023, Peoples R China</t>
  </si>
  <si>
    <t>Nanjing Normal University</t>
  </si>
  <si>
    <t>Xu, SX (corresponding author), Nanjing Normal Univ, Coll Life Sci, Jiangsu Key Lab Biodiver &amp; Biotechnol, Nanjing 210023, Peoples R China.</t>
  </si>
  <si>
    <t>xushixia@njnu.edu.cn</t>
  </si>
  <si>
    <t>10.1186/s12864-023-09554-4</t>
  </si>
  <si>
    <t>P1LT9</t>
  </si>
  <si>
    <t>WOS:001048332600003</t>
  </si>
  <si>
    <t>Yu, QS; Lei, ZQ; Ma, WH; Yang, FC; Tang, HL; Xiao, QR; Tang, XW; Si, AF; Yang, PH; Zhou, N; Cheng, ZJ</t>
  </si>
  <si>
    <t>Yu, Qiushi; Lei, Zhengqing; Ma, Weihu; Yang, Facai; Tang, Haolan; Xiao, Qianru; Tang, Xuewu; Si, Anfeng; Yang, Pinghua; Zhou, Nan; Cheng, Zhangjun</t>
  </si>
  <si>
    <t>Postoperative Prognosis of Non-alcoholic Fatty Liver Disease-Associated Intrahepatic Cholangiocarcinoma: a Multi-center Propensity Score Matching Analysis</t>
  </si>
  <si>
    <t>JOURNAL OF GASTROINTESTINAL SURGERY</t>
  </si>
  <si>
    <t>Non-alcoholic fatty liver disease; Hepatitis B virus; Intrahepatic cholangiocarcinoma; Prognosis; Propensity score</t>
  </si>
  <si>
    <t>RISK-FACTORS; INFECTION; DIAGNOSIS; STEATOHEPATITIS; EPIDEMIOLOGY; PATHOGENESIS; MANAGEMENT; RESECTION</t>
  </si>
  <si>
    <t>Background and AimsThe incidence of intrahepatic cholangiocarcinoma (ICC) in non-alcoholic fatty liver disease (NAFLD) is increasing gradually. The prognosis of NAFLD-ICC has not been well studied. We aim to investigate the prognosis of patients with NAFLD-ICC after curative-intent partial hepatectomy (PH).MethodsMulti-center data from January 2003 to January 2014 were retrospectively analyzed. The prognosis of ICC was analyzed using PSM and compared with hepatitis B virus (HBV)-related ICC.ResultsA total of 898 patients with ICC were included in this study. Of them, 199 (22.2%) were NAFLD-ICC, and 699 (77.8%) were HBV-ICC. Multivariate analysis showed that CA19-9 &amp; GE; 37 U/mL, microvascular invasion, tumor size &gt; 5 cm, multiple tumors, and lymph node (LN) metastasis were independent risk factors for early recurrence (ER) in ICC patients. After a 1:1 PSM, NAFLD-ICC has worse 5-year overall survival (OS) (24.0% vs. 48.9%), 5-year recurrence (80.9% vs. 55.0%), and ER (58.5% vs. 30.0%) than that of HBV-ICC (all P &lt; 0.01). Multivariable analysis showed NAFLD was an independent risk factor for OS (hazard ratio [HR] 2.26, 95% CI 1.63-3.13, P &lt; 0.001), tumor recurrence (HR 2.24, 95%CI 1.61-3.10, P &lt; 0.001) and ER (HR 2.23, 95%CI 1.60-3.09, P &lt; 0.001) in patients with ICC after PH. The sensitivity analysis indicated that NAFLD-ICC patients were more likely to experience ER.ConclusionCompared with HBV-ICC, NAFLD-ICC has a worse prognosis and was more likely to relapse early. More frequent surveillance should be considered.</t>
  </si>
  <si>
    <t>[Yu, Qiushi; Lei, Zhengqing; Ma, Weihu; Yang, Facai; Tang, Haolan; Xiao, Qianru; Tang, Xuewu; Cheng, Zhangjun] Southeast Univ, Zhongda Hosp, Hepato Pancreato Biliary Ctr, Sch Med, Nanjing 210009, Peoples R China; [Si, Anfeng] Nanjing Med Univ, Dept Surg Oncol, Qin Huai Med Dist Jinling Hosp, Nanjing 210009, Peoples R China; [Yang, Pinghua] Naval Med Univ, Eastern Hepatobiliary Surg Hosp, Dept Minimally Invas Surg, Shanghai 200438, Peoples R China; [Zhou, Nan] Southeast Univ, Sch Publ Hlth, Dept Epidemiol &amp; Hlth Stat, Key Lab Environm Med &amp; Engn,Minist Educ, Nanjing 210009, Peoples R China</t>
  </si>
  <si>
    <t>Southeast University - China; Nanjing Medical University; Naval Medical University; Southeast University - China</t>
  </si>
  <si>
    <t>Cheng, ZJ (corresponding author), Southeast Univ, Zhongda Hosp, Hepato Pancreato Biliary Ctr, Sch Med, Nanjing 210009, Peoples R China.</t>
  </si>
  <si>
    <t>chengzhangjun@seu.edu.cn</t>
  </si>
  <si>
    <t>yang, li/JGM-1009-2023</t>
  </si>
  <si>
    <t>National Natural Science Foundation of China [81871988, 82002584]; Jiangsu Province Key Research and Development Program [BE2019747]</t>
  </si>
  <si>
    <t>National Natural Science Foundation of China(National Natural Science Foundation of China (NSFC)); Jiangsu Province Key Research and Development Program</t>
  </si>
  <si>
    <t>&amp; nbsp;This study was supported by the National Natural Science Foundation of China [81871988 to C.Z.J. and 82002584 to L.Z.Q], and the Jiangsu Province Key Research and Development Program [BE2019747 to C.Z.J.].</t>
  </si>
  <si>
    <t>1091-255X</t>
  </si>
  <si>
    <t>1873-4626</t>
  </si>
  <si>
    <t>J GASTROINTEST SURG</t>
  </si>
  <si>
    <t>J. Gastrointest. Surg.</t>
  </si>
  <si>
    <t>10.1007/s11605-023-05794-7</t>
  </si>
  <si>
    <t>P1MM5</t>
  </si>
  <si>
    <t>WOS:001048351200001</t>
  </si>
  <si>
    <t>Zhong, XY; Xu, XH; Goh, M; Pan, B</t>
  </si>
  <si>
    <t>Zhong, Xiangyu; Xu, Xuanhua; Goh, Mark; Pan, Bin</t>
  </si>
  <si>
    <t>Large Group Decision-Making Method Based on Social Network Analysis: Integrating Evaluation Information and Trust Relationships</t>
  </si>
  <si>
    <t>Large group decision-making; Social network analysis; Expert clustering; Cluster weights; Consensus reaching process</t>
  </si>
  <si>
    <t>CONSENSUS-BASED MODEL; CLUSTERING METHOD; MINIMUM-COST; THRESHOLD; MECHANISM</t>
  </si>
  <si>
    <t>In the context of large group decision-making (LGDM), the opinions of individuals can influence each other due to their trust relationships. So, trust relationships should be deemed as just as important as evaluation information, and they should be considered jointly throughout the LGDM. This study first transforms the trust relationships between decision-makers into an information type, labeled as compromise information, whose form is the same as the evaluation information. The compromise information is utilized to incorporate trust relationships into various stages of the decision-making process, including clustering, weight determination, consensus reaching, and alternative selection. In the expert clustering and weight determination processes, more criteria and factors are considered by considering the compromise information. In the consensus reaching process, an optimization model is built to adjust the evaluation information of clusters to simultaneously guarantee a substantial increase in the global consensus level and minimize the adjustment cost. The compromise information also serves as a reference to limit the range of the adjusted information. An objective method to determine the consensus threshold is proposed. The proposed method is validated through an application example and comparisons, demonstrating its rationality and effectiveness. Simulation results indicate that the proposed consensus reaching method converges regardless of the number of experts, alternatives, and criteria. The proposed method integrates evaluation information and trust relationships into the LGDM process, thereby improving the rationality and scientificity of the decision results.</t>
  </si>
  <si>
    <t>[Zhong, Xiangyu] Fuzhou Univ, Sch Econ &amp; Management, Fuzhou 350108, Fujian, Peoples R China; [Zhong, Xiangyu; Xu, Xuanhua] Cent South Univ, Sch Business, 448 Lushan South Rd, Changsha 410083, Hunan, Peoples R China; [Goh, Mark] Natl Univ Singapore, NUS Business Sch, Singapore, Singapore; [Goh, Mark] Natl Univ Singapore, Logist Inst Asia Pacific, Singapore, Singapore; [Pan, Bin] Hunan Univ Finance &amp; Econ, Sch Accounting, Changsha 410083, Peoples R China</t>
  </si>
  <si>
    <t>Fuzhou University; Central South University; National University of Singapore; National University of Singapore</t>
  </si>
  <si>
    <t>Xu, XH (corresponding author), Cent South Univ, Sch Business, 448 Lushan South Rd, Changsha 410083, Hunan, Peoples R China.</t>
  </si>
  <si>
    <t>zhongxiangyucsu@163.com; xuxh@csu.edu.cn; mark_goh@nus.edu.sg</t>
  </si>
  <si>
    <t>Major Project for National Natural Science Foundation of China [72073041, CX20200143]; Project for National Natural Science Foundation of China [72293574, 72091515]; Hunan Provincial Innovation Foundation for Postgraduate [71971217]; Independent Exploration of Innovation Project for Postgraduate of Central South University [2020zzts014]</t>
  </si>
  <si>
    <t>Major Project for National Natural Science Foundation of China(National Natural Science Foundation of China (NSFC)); Project for National Natural Science Foundation of China(National Natural Science Foundation of China (NSFC)); Hunan Provincial Innovation Foundation for Postgraduate; Independent Exploration of Innovation Project for Postgraduate of Central South University</t>
  </si>
  <si>
    <t>This study was funded by the Major Project for National Natural Science Foundation of China (72293574, 72091515), the Project for National Natural Science Foundation of China (71971217, 72073041), the Hunan Provincial Innovation Foundation for Postgraduate (CX20200143), and the Independent Exploration of Innovation Project for Postgraduate of Central South University (2020zzts014)</t>
  </si>
  <si>
    <t>10.1007/s12559-023-10184-x</t>
  </si>
  <si>
    <t>P1MY1</t>
  </si>
  <si>
    <t>WOS:001048362800001</t>
  </si>
  <si>
    <t>Alaamri, AM; Alghithi, AM; Salih, S; Omer, HM</t>
  </si>
  <si>
    <t>Alaamri, Atheer M.; Alghithi, Alaa M.; Salih, Safa; Omer, Hamza M.</t>
  </si>
  <si>
    <t>Acceptance and Associated Risk Factors of Human Papillomavirus Vaccine Among Parents of Daughters in Intermediate Schools in Tabuk City, Saudi Arabia</t>
  </si>
  <si>
    <t>saudi arabia; acceptance; knowledge; preventable cancer; vaccine; hpv; human papillomavirus</t>
  </si>
  <si>
    <t>KNOWLEDGE; ATTITUDES; AWARENESS; WOMEN; MEDIA</t>
  </si>
  <si>
    <t>Background: Women in Saudi Arabia have little knowledge of cervical cancer, human papillomavirus (HPV), and its vaccine. This study assessed the acceptance, barriers, and facilitators of HPV vaccination and its associated factors among parents of daughters in intermediate schools during the academic year September 2022-June 2023 in Tabuk City, Saudi Arabia.Purpose: The objective of this study was to evaluate the barriers and facilitators of HPV vaccination and its associated factors among parents of daughters in intermediate schools in Tabuk City, Saudi Arabia.Methods: This was an analytical community-based cross-sectional study that targeted 947 parents of girls older than 15 in intermediate schools in Tabuk City. A structured questionnaire was used to collect data using a web-based survey.Results: The knowledge about HPV and its vaccine in mothers was 1.627 times higher than in fathers, mainly when employed, highly educated, aged &lt;40 years, and earning a higher income. In addition, the Saudis' knowledge of HPV and its vaccine was 1.275 times higher than non-Saudis. The HPV vaccine acceptability among mothers was 1.259 times higher than the fathers, especially when non-employed, aged &lt;40 years, and with higher income. The parent who knows the relationship between HPV and cervical cancer accepts the vaccine 1.794 times higher than those who ignore this relationship. On the other hand, the Saudi's acceptability of the vaccine was 0.671 times lower than non-Saudis.</t>
  </si>
  <si>
    <t>[Alaamri, Atheer M.] King Salman Armed Forces Hosp, Prevent Med, Tabuk, Saudi Arabia; [Alghithi, Alaa M.; Salih, Safa; Omer, Hamza M.] Minist Hlth, Prevent Med, Tabuk, Saudi Arabia</t>
  </si>
  <si>
    <t>Ministry of Health - Saudi Arabia</t>
  </si>
  <si>
    <t>Alaamri, AM (corresponding author), King Salman Armed Forces Hosp, Prevent Med, Tabuk, Saudi Arabia.</t>
  </si>
  <si>
    <t>dr.am_a@yahoo.com</t>
  </si>
  <si>
    <t>AUG 14</t>
  </si>
  <si>
    <t>e43483</t>
  </si>
  <si>
    <t>10.7759/cureus.43483</t>
  </si>
  <si>
    <t>Q6DJ3</t>
  </si>
  <si>
    <t>WOS:001058405100011</t>
  </si>
  <si>
    <t>Alamdari, NM; Sadegh, GHM; Farsi, Y; Besharat, S; Hajimirzaie, SH; Abbasi, M</t>
  </si>
  <si>
    <t>Alamdari, Nasser Malekpour; Sadegh, Gholam Hossein Monavar; Farsi, Yeganeh; Besharat, Sara; Hajimirzaie, Seyed Hossein; Abbasi, Maryam</t>
  </si>
  <si>
    <t>The impact of sleeve gastrectomy on polycystic ovarian syndrome: a single-center 1-year cohort study</t>
  </si>
  <si>
    <t>IRISH JOURNAL OF MEDICAL SCIENCE</t>
  </si>
  <si>
    <t>Bariatric surgery; Insulin resistance; Obesity; Polycystic ovarian disease</t>
  </si>
  <si>
    <t>Background and aimObesity is one of the risk factors for polycystic ovarian syndrome (PCOS), and weight loss is the mainstay of treatment. This study investigates the effects of sleeve gastrectomy on clinical and paraclinical signs and symptoms of PCOS patients referred to a tertiary hospital.MethodsFemale patients with a definite diagnosis of PCOS and body mass index (BMI) &gt; 40 kg/m(2) who were candidates for sleeve gastrectomy were enrolled in this cohort study and followed for 1 year postoperatively. Clinical signs and symptoms of PCOS, sonographic examination, and laboratory hormonal assessments were assessed preoperatively and 1 year following surgery.ResultsFifty patients enrolled in the study. The mean age of patients was 31.69 &amp; PLUSMN; 9.54 years. The mean BMI before and after the surgery was 44.28 &amp; PLUSMN; 3.03 and 29.37 &amp; PLUSMN; 2.41 kg/m(2), respectively. Oligomenorrhea was improved in 66% of patients. According to the sonographic criteria, PCOS was improved in 74% of patients. After a year post-operation, while the mean serum levels of the follicular stimulating hormone (FSH), testosterone, and dehydroepiandrostenedione have improved significantly in all patients (p &lt; 0.001 in all), the significant decrease in serum luteinizing hormone (LH), LH/ FSH ratio, and estrogen was only noted in patients with improved clinical response (p &lt; 0.05, p &lt; 0.001, and p &lt; 0.001 respectively).ConclusionWeight loss and improvements in hyperandrogenism following sleeve gastrectomy result in clinical and paraclinical improvement of PCOS signs and symptoms, including oligomenorrhea and ovulation induction.</t>
  </si>
  <si>
    <t>[Alamdari, Nasser Malekpour; Sadegh, Gholam Hossein Monavar; Farsi, Yeganeh; Hajimirzaie, Seyed Hossein; Abbasi, Maryam] Shahid Beheshti Univ Med Sci, Shahid Modarres Hosp, Crit Care Qual Improvement Res Ctr, Tehran, Iran; [Besharat, Sara] Shahid Beheshti Univ Med Sci, Shahid Labbafinejad Hosp, Dept Radiol, Tehran, Iran</t>
  </si>
  <si>
    <t>Abbasi, M (corresponding author), Shahid Beheshti Univ Med Sci, Shahid Modarres Hosp, Crit Care Qual Improvement Res Ctr, Tehran, Iran.;Besharat, S (corresponding author), Shahid Beheshti Univ Med Sci, Shahid Labbafinejad Hosp, Dept Radiol, Tehran, Iran.</t>
  </si>
  <si>
    <t>Besharat.sara@gmail.com; maryamabbasi1986@gmail.com</t>
  </si>
  <si>
    <t>Farsi, Yeganeh/AAA-9324-2022</t>
  </si>
  <si>
    <t>Farsi, Yeganeh/0000-0002-4636-6572</t>
  </si>
  <si>
    <t>0021-1265</t>
  </si>
  <si>
    <t>1863-4362</t>
  </si>
  <si>
    <t>IRISH J MED SCI</t>
  </si>
  <si>
    <t>Irish J. Med. Sci.</t>
  </si>
  <si>
    <t>2023 AUG 14</t>
  </si>
  <si>
    <t>10.1007/s11845-023-03488-2</t>
  </si>
  <si>
    <t>P3OT7</t>
  </si>
  <si>
    <t>WOS:001049777400001</t>
  </si>
  <si>
    <t>Alkhalifa, A; Chen, SH; Hasiloglu, ZI; Filosto, M; Cali, E; Houlden, H; de Souza, PS; Alavi, A; Goizet, C; Stevanin, G; Taithe, F; Nicita, F; Vasco, G; Tozza, S; Cocozza, S; Carboni, N; Figus, A; Wu, JJ; Basak, AN; Brais, B; Rouleau, G; La Piana, R</t>
  </si>
  <si>
    <t>Alkhalifa, Abdulrahman; Chen, Shihan; Hasiloglu, Zehra Isik; Filosto, Massimiliano; Cali, Elisa; Houlden, Henry; de Souza, Paulo Sgobbi; Alavi, Afagh; Goizet, Cyril; Stevanin, Giovanni; Taithe, Frederic; Nicita, Francesco; Vasco, Gessica; Tozza, Stefano; Cocozza, Sirio; Carboni, Nicola; Figus, Andrea; Wu, Jianjun; Basak, A. Nazli; Brais, Bernard; Rouleau, Guy; La Piana, Roberta</t>
  </si>
  <si>
    <t>White matter abnormalities in 15 subjects with SPG76</t>
  </si>
  <si>
    <t>Hereditary spastic paraplegia; White matter abnormalities; SPG76; CAPN1</t>
  </si>
  <si>
    <t>HEREDITARY SPASTIC PARAPLEGIA; MIMICKING MULTIPLE-SCLEROSIS; CEREBELLAR-ATAXIA; MUTATIONS; CAPN1; DEFECTS; PURE; GBA2</t>
  </si>
  <si>
    <t>Background and objectivesHereditary spastic paraplegias (HSPs) are heterogenous genetic disorders characterized by progressive pyramidal tract involvement. SPG76 is a recently identified form of HSP, caused by biallelic calpain-1 (CAPN1) variants. The most frequently described MRI abnormality in SPG76 is mild cerebellar atrophy and non-specific white matter abnormalities were reported in only one case. Following the identification of prominent white matter abnormalities in a subject with CAPN1 variants, which delayed the diagnosis, we aimed to verify the presence of MRI patterns of white matter involvement specific to this HSP.MethodsWe performed a retrospective radiological qualitative analysis of 15 subjects with SPG76 (4 previously unreported) initially screened for white matter involvement. Moreover, we performed quantitative analyses in our proband with available longitudinal studies.ResultsWe observed bilateral, periventricular white matter involvement in 12 subjects (80%), associated with multifocal subcortical abnormalities in 5 of them (33.3%). Three subjects (20%) presented only multifocal subcortical involvement. Longitudinal quantitative analyses of our proband revealed increase in multifocal white matter lesion count and increased area of periventricular white matter involvement over time.DiscussionSPG76 should be added to the list of HSPs with associated white matter abnormalities. We identified periventricular white matter involvement in subjects with SPG76, variably associated with multifocal subcortical white matter abnormalities. These findings, in the presence of progressive spastic paraparesis, can mislead the diagnostic process towards an acquired white matter disorder.</t>
  </si>
  <si>
    <t>[Alkhalifa, Abdulrahman; Chen, Shihan; Hasiloglu, Zehra Isik; Brais, Bernard; Rouleau, Guy; La Piana, Roberta] McGill Univ, Montreal Neurol Inst, Dept Neurol &amp; Neurosurg, 3801 rue Univ, Montreal, PQ H3A 2B4, Canada; [Alkhalifa, Abdulrahman] Mil Hosp, Bahrain Def Force Royal Med Serv, Riffa, Bahrain; [Filosto, Massimiliano] Univ Brescia, NeMO Brescia Clin Ctr Neuromuscular Dis, Dept Clin &amp; Expt Sci, Brescia, Italy; [Cali, Elisa; Houlden, Henry] UCL, Natl Hosp Neurol &amp; Neurosurg, Dept Neuromuscular Dis, London, England; [de Souza, Paulo Sgobbi] Univ Fed Sao Paulo, Dept Neurol &amp; Neurosurg, Div Neuromuscular Dis, Sao Paulo, Brazil; [Alavi, Afagh] Univ Social Welf &amp; Rehabil Sci, Genet Res Ctr, Tehran, Iran; [Goizet, Cyril] Univ Bordeaux, NRGEN Team, CNRS, INCIA,UMR 5287,EPHE, F-33000 Bordeaux, France; [Goizet, Cyril; Stevanin, Giovanni] Bordeaux Univ Hosp CHU Bordeaux, Ctr Reference Malad Rares Neurogenet, Serv Genet Medicale, Bordeaux, France; [Taithe, Frederic] CHU Clermont Ferrand, Hop Gabriel Montpied, Serv Neurol, Clermont Ferrand, France; [Nicita, Francesco] IRCCS, Bambino Gesu Hosp, Genet &amp; Rare Dis Res Div, Unit Neuromuscular &amp; Neurodegenerat Dis, Rome, Italy; [Vasco, Gessica] IRCCS, Bambino Gesu Childrens Hosp, Dept Neurosci, Unit Neurorehabil, Rome, Italy; [Tozza, Stefano] Univ Naples Federico II, Dept Neurosci &amp; Reprod &amp; Odontostomatol Sci, Naples, Italy; [Cocozza, Sirio] Univ Naples Federico II, Dept Adv Biomed Sci, Naples, Italy; [Carboni, Nicola] San Francesco Hosp, Dept Neurol, Nuoro, Italy; [Figus, Andrea] San Francesco Hosp, Dept Radiol, Nuoro, Italy; [Wu, Jianjun] Fudan Univ, Huashan Hosp, Natl Ctr Neurol Disorders, Natl Res Ctr Aging &amp; Med, Shanghai, Peoples R China; [Wu, Jianjun] Fudan Univ, Huashan Hosp, Dept Neurol, Shanghai, Peoples R China; [Basak, A. Nazli] Koc Univ, Translat Med Res Ctr, NDAL Sch Med, Istanbul, Turkiye; [Brais, Bernard; Rouleau, Guy; La Piana, Roberta] McGill Univ, Montreal Neurol Inst Hosp, Neuro, Montreal, PQ, Canada; [La Piana, Roberta] McGill Univ, Dept Diagnost Radiol, Montreal, PQ, Canada</t>
  </si>
  <si>
    <t>McGill University; University of Brescia; University of London; University College London; UCL Medical School; University College London Hospitals NHS Foundation Trust; Universidade Federal de Sao Paulo (UNIFESP); Centre National de la Recherche Scientifique (CNRS); UDICE-French Research Universities; Universite de Bordeaux; CNRS - National Institute for Biology (INSB); Universite PSL; Ecole Pratique des Hautes Etudes (EPHE); CHU Clermont Ferrand; IRCCS Bambino Gesu; IRCCS Bambino Gesu; University of Naples Federico II; University of Naples Federico II; Fudan University; Fudan University; Koc University; McGill University; McGill University</t>
  </si>
  <si>
    <t>La Piana, R (corresponding author), McGill Univ, Montreal Neurol Inst, Dept Neurol &amp; Neurosurg, 3801 rue Univ, Montreal, PQ H3A 2B4, Canada.;La Piana, R (corresponding author), McGill Univ, Montreal Neurol Inst Hosp, Neuro, Montreal, PQ, Canada.;La Piana, R (corresponding author), McGill Univ, Dept Diagnost Radiol, Montreal, PQ, Canada.</t>
  </si>
  <si>
    <t>roberta.lapiana@mcgill.ca</t>
  </si>
  <si>
    <t>Fonds de Recherche du Quebec en Sante (FRQS); Canadian Radiological Foundation; Spastic Paraplegia Foundation</t>
  </si>
  <si>
    <t>R. La Piana has received a Research Scholar Junior 1 award from the Fonds de Recherche du Quebec en Sante (FRQS), research funds from the Canadian Radiological Foundation and from the Spastic Paraplegia Foundation.</t>
  </si>
  <si>
    <t>10.1007/s00415-023-11918-5</t>
  </si>
  <si>
    <t>P1AS8</t>
  </si>
  <si>
    <t>WOS:001048040500002</t>
  </si>
  <si>
    <t>Aquino-Jarquin, G</t>
  </si>
  <si>
    <t>Aquino-Jarquin, Guillermo</t>
  </si>
  <si>
    <t>tRNA(Thr)-miR-720 mimicry in glioma cells</t>
  </si>
  <si>
    <t>HUMAN CELL</t>
  </si>
  <si>
    <t>tsRNAs; hsa-miR-720; TARSL2; PTGS; Glioma cells</t>
  </si>
  <si>
    <t>[Aquino-Jarquin, Guillermo] Federico Gomez Childrens Hosp Mexico, RNA Biol &amp; Genome Editing Sect, Genom Genet &amp; Bioinformat Res Lab, Dr Marquez 162, Ciudad De Mexico 06720, Mexico</t>
  </si>
  <si>
    <t>Hospital Infantil de Mexico Federico Gomez</t>
  </si>
  <si>
    <t>Aquino-Jarquin, G (corresponding author), Federico Gomez Childrens Hosp Mexico, RNA Biol &amp; Genome Editing Sect, Genom Genet &amp; Bioinformat Res Lab, Dr Marquez 162, Ciudad De Mexico 06720, Mexico.</t>
  </si>
  <si>
    <t>guillaqui@himfg.edu.mx</t>
  </si>
  <si>
    <t>Aquino-Jarquin, Guillermo/0000-0003-4762-6695</t>
  </si>
  <si>
    <t>0914-7470</t>
  </si>
  <si>
    <t>1749-0774</t>
  </si>
  <si>
    <t>HUM CELL</t>
  </si>
  <si>
    <t>Hum. Cell</t>
  </si>
  <si>
    <t>10.1007/s13577-023-00968-6</t>
  </si>
  <si>
    <t>P2AN8</t>
  </si>
  <si>
    <t>WOS:001048720800001</t>
  </si>
  <si>
    <t>Barinov, L; Jairaj, A; Middleton, WD; Beland, MD; Kirsch, J; Filice, RW; Reverter, JL; Arguelles, I; Grant, EG</t>
  </si>
  <si>
    <t>Barinov, Lev; Jairaj, Ajit; Middleton, William D.; Beland, Michael D.; Kirsch, Jonathan; Filice, Ross W.; Reverter, Jordi L.; Arguelles, Inaki; Grant, Edward G.</t>
  </si>
  <si>
    <t>Improving the Efficacy of ACR TI-RADS Through Deep Learning-Based Descriptor Augmentation</t>
  </si>
  <si>
    <t>JOURNAL OF DIGITAL IMAGING</t>
  </si>
  <si>
    <t>Clinical decision support; Artificial intelligence; Thyroid ultrasound; TI-RADS; Diagnostic workflows</t>
  </si>
  <si>
    <t>THYROID-CANCER INCIDENCE; RISK STRATIFICATION; DIAGNOSTIC-ACCURACY; UNITED-STATES; NODULES; SYSTEM; TRENDS; IMPACT</t>
  </si>
  <si>
    <t>Thyroid nodules occur in up to 68% of people, 95% of which are benign. Of the 5% of malignant nodules, many would not result in symptoms or death, yet 600,000 FNAs are still performed annually, with a PPV of 5-7% (up to 30%). Artificial intelligence (AI) systems have the capacity to improve diagnostic accuracy and workflow efficiency when integrated into clinical decision pathways. Previous studies have evaluated AI systems against physicians, whereas we aim to compare the benefits of incorporating AI into their final diagnostic decision. This work analyzed the potential for artificial intelligence (AI)-based decision support systems to improve physician accuracy, variability, and efficiency. The decision support system (DSS) assessed was Koios DS, which provides automated sonographic nodule descriptor predictions and a direct cancer risk assessment aligned to ACR TI-RADS. The study was conducted retrospectively between (08/2020) and (10/2020). The set of cases used included 650 patients (21% male, 79% female) of age 53 &amp; PLUSMN; 15. Fifteen physicians assessed each of the cases in the set, both unassisted and aided by the DSS. The order of the reading condition was randomized, and reading blocks were separated by a period of 4 weeks. The system's impact on reader accuracy was measured by comparing the area under the ROC curve (AUC), sensitivity, and specificity of readers with and without the DSS with FNA as ground truth. The impact on reader variability was evaluated using Pearson's correlation coefficient. The impact on efficiency was determined by comparing the average time per read. There was a statistically significant increase in average AUC of 0.083 [0.066, 0.099] and an increase in sensitivity and specificity of 8.4% [5.4%, 11.3%] and 14% [12.5%, 15.5%], respectively, when aided by Koios DS. The average time per case decreased by 23.6% (p = 0.00017), and the observed Pearson's correlation coefficient increased from r = 0.622 to r = 0.876 when aided by Koios DS. These results indicate that providing physicians with automated clinical decision support significantly improved diagnostic accuracy, as measured by AUC, sensitivity, and specificity, and reduced inter-reader variability and interpretation times.</t>
  </si>
  <si>
    <t>[Barinov, Lev] Univ Penn, Dept Radiol, Philadelphia, PA 19104 USA; [Barinov, Lev] Mem Sloan Kettering Canc Ctr, 1275 York Ave, New York, NY 10065 USA; [Jairaj, Ajit] Koios Med, New York, NY USA; [Middleton, William D.] Mallinckrodt Inst Radiol, St Louis, MO USA; [Beland, Michael D.] Warren Alpert Med Sch, Providence, RI USA; [Kirsch, Jonathan] Yale Sch Med, New Haven, CT USA; [Filice, Ross W.] MedStar Georgetown Univ Hosp, Washington, DC USA; [Reverter, Jordi L.] Germans Trias I Pujol Univ Hosp, Barcelona, Spain; [Arguelles, Inaki] Hosp Sons Espases, Mallorca, Spain; [Grant, Edward G.] USC, Keck Sch Med, Los Angeles, CA USA</t>
  </si>
  <si>
    <t>University of Pennsylvania; Memorial Sloan Kettering Cancer Center; Washington University (WUSTL); Brown University; Yale University; Georgetown University; University of Southern California; University of Southern California Keck Hospital</t>
  </si>
  <si>
    <t>Barinov, L (corresponding author), Univ Penn, Dept Radiol, Philadelphia, PA 19104 USA.;Barinov, L (corresponding author), Mem Sloan Kettering Canc Ctr, 1275 York Ave, New York, NY 10065 USA.</t>
  </si>
  <si>
    <t>Lev.Barinov@pennmedicine.upenn.edu</t>
  </si>
  <si>
    <t>Koios Medical</t>
  </si>
  <si>
    <t>This study was supported by Koios Medical.</t>
  </si>
  <si>
    <t>0897-1889</t>
  </si>
  <si>
    <t>1618-727X</t>
  </si>
  <si>
    <t>J DIGIT IMAGING</t>
  </si>
  <si>
    <t>J. Digit. Imaging</t>
  </si>
  <si>
    <t>10.1007/s10278-023-00884-z</t>
  </si>
  <si>
    <t>P1BP1</t>
  </si>
  <si>
    <t>WOS:001048062900001</t>
  </si>
  <si>
    <t>Berntsen, AN; Papamichos, E; Xie, XY; Li, G; Yao, ZH</t>
  </si>
  <si>
    <t>Berntsen, Andreas Nicolas; Papamichos, Euripides; Xie, Xiyang; Li, Gang; Yao, Ziheng</t>
  </si>
  <si>
    <t>Productivity Decline Mechanisms in Gravel Packed Perforations</t>
  </si>
  <si>
    <t>Gravel pack; Proppant; Productivity; Skin; Perforation</t>
  </si>
  <si>
    <t>In a cased hole gravel pack completion, perforations are packed with proppant to both mechanically support the perforation cavity, and to filter any produced sand before it reaches the surface. Poor perforation packing sometimes occurs in which the perforation is partially or completely unsupported, leading to earlier productivity reduction than in cases of good packing. We investigated productivity reduction and the associated mechanisms in a series of hollow cylinder experiments on outcrop and field cores with varying proppant packing. Packed perforations maintained significantly higher productivity than unsupported perforations by preventing macroscopic shear failure around the cavity and erosion due to sand production. Partial packing may in some instances maintain productivity almost as well as complete packing, but this likely depends on perforation orientation. Compaction tests and numerical simulations suggest that compaction failure is unlikely at the cavity wall in the current experiments, and that proppant-formation interface damage or proppant filtering of produced sand are more probable explanations for the productivity reduction seen in packed perforations.</t>
  </si>
  <si>
    <t>[Berntsen, Andreas Nicolas; Papamichos, Euripides; Xie, Xiyang] SINTEF Ind, Trondheim, Norway; [Li, Gang] Occidental Petr Corp, Houston, TX USA; [Yao, Ziheng] Hess Corp, New York, NY USA</t>
  </si>
  <si>
    <t>SINTEF; Hess Corporation</t>
  </si>
  <si>
    <t>Berntsen, AN (corresponding author), SINTEF Ind, Trondheim, Norway.</t>
  </si>
  <si>
    <t>andreas.berntsen@sintef.no</t>
  </si>
  <si>
    <t>Xie, Xiyang/0000-0001-8205-9126</t>
  </si>
  <si>
    <t>SINTEF; project Increasing profitability of sand producing fields - PETROMAKS 2 program of the Research Council of Norway [268159]; Aker BP; Occidental; Wintershall DEA; Hess; ExxonMobil</t>
  </si>
  <si>
    <t>SINTEF(SINTEF); project Increasing profitability of sand producing fields - PETROMAKS 2 program of the Research Council of Norway; Aker BP; Occidental; Wintershall DEA; Hess; ExxonMobil(Exxon Mobil Corporation)</t>
  </si>
  <si>
    <t>Open access funding provided by SINTEF. This work has been supported by the research project Increasing profitability of sand producing fields funded by the PETROMAKS 2 program of the Research Council of Norway (Project Number 268159) and Aker BP, Occidental, Wintershall DEA, Hess, and ExxonMobil.</t>
  </si>
  <si>
    <t>10.1007/s00603-023-03456-3</t>
  </si>
  <si>
    <t>S7IY5</t>
  </si>
  <si>
    <t>WOS:001048070300001</t>
  </si>
  <si>
    <t>Borowik, I; Grygiel, P; Zwierzdzynski, M</t>
  </si>
  <si>
    <t>Borowik, Irena; Grygiel, Pawel; Zwierzdzynski, Marcin</t>
  </si>
  <si>
    <t>The Religiosity of Polish Roman Catholics and the Meanings They Attribute to Homosexuality: Evidence from Network Analysis</t>
  </si>
  <si>
    <t>Homosexuality; Meanings of homosexuality; Religiosity; Network analysis; Religion; Catholics; Roman Catholic Church; Poland</t>
  </si>
  <si>
    <t>SAME-SEX MARRIAGE; EMOTIONAL COMPLEXITY; BELIEF SYSTEMS; PUBLIC-POLICY; GAY MEN; ATTITUDES; POLAND; RESPONSIVENESS; LEGISLATION; HOMOPHOBIA</t>
  </si>
  <si>
    <t>IntroductionPrevious research suggests that negative views on homosexuality are fostered by higher levels of religiosity. Little is known, however, about what meanings religious people attribute to homosexuality, how these meanings connect with each other, what kind of network they form, and which of them are central.MethodsThe research was conducted in 2020, based on a representative sample of Polish Catholics (N = 874). Religiosity was determined using latent class analysis. Based on an investigation of press discourse in Poland, six meanings of homosexuality were identified as positive (orientation, love, fulfillment) and negative (sin, deviation, disease). Network analysis was used to determine the relationship between religiosity and the meanings attributed to homosexuality.ResultsThe analyses showed that greater compliance of religious orientations with the Roman Catholic Church's expectations translates into increased acceptance of negative meanings of homosexuality (primarily sin). Weaker (negative) correlations were noted between religiosity and positive meanings, which we interpret as resulting from the absence of the negation of positive meanings in Roman Catholic teaching.ConclusionsThe relationships between religiosity and positive and negative meanings of homosexuality were found to be asymmetrical, unbalanced, and designated by negativity bias. The weakening meaning of sin may play an important role in changing religious people's attitude toward homosexuality.Policy ImplicationsThe absolution of homosexuality would reduce the likelihood of negative meanings such as deviance or disease. This could lead to a reduction in exclusionary perceptions of homosexuality.</t>
  </si>
  <si>
    <t>[Borowik, Irena] Jagiellonian Univ, Inst Sociol, Krakow, Poland; [Grygiel, Pawel] Jagiellonian Univ, Inst Educ, Krakow, Poland; [Zwierzdzynski, Marcin] AGH Univ Sci &amp; Technol, Fac Humanities, Krakow, Poland</t>
  </si>
  <si>
    <t>Jagiellonian University; Jagiellonian University; AGH University of Krakow</t>
  </si>
  <si>
    <t>Borowik, I (corresponding author), Jagiellonian Univ, Inst Sociol, Krakow, Poland.</t>
  </si>
  <si>
    <t>irena.borowik@uj.edu.pl; pawel.grygiel@uj.edu.pl; marcinz@agh.edu.pl</t>
  </si>
  <si>
    <t>Grygiel, Pawel/AAV-8389-2021</t>
  </si>
  <si>
    <t>Grygiel, Pawel/0000-0001-9790-3772</t>
  </si>
  <si>
    <t>Polish National Science Center (Narodowe Centrum Nauki) [2014/13/B/HS6/03311]</t>
  </si>
  <si>
    <t>Polish National Science Center (Narodowe Centrum Nauki)</t>
  </si>
  <si>
    <t>Funding for this research was provided by the Polish National Science Center (Narodowe Centrum Nauki); project number 2014/13/B/HS6/03311.Narodowe Centrum Nauki, 2014/13/B/HS6/03311,Irena Borowik.</t>
  </si>
  <si>
    <t>10.1007/s13178-023-00856-6</t>
  </si>
  <si>
    <t>P1BC1</t>
  </si>
  <si>
    <t>WOS:001048049900001</t>
  </si>
  <si>
    <t>Choksi, S; Szot, S; Zang, CB; Yarali, K; Cao, YQ; Ahmad, F; Xiang, ZX; Bitner, DP; Kostic, Z; Filicori, F</t>
  </si>
  <si>
    <t>Choksi, Sarah; Szot, Skyler; Zang, Chengbo; Yarali, Kaan; Cao, Yuqing; Ahmad, Feroz; Xiang, Zixuan; Bitner, Daniel P.; Kostic, Zoran; Filicori, Filippo</t>
  </si>
  <si>
    <t>Bringing Artificial Intelligence to the operating room: edge computing for real-time surgical phase recognition</t>
  </si>
  <si>
    <t>Computer vision; Inguinal hernia repair; Machine learning; Artificial intelligence in surgery; Real time computer vision</t>
  </si>
  <si>
    <t>INGUINAL-HERNIA; SURGERY; VISION</t>
  </si>
  <si>
    <t>Background Automation of surgical phase recognition is a key effort toward the development of Computer Vision (CV) algorithms, for workflow optimization and video-based assessment. CV is a form of Artificial Intelligence (AI) that allows interpretation of images through a deep learning (DL)-based algorithm. The improvements in Graphic Processing Unit (GPU) computing devices allow researchers to apply these algorithms for recognition of content in videos in real-time. Edge computing, where data is collected, analyzed, and acted upon in close proximity to the collection source, is essential meet the demands of workflow optimization by providing real-time algorithm application. We implemented a real-time phase recognition workflow and demonstrated its performance on 10 Robotic Inguinal Hernia Repairs (RIHR) to obtain phase predictions during the procedure.Methods Our phase recognition algorithm was developed with 211 videos of RIHR originally annotated into 14 surgical phases. Using these videos, a DL model with a ResNet-50 backbone was trained and validated to automatically recognize surgical phases. The model was deployed to a GPU, the Nvidia (R) Jetson Xavier (TM) NX edge computing device.Results This model was tested on 10 inguinal hernia repairs from four surgeons in real-time. The model was improved using post-recording processing methods such as phase merging into seven final phases (peritoneal scoring, mesh placement, preperitoneal dissection, reduction of hernia, out of body, peritoneal closure, and transitionary idle) and averaging of frames. Predictions were made once per second with a processing latency of approximately 250 ms. The accuracy of the real-time predictions ranged from 59.8 to 78.2% with an average accuracy of 68.7%.Conclusion A real-time phase prediction of RIHR using a CV deep learning model was successfully implemented. This real-time CV phase segmentation system can be useful for monitoring surgical progress and be integrated into software to provide hospital workflow optimization. [GRAPHICS]</t>
  </si>
  <si>
    <t>[Choksi, Sarah; Bitner, Daniel P.; Filicori, Filippo] Northwell Hlth, Lenox Hill Hosp, Dept Surg, Intraoperat Performance Analyt Lab IPAL, 186 E 76th St,1st Fl, New York, NY 10021 USA; [Szot, Skyler; Zang, Chengbo; Yarali, Kaan; Cao, Yuqing; Ahmad, Feroz; Xiang, Zixuan; Kostic, Zoran] Columbia Univ, Dept Elect Engn, 500 W 120 St,Mudd 1310, New York, NY 10027 USA; [Filicori, Filippo] Northwell Hlth, Zucker Sch Med Hofstra, 5000 Hofstra Blvd, Hempstead, NY 11549 USA</t>
  </si>
  <si>
    <t>Northwell Health; Columbia University; Northwell Health</t>
  </si>
  <si>
    <t>Choksi, S (corresponding author), Northwell Hlth, Lenox Hill Hosp, Dept Surg, Intraoperat Performance Analyt Lab IPAL, 186 E 76th St,1st Fl, New York, NY 10021 USA.</t>
  </si>
  <si>
    <t>Schoksi1@northwell.edu</t>
  </si>
  <si>
    <t>Choksi, Sarah/0009-0004-2549-7647</t>
  </si>
  <si>
    <t>10.1007/s00464-023-10322-4</t>
  </si>
  <si>
    <t>P1ZH8</t>
  </si>
  <si>
    <t>WOS:001048688800007</t>
  </si>
  <si>
    <t>Fang, HW; Liang, AJ; Schroeter, NBM; Cui, ST; Liu, ZK; Chen, YL</t>
  </si>
  <si>
    <t>Fang, Hong-Wei; Liang, Ai-Ji; Schroeter, Niels B. M.; Cui, Sheng-Tao; Liu, Zhong-Kai; Chen, Yu-Lin</t>
  </si>
  <si>
    <t>Correction to: Measurement of the electronic structure of a type-II topological Dirac semimetal candidate VAl3 using angle-resolved photoelectron spectroscopy (vol 5, 332-338, 2023)</t>
  </si>
  <si>
    <t>[Fang, Hong-Wei; Liang, Ai-Ji; Liu, Zhong-Kai; Chen, Yu-Lin] ShanghaiTech Univ, Sch Phys Sci &amp; Technol, Shanghai 201210, Peoples R China; [Fang, Hong-Wei] Univ Chinese Acad Sci, Beijing 100049, Peoples R China; [Liang, Ai-Ji; Liu, Zhong-Kai; Chen, Yu-Lin] ShanghaiTech Univ, ShanghaiTech Lab Topol Phys, Shanghai 201210, Peoples R China; [Schroeter, Niels B. M.] Max Planck Inst Microstruct Phys, D-06120 Halle, Germany; [Cui, Sheng-Tao] Univ Sci &amp; Technol China, Natl Synchrotron Radiat Lab, Hefei 230029, Peoples R China; [Chen, Yu-Lin] Univ Oxford, Dept Phys, Oxford OX1 3PU, Oxfordshire, England</t>
  </si>
  <si>
    <t>ShanghaiTech University; Chinese Academy of Sciences; University of Chinese Academy of Sciences, CAS; ShanghaiTech University; Max Planck Society; Chinese Academy of Sciences; University of Science &amp; Technology of China, CAS; University of Oxford</t>
  </si>
  <si>
    <t>Liu, ZK; Chen, YL (corresponding author), ShanghaiTech Univ, Sch Phys Sci &amp; Technol, Shanghai 201210, Peoples R China.;Liu, ZK; Chen, YL (corresponding author), ShanghaiTech Univ, ShanghaiTech Lab Topol Phys, Shanghai 201210, Peoples R China.;Cui, ST (corresponding author), Univ Sci &amp; Technol China, Natl Synchrotron Radiat Lab, Hefei 230029, Peoples R China.;Chen, YL (corresponding author), Univ Oxford, Dept Phys, Oxford OX1 3PU, Oxfordshire, England.</t>
  </si>
  <si>
    <t>shengtaocui@ustc.edu.cn; liuzhk@shanghaitech.edu.cn; yulin.chen@physics.ox.ac.uk</t>
  </si>
  <si>
    <t>10.1007/s42864-023-00238-w</t>
  </si>
  <si>
    <t>S4MN6</t>
  </si>
  <si>
    <t>WOS:001050290100001</t>
  </si>
  <si>
    <t>Gounder, P; Oliphant, H; Juniat, V; Koenig, M; Selva, D; Rajak, SN</t>
  </si>
  <si>
    <t>Gounder, Pav; Oliphant, Huw; Juniat, Valerie; Koenig, Michael; Selva, Dinesh; Rajak, Saul N.</t>
  </si>
  <si>
    <t>Histopathological features of asymmetric lacrimal gland enlargement in patients with thyroid eye disease</t>
  </si>
  <si>
    <t>THYROID RESEARCH</t>
  </si>
  <si>
    <t>Lacrimal gland enlargement; Thyroid eye disease; Histopathology; Thyroid ophthalmopathy; Graves' disease</t>
  </si>
  <si>
    <t>COMPUTED-TOMOGRAPHY</t>
  </si>
  <si>
    <t>PurposeLacrimal gland enlargement can be a feature of thyroid eye disease (TED). Unilateral or asymmetric lacrimal gland enlargement is poorly described and may impede diagnosis. We present the histological and clinical findings of four patients with asymmetric lacrimal gland enlargement.MethodsA retrospective case note review was performed for patients over two tertiary orbital clinics (Royal Adelaide Hospital, South Australia and the Sussex Eye Hospital, Brighton, United Kingdom) presenting with an asymmetrical lacrimal gland enlargement with a background of TED that underwent biopsy to exclude alternate diagnoses. Baseline data was collected for each patient and histopathological images and reports were reviewed.ResultsAll four patients were hyperthyroid at time of lacrimal gland biopsy. Biopsy demonstrated nonspecific, lymphoid aggregates, typically of B cell type, with no diagnostic findings to support lymphocyte clonality or IgG4-related disease. One biopsy specimen demonstrated evidence of some fibrosis.ConclusionAsymmetrical lacrimal gland enlargement can occur as part of the TED spectrum but may require biopsy to exclude alternate pathology. Histology demonstrates a non-specific lymphocytic infiltrate.</t>
  </si>
  <si>
    <t>[Gounder, Pav; Oliphant, Huw; Juniat, Valerie; Rajak, Saul N.] Brighton &amp; Sussex Univ Hosp NHS Trust, Sussex Eye Hosp, Eastern Rd, Brighton BN2 5BF, England; [Gounder, Pav] Univ Western Australia, Ctr Ophthalmol &amp; Visual Sci, Perth, WA, Australia; [Oliphant, Huw; Rajak, Saul N.] Brighton &amp; Sussex Med Sch, Brighton BN1 9PX, England; [Juniat, Valerie; Selva, Dinesh] Royal Adelaide Hosp, South Australian Inst Ophthalmol, Adelaide, SA, Australia; [Koenig, Michael] Univ Hosp Sussex NHS Fdn Trust, Dept Cellular Pathol, Brighton, England</t>
  </si>
  <si>
    <t>University of Brighton; Brighton and Sussex University Hospitals NHS Trust; University of Western Australia; University of Brighton; University of Sussex; Royal Adelaide Hospital</t>
  </si>
  <si>
    <t>Gounder, P (corresponding author), Brighton &amp; Sussex Univ Hosp NHS Trust, Sussex Eye Hosp, Eastern Rd, Brighton BN2 5BF, England.;Gounder, P (corresponding author), Univ Western Australia, Ctr Ophthalmol &amp; Visual Sci, Perth, WA, Australia.</t>
  </si>
  <si>
    <t>pav.gounder@gmail.com</t>
  </si>
  <si>
    <t>1756-6614</t>
  </si>
  <si>
    <t>THYROID RES</t>
  </si>
  <si>
    <t>Thyroid Res.</t>
  </si>
  <si>
    <t>10.1186/s13044-023-00174-4</t>
  </si>
  <si>
    <t>P1ZU2</t>
  </si>
  <si>
    <t>WOS:001048701200001</t>
  </si>
  <si>
    <t>Guo, PY; Ma, ZB; Zhang, L</t>
  </si>
  <si>
    <t>Guo, Pingye; Ma, Zhibo; Zhang, Lei</t>
  </si>
  <si>
    <t>An Innovative Method of Gob-Side Entry Retaining to Control the Non-collapse Behaviors of Hard Roofs: a Case Study</t>
  </si>
  <si>
    <t>MINING METALLURGY &amp; EXPLORATION</t>
  </si>
  <si>
    <t>Hard roof; Field investigation; Numerical simulation; GER</t>
  </si>
  <si>
    <t>COAL PILLAR; ROCK BURST; STABILITY; DEFORMATION; FAILURE; MECHANISM; DESIGN; GOAF</t>
  </si>
  <si>
    <t>The mechanical behavior of hard roofs often leads to significant deformation and strong mine seismicity in gob-side entry retaining (GER) of the longwall mining, affecting the mining safety and efficiency of coal mines. Field investigations indicate that the failure process of the retained entry by hard roofs can be divided into three stages. In this paper, theoretical analysis and numerical simulations are first used to evaluate the damage process of the retained entry under the hard roof. The results show that the instability of the retained entry in the conventional GER method results from the combined static-dynamic loads (in stage II and stage III) from the hard roof. Then, an innovative method, through fracturing roofs to maintain entry (FRME), based on GER with the hard roof is introduced to solve this problem. In this method, the roof of the mining area is pre-fractured, and when the coal seam is mined, the direct hard roof will collapse along the fractured surface due to its deadweight and mining pressure. The hard roof control effect on the static and dynamic loads, taking into account the innovative method, is verified with simulations and theoretical analyses. The results are compared with those of the conventional GER method. Furthermore, based on the numerical simulation study of dynamic responses, it is found that compared to the GER method, the dynamic response of the retained entry using the innovative method is more moderate and more conducive to the stability of the entry. Field application also validated the effectiveness of the innovative method to control the mechanical behavior of the massive sudden collapse of the hard roof.</t>
  </si>
  <si>
    <t>[Guo, Pingye; Ma, Zhibo] China Univ Min &amp; Technol, State Key Lab Geomech &amp; Deep Underground Engn, Beijing 100083, Peoples R China; [Guo, Pingye; Ma, Zhibo] China Univ Min &amp; Technol, Sch Mech &amp; Civil Engn, Beijing 100083, Peoples R China; [Zhang, Lei] Huaneng Coal Technol Res Co Ltd, Beijing 100070, Peoples R China</t>
  </si>
  <si>
    <t>China University of Mining &amp; Technology; China University of Mining &amp; Technology</t>
  </si>
  <si>
    <t>Guo, PY (corresponding author), China Univ Min &amp; Technol, State Key Lab Geomech &amp; Deep Underground Engn, Beijing 100083, Peoples R China.;Guo, PY (corresponding author), China Univ Min &amp; Technol, Sch Mech &amp; Civil Engn, Beijing 100083, Peoples R China.</t>
  </si>
  <si>
    <t>cumt18811497264@126.com</t>
  </si>
  <si>
    <t>Central Universities [2021YJSLI13, 2021JCCXLJ05]; Beijing Natural Science Foundation [8212033]</t>
  </si>
  <si>
    <t>Central Universities; Beijing Natural Science Foundation(Beijing Natural Science Foundation)</t>
  </si>
  <si>
    <t>This study was supported by the Fundamental Research Funds for the Central Universities (2021YJSLI13;2021JCCXLJ05) and supported by Beijing Natural Science Foundation (8212033).</t>
  </si>
  <si>
    <t>2524-3462</t>
  </si>
  <si>
    <t>2524-3470</t>
  </si>
  <si>
    <t>MINING METALL EXPLOR</t>
  </si>
  <si>
    <t>Mining Metall. Explor.</t>
  </si>
  <si>
    <t>10.1007/s42461-023-00829-8</t>
  </si>
  <si>
    <t>Metallurgy &amp; Metallurgical Engineering; Mining &amp; Mineral Processing</t>
  </si>
  <si>
    <t>P1DB9</t>
  </si>
  <si>
    <t>WOS:001048101800001</t>
  </si>
  <si>
    <t>Isik, G; Kaya, I</t>
  </si>
  <si>
    <t>Isik, Guerkan; Kaya, Ihsan</t>
  </si>
  <si>
    <t>Design of acceptance sampling plans based on interval valued neutrosophic sets</t>
  </si>
  <si>
    <t>Acceptance sampling plans; Binomial distribution; Fuzzy sets; Interval neutrosophic sets; Neutrosophic sets; Poisson distribution</t>
  </si>
  <si>
    <t>Acceptance sampling plans (ASPs) are conducted by inspecting a small set of items instead of all outputs. Although traditional ASPs use certain plan parameters, it is clear that quality characteristics or definitions may not be certain in some real case applications because of uncertainties. The fuzzy set theory (FST) is a popular technique to model uncertainty in the engineering problems. It is known that ASPs have been successfully formulated based on FST in the literature. However, the uncertainty is generally more complex in cases including human evaluations. Neutrosophic sets (NSs) that is one of the fuzzy set extensions bring some advantages to manage more complicated uncertainties in quality problems especially uncertainty based on human's hesitancy. Since the NSs include three terms as truthiness (t), indeterminacy (i), and falsity (f), they can successfully model the human thinking and inspectors' evaluations under uncertainty. In this paper, traditional attribute ASPs have been extended based on interval NSs to combine the computational and interpretational advantages of the interval statistics with the advantages of NSs. Additionally, two well-known distributions for ASPs called Binomial and Poisson distributions are redesigned by using NSs. For this aim, NSs are converted to interval NSs by using a-cut technique and some characteristic functions of ASPs such as acceptance probability (P-a), average sample number (ASN), and average total inspection (ATI) have been designed for single and double ASPs based on interval NSs. The proposed ASPs based on NSs have been tested on some numerical applications from a manufacturing process, and results obtained based on real cases have been compared.</t>
  </si>
  <si>
    <t>[Isik, Guerkan] Bursa Tech Univ, Dept Ind Engn, TR-16310 Bursa, Turkey; [Kaya, Ihsan] Yildiz Tech Univ, Dept Ind Engn, TR-34349 Istanbul, Turkiye</t>
  </si>
  <si>
    <t>Bursa Technical University; Yildiz Technical University</t>
  </si>
  <si>
    <t>Kaya, I (corresponding author), Yildiz Tech Univ, Dept Ind Engn, TR-34349 Istanbul, Turkiye.</t>
  </si>
  <si>
    <t>ihkaya@yildiz.edu.tr</t>
  </si>
  <si>
    <t>IŞIK, Gürkan/HJP-5982-2023; kaya, ihsan/AAG-5642-2019</t>
  </si>
  <si>
    <t>IŞIK, Gürkan/0000-0002-5297-3109; kaya, ihsan/0000-0002-0142-4257</t>
  </si>
  <si>
    <t>10.1007/s00500-023-09027-6</t>
  </si>
  <si>
    <t>Q4LC5</t>
  </si>
  <si>
    <t>WOS:001048868100005</t>
  </si>
  <si>
    <t>Kotera, Y; Newby, C; Charles, A; Ng, F; Watson, E; Davidson, L; Nixdorf, R; Bradstreet, S; Brophy, L; Brasier, C; Simpson, A; Gillard, S; Puschner, B; Kidd, SA; Mahlke, C; Sutton, AJ; Gray, LJ; Smith, EA; Ashmore, A; Pomberth, S; Slade, M</t>
  </si>
  <si>
    <t>Kotera, Yasuhiro; Newby, Christopher; Charles, Ashleigh; Ng, Fiona; Watson, Emma; Davidson, Larry; Nixdorf, Rebecca; Bradstreet, Simon; Brophy, Lisa; Brasier, Catherine; Simpson, Alan; Gillard, Steve; Puschner, Bernd; Kidd, Sean A.; Mahlke, Candelaria; Sutton, Alex J.; Gray, Laura J.; Smith, Ellesha A.; Ashmore, Alison; Pomberth, Scott; Slade, Mike</t>
  </si>
  <si>
    <t>Typology of Mental Health Peer Support Work Components: Systematised Review and Expert Consultation</t>
  </si>
  <si>
    <t>INTERNATIONAL JOURNAL OF MENTAL HEALTH AND ADDICTION</t>
  </si>
  <si>
    <t>Typology; Peer support work; Systematised review; Mental health; Expert consultation; Components</t>
  </si>
  <si>
    <t>The employment of mental health peer support (PS) is recommended in national and international mental health policy, and widely implemented across many countries. The key components of PS remain to be identified. This study aimed to develop a typology of components involved in one-to-one PS for adults in mental health services. A systematised review was performed to establish a preliminary long list of candidate components, followed by expert consultation (n = 21) to refine the list. Forty-two publications were full-text reviewed, comprising 26 trial reports, nine training manuals, and seven change model papers. Two hundred forty-two candidate components were identified, which were thematically synthesised to 16 components and eight sub-components, categorised into four themes: recruitment, preparation, practice, and PS worker wellbeing. Our typology can inform reflection and planning of PS practice, and allow more rigorous and synthesised studies, such as component network meta-analyses, to characterise the impact of each component and their interactions.</t>
  </si>
  <si>
    <t>[Kotera, Yasuhiro; Charles, Ashleigh; Ng, Fiona; Slade, Mike] Univ Nottingham, Sch Hlth Sci, Nottingham, England; [Kotera, Yasuhiro] Univ Nottingham, Inst Mental Hlth, Nottingham NG7 2TU, England; [Newby, Christopher] Univ Nottingham, Sch Med, Nottingham, England; [Watson, Emma] Nottinghamshire Healthcare NHS Fdn Trust, Peer Support Dev Team, Nottingham, England; [Davidson, Larry] Yale Univ, Sch Med, New Haven, CT USA; [Nixdorf, Rebecca; Mahlke, Candelaria] Univ Med Ctr Hamburg Eppendorf, Dept Psychiat, Hamburg, Germany; [Bradstreet, Simon] Univ Glasgow, Sch Hlth &amp; Wellbeing, Glasgow City, Scotland; [Brophy, Lisa; Brasier, Catherine] Trobe Univ, Social Work &amp; Social Policy, Melbourne, Australia; [Simpson, Alan] Kings Coll London, Inst Psychiat Psychol &amp; Neurosci, London, England; [Gillard, Steve] Univ London, Sch Hlth &amp; Psychol Sci, London, England; [Puschner, Bernd] Ulm Univ, Dept Psychiatry 2, Ulm, Germany; [Kidd, Sean A.] Ctr Addict &amp; Mental Hlth, Toronto, ON, Canada; [Sutton, Alex J.; Gray, Laura J.; Smith, Ellesha A.] Univ Leicester, Dept Populat Hlth Sci, Leicester, England; [Ashmore, Alison] Univ Nottingham, Univ Nottingham Lib, Nottingham, England; [Pomberth, Scott] Recovery Res Team, Lived Experience Advisory Panel, Nottingham, England; [Slade, Mike] Nord Univ, Fac Nursing &amp; Hlth Sci, Hlth &amp; Community Participat Div, Bodo, Norway</t>
  </si>
  <si>
    <t>University of Nottingham; University of Nottingham; University of Nottingham; Yale University; University of Hamburg; University Medical Center Hamburg-Eppendorf; University of Glasgow; La Trobe University; University of London; King's College London; University of London; Ulm University; University of Toronto; Centre for Addiction &amp; Mental Health - Canada; University of Leicester; University of Nottingham; Nord University</t>
  </si>
  <si>
    <t>Kotera, Y (corresponding author), Univ Nottingham, Sch Hlth Sci, Nottingham, England.;Kotera, Y (corresponding author), Univ Nottingham, Inst Mental Hlth, Nottingham NG7 2TU, England.</t>
  </si>
  <si>
    <t>Yasuhiro.Kotera@nottingham.ac.uk; Christopher.Newby@nottingham.ac.uk; Ashleigh.Charles@nottingham.ac.uk; Fiona.Ng@nottingham.ac.uk; emma.watson@nottshc.nhs.uk; larry.davidson@yale.edu; r.nixdorf@uke.de; Simon.Bradstreet@glasgow.ac.uk; L.Brophy@latrobe.edu.au; Catherine.Brasier@latrobe.edu.au; alan.simpson@kcl.ac.uk; steven.gillard@city.ac.uk; bernd.puschner@bkh-guenzburg.de; sean_kidd@camh.net; c.mahlke@uke.de; ajs22@leicester.ac.uk; lg48@leicester.ac.uk; eas24@leicester.ac.uk; alison.ashmore@nottingham.ac.uk; scott.pomberth@nottshc.nhs.uk; m.slade@nottingham.ac.uk</t>
  </si>
  <si>
    <t>; Kotera, Yasuhiro/A-9823-2017</t>
  </si>
  <si>
    <t>BROPHY, LISA/0000-0001-6460-3490; Davidson, Larry/0000-0003-1183-8047; Kotera, Yasuhiro/0000-0002-0251-0085</t>
  </si>
  <si>
    <t>NIHR Nottingham Biomedical Research Centre; NIHR Applied Research Collaboration East Midlands (ARC EM)</t>
  </si>
  <si>
    <t>MS acknowledges the support of the NIHR Nottingham Biomedical Research Centre. AJS/LJG/EAS are supported by the NIHR Applied Research Collaboration East Midlands (ARC EM). The views expressed are those of the authors and not necessarily those of the NIHR or the Department of Health and Social Care. Availability of Data and MaterialsNot applicable. Code Availability Not applicable.</t>
  </si>
  <si>
    <t>1557-1874</t>
  </si>
  <si>
    <t>1557-1882</t>
  </si>
  <si>
    <t>INT J MENT HEALTH AD</t>
  </si>
  <si>
    <t>Int. J. Mental Health Addict.</t>
  </si>
  <si>
    <t>10.1007/s11469-023-01126-7</t>
  </si>
  <si>
    <t>Psychology, Clinical; Substance Abuse; Psychiatry</t>
  </si>
  <si>
    <t>Psychology; Substance Abuse; Psychiatry</t>
  </si>
  <si>
    <t>P1CK5</t>
  </si>
  <si>
    <t>WOS:001048084300002</t>
  </si>
  <si>
    <t>Lee, NY; Hum, M; Zihara, S; Wang, LY; Myint, MK; Lim, DWT; Toh, CK; Skanderup, A; Samol, J; Tan, MH; Ang, P; Lee, SC; Tan, EH; Lai, GGY; Tan, DSW; Yap, YS; Lee, ASG</t>
  </si>
  <si>
    <t>Lee, Ning-Yuan; Hum, Melissa; Zihara, Sabna; Wang, Lanying; Myint, Matthew K.; Lim, Darren Wan-Teck; Toh, Chee-Keong; Skanderup, Anders; Samol, Jens; Tan, Min-Han; Ang, Peter; Lee, Soo-Chin; Tan, Eng-Huat; Lai, Gillianne G. Y.; Tan, Daniel S. W.; Yap, Yoon-Sim; Lee, Ann S. G.</t>
  </si>
  <si>
    <t>Landscape of germline pathogenic variants in patients with dual primary breast and lung cancer (vol 17, 66, 2023)</t>
  </si>
  <si>
    <t>HUMAN GENOMICS</t>
  </si>
  <si>
    <t>[Lee, Ning-Yuan; Hum, Melissa; Zihara, Sabna; Myint, Matthew K.; Lee, Ann S. G.] Natl Canc Ctr Singapore, Div Cellular &amp; Mol Res, 30 Hosp Blvd, Singapore 168583, Singapore; [Wang, Lanying; Lim, Darren Wan-Teck; Toh, Chee-Keong; Tan, Eng-Huat; Lai, Gillianne G. Y.; Tan, Daniel S. W.; Yap, Yoon-Sim] Natl Canc Ctr Singapore, Div Med Oncol, 30 Hosp Blvd, Singapore 168583, Singapore; [Lim, Darren Wan-Teck; Lai, Gillianne G. Y.; Tan, Daniel S. W.; Yap, Yoon-Sim; Lee, Ann S. G.] Duke NUS Med Sch, SingHealth Duke NUS Oncol Acad Clin Programme ONCO, 8 Coll Rd, Singapore 169857, Singapore; [Skanderup, Anders; Tan, Daniel S. W.] Genome Inst Singapore, 60 Biopolis St, Singapore 138672, Singapore; [Samol, Jens] Tan Tock Seng Hosp, Med Oncol Dept, 11 Jalan Tan Tock Seng, Singapore 308433, Singapore; [Samol, Jens] Johns Hopkins Univ, Baltimore, MD 21218 USA; [Tan, Min-Han] Lucence Diagnost Pte Ltd, 211 Henderson Rd, Singapore 159552, Singapore; [Ang, Peter] Oncocare Canc Ctr, Gleneagles Med Ctr, 6 Napier Rd, Singapore 258499, Singapore; [Lee, Soo-Chin] Natl Univ Hlth Syst, Canc Inst, Dept Hematol Oncol, Singapore NCIS, 5 Lower Kent Ridge Rd, Singapore 119074, Singapore; [Lee, Soo-Chin] Natl Univ Singapore, Canc Sci Inst, Singapore CSI, 14 Med Dr, Singapore 117599, Singapore; [Tan, Eng-Huat; Tan, Daniel S. W.] Natl Canc Ctr Singapore, Clin Trials &amp; Epidemiol Sci, 30 Hosp Blvd, Singapore 168583, Singapore; [Lee, Ann S. G.] Natl Univ Singapore, Yong Loo Lin Sch Med, Dept Physiol, Med Dr, Singapore 117593, Singapore</t>
  </si>
  <si>
    <t>National Cancer Centre Singapore (NCCS); National Cancer Centre Singapore (NCCS); National University of Singapore; Agency for Science Technology &amp; Research (A*STAR); A*STAR - Genome Institute of Singapore (GIS); Tan Tock Seng Hospital; Johns Hopkins University; National University of Singapore; National University of Singapore; National Cancer Centre Singapore (NCCS); National University of Singapore</t>
  </si>
  <si>
    <t>Lee, ASG (corresponding author), Natl Canc Ctr Singapore, Div Cellular &amp; Mol Res, 30 Hosp Blvd, Singapore 168583, Singapore.;Lee, ASG (corresponding author), Duke NUS Med Sch, SingHealth Duke NUS Oncol Acad Clin Programme ONCO, 8 Coll Rd, Singapore 169857, Singapore.;Lee, ASG (corresponding author), Natl Univ Singapore, Yong Loo Lin Sch Med, Dept Physiol, Med Dr, Singapore 117593, Singapore.</t>
  </si>
  <si>
    <t>gmslimsg@nus.edu.sg</t>
  </si>
  <si>
    <t>Lee, ann/JFS-5133-2023</t>
  </si>
  <si>
    <t>1473-9542</t>
  </si>
  <si>
    <t>1479-7364</t>
  </si>
  <si>
    <t>HUM GENOMICS</t>
  </si>
  <si>
    <t>Hum. Genomics</t>
  </si>
  <si>
    <t>10.1186/s40246-023-00518-z</t>
  </si>
  <si>
    <t>P2RL7</t>
  </si>
  <si>
    <t>WOS:001049162500001</t>
  </si>
  <si>
    <t>Marquez, ER; Santiago, A; Santos, C; Oliver, AL</t>
  </si>
  <si>
    <t>Marquez, Estefania Ramirez; Santiago, Alejandra; Santos, Carmen; Oliver, Armando L.</t>
  </si>
  <si>
    <t>West Indian (Caribbean) Punctate Keratopathy in a Puerto Rican Girl</t>
  </si>
  <si>
    <t>west indian punctate keratopathy; uveitis; cornea; puerto rico; wipk; pediatric; caribbean</t>
  </si>
  <si>
    <t>We report on a case of West Indian (Caribbean) punctate keratopathy (WIPK) in a pediatric patient living in Puerto Rico, USA. A 9-year-old Hispanic girl presented for a routine ophthalmic follow-up. The patient had a history of juvenile idiopathic arthritis and chronic bilateral anterior uveitis. At the presentation, her visual acuity was 20/30 in the right eye and 20/20 in the left eye. An examination of the right eye was remarkable for one round, white subepithelial corneal opacity of approximately 0.1 mm in height by 0.1 mm in width, located slightly lateral to the center of the cornea, which was consistent with WIPK. This case highlights the importance of recognizing WIPK in children who have a history of living on any one or more of the Caribbean islands.</t>
  </si>
  <si>
    <t>[Marquez, Estefania Ramirez; Santiago, Alejandra; Santos, Carmen; Oliver, Armando L.] Univ Puerto Rico, Sch Med, Ophthalmol, Med Sci Campus, San Juan, PR 00925 USA</t>
  </si>
  <si>
    <t>University of Puerto Rico; University of Puerto Rico Medical Sciences Campus</t>
  </si>
  <si>
    <t>Oliver, AL (corresponding author), Univ Puerto Rico, Sch Med, Ophthalmol, Med Sci Campus, San Juan, PR 00925 USA.</t>
  </si>
  <si>
    <t>armandoolivermd@gmail.com</t>
  </si>
  <si>
    <t>e43467</t>
  </si>
  <si>
    <t>10.7759/cureus.43467</t>
  </si>
  <si>
    <t>Q5UK4</t>
  </si>
  <si>
    <t>WOS:001058170800009</t>
  </si>
  <si>
    <t>Masters, H; Marcuccio, E; Jukic, A; Cnota, J; Tabbah, S; Divanovic, A</t>
  </si>
  <si>
    <t>Masters, Heather; Marcuccio, Elisa; Jukic, Alma; Cnota, James; Tabbah, Sammy; Divanovic, Allison</t>
  </si>
  <si>
    <t>Maternal and neonatal factors associated with cesarean delivery in a cohort of pregnancies complicated by prenatally diagnosed congenital heart disease</t>
  </si>
  <si>
    <t>IMPACT; DEATH; MODE</t>
  </si>
  <si>
    <t>BackgroundPregnancies with prenatally diagnosed congenital heart disease (CHD) have increased cesarean delivery (CD) rates, with no outcome improvement.ObjectiveWe aim to examine indications for delivery, indications for CD and risk factors associated with CD.Study designRetrospective cohort of 322 singleton pregnancies prenatally diagnosed with moderate to severe CHD. We compared maternal and fetal factors correlated with delivery route.ResultsCD rate was 46% (95% CI 40, 51%). Of all CD, 31.3% (95% CI 23.8, 38.7) were secondary to urgent fetal indications. However, 79.7% of inductions resulted in vaginal delivery (VD). Factors associated with CD include morbid obesity (RR 3.0, 95% CI 1.5, 6.1), diabetes (RR 3.9, 95% CI 2.0, 7.3) and severe pre-eclampsia (6.0, 95% CI 1.7, 21.4). Of the 10 most frequent CHD diagnoses, only hypoplastic-left-heart was associated with CD (OR 1.9, 95% CI 1.02, 3.4).ConclusionsAlthough the CD rate is higher in fetal CHD, most indications for CD are maternal.</t>
  </si>
  <si>
    <t>[Masters, Heather; Tabbah, Sammy] Univ Cincinnati, Dept Obstet &amp; Gynecol, Div Maternal Fetal Med, Coll Med, Cincinnati, OH 45221 USA; [Marcuccio, Elisa; Jukic, Alma; Cnota, James; Divanovic, Allison] Cincinnati Childrens Hosp Med Ctr, Heart Inst, Fetal Heart Program, Cincinnati, OH USA</t>
  </si>
  <si>
    <t>University System of Ohio; University of Cincinnati; Cincinnati Children's Hospital Medical Center</t>
  </si>
  <si>
    <t>Masters, H (corresponding author), Univ Cincinnati, Dept Obstet &amp; Gynecol, Div Maternal Fetal Med, Coll Med, Cincinnati, OH 45221 USA.</t>
  </si>
  <si>
    <t>fryh@ucmail.uc.edu</t>
  </si>
  <si>
    <t>10.1038/s41372-023-01747-9</t>
  </si>
  <si>
    <t>P1BR9</t>
  </si>
  <si>
    <t>WOS:001048065700001</t>
  </si>
  <si>
    <t>Nakata, E; Fujiwara, T; Kunisada, T; Nakahara, R; Katayama, H; Itano, T; Ozaki, T</t>
  </si>
  <si>
    <t>Nakata, Eiji; Fujiwara, Tomohiro; Kunisada, Toshiyuki; Nakahara, Ryuichi; Katayama, Haruyoshi; Itano, Takuto; Ozaki, Toshifumi</t>
  </si>
  <si>
    <t>Results of resection of forearm soft tissue sarcoma</t>
  </si>
  <si>
    <t>JOURNAL OF ORTHOPAEDIC SURGERY AND RESEARCH</t>
  </si>
  <si>
    <t>Soft tissue sarcomas; Forearm; Function; Prognosis</t>
  </si>
  <si>
    <t>UNPLANNED EXCISION; LOCAL RECURRENCE; MICROSURGICAL RECONSTRUCTION; TENDON TRANSFERS; UPPER EXTREMITY; OUTCOMES; POPULATION; MANAGEMENT; TUMORS</t>
  </si>
  <si>
    <t>PurposeSoft tissue sarcomas (STS) of the forearm are rare. We aim to assess their oncological and functional outcomes.MethodsWe retrospectively evaluated 34 patients who underwent surgical excision for forearm STS at our institution between 1993 and 2020. We analyzed postoperative Musculoskeletal Tumor Society rating scale (MSTS) and local recurrence-free survival (LRFS), metastasis-free survival, and overall survival (OS) rates. The significance of the following variables was determined: age, sex, histology, tumor size, Federation Nationale des Centres de Lutte contre le Cancer grade, American Joint Committee on Cancer stage, surgical margin, unplanned excision, metastases upon initial presentation, receipt of chemotherapy, and radiotherapy (RT).ResultsThe postoperative median MSTS score was 28. Bone resection or major nerve palsy was the only factor that influenced MSTS scores. The median MSTS scores in patients with or without bone resection or major nerve palsy were 24 and 29, respectively (P &lt; 0.001). The 5-year LRFS rates was 87%. Univariate analysis revealed that the histological diagnosis of myxofibrosarcoma was the only factor that influenced LRFS (P = 0.047). The 5-year MFS rates was 71%. In univariate analysis, no factors were associated with MFS. The 5-year OS rates was 79%. Age was the only factor that influenced OS (P = 0.01).ConclusionIn the treatment of forearm STS, reconstruction of the skin and tendon can compensate for function, while bone resection and major nerve disturbance cannot. Careful follow-up is important, especially in patients with myxofibrosarcoma, due to its likelihood of local recurrence.</t>
  </si>
  <si>
    <t>[Nakata, Eiji; Fujiwara, Tomohiro; Kunisada, Toshiyuki; Nakahara, Ryuichi; Katayama, Haruyoshi; Itano, Takuto; Ozaki, Toshifumi] Okayama Univ Hosp, Dept Orthoped Surg, 2-5-1 Shikata Cho, Okayama, Okayama 7008558, Japan</t>
  </si>
  <si>
    <t>Nakata, E (corresponding author), Okayama Univ Hosp, Dept Orthoped Surg, 2-5-1 Shikata Cho, Okayama, Okayama 7008558, Japan.</t>
  </si>
  <si>
    <t>eijinakata8522@yahoo.co.jp</t>
  </si>
  <si>
    <t>1749-799X</t>
  </si>
  <si>
    <t>J ORTHOP SURG RES</t>
  </si>
  <si>
    <t>J. Orthop. Surg. Res.</t>
  </si>
  <si>
    <t>10.1186/s13018-023-04088-7</t>
  </si>
  <si>
    <t>P2ST6</t>
  </si>
  <si>
    <t>WOS:001049196400001</t>
  </si>
  <si>
    <t>Narthana, S; Gnanavadivel, J</t>
  </si>
  <si>
    <t>Narthana, S.; Gnanavadivel, J.</t>
  </si>
  <si>
    <t>Power Quality Analysis of Interleaved Cuk Configuration-Based Interval Type-2 Fuzzy Logic Controller for Battery Charging in Electric Vehicles</t>
  </si>
  <si>
    <t>Interval type-2 fuzzy logic controllers; Power factor correction; Constant current; Constant voltage; Discontinuous conduction</t>
  </si>
  <si>
    <t>CONVERTER; DESIGN</t>
  </si>
  <si>
    <t>Electric vehicles with proper battery charging mechanism are essential to achieve superior performance with good dynamic response and high efficiency. This paper comes up with the analysis of interval type-2 fuzzy logic controller (IT2FLC) for interleaved Cuk converter for battery charging in electric vehicles. The key intention of this paper is to obtain excellent controller parameters such as improved accuracy and stability with good power quality attributes of less harmonic distortion and unity power factor at the supply side using a robust and intelligent control approach. IT2FLC is developed effectively to acquire the optimal proportional integral (PI) parameters for the constant current and constant voltage charging controllers to enrich the operation of the battery charging system. This in turn achieves excellent transient parameters with less settling time of 0.01 s, reduced overshoot of 1% and efficiency of about 93.85%. The so-called interval type-2 (IT2) controller is therefore accomplished to alleviate uncertainties and improvise the dynamic stability of the charging solution. The behavioural traits of the intelligent controller are examined and compared with Ziegler-Nicholas tuned PI and T1FL-based PI using MATLAB/Simulink. A hardware prototype of 350 W, 48 V/5 A charger is built and verified with dsPIC33F to evaluate the working principle of the converter using IT2.</t>
  </si>
  <si>
    <t>[Narthana, S.; Gnanavadivel, J.] Mepco Schlenk Engn Coll, Dept Elect &amp; Elect Engn, Sivakasi, Tamil Nadu, India</t>
  </si>
  <si>
    <t>Mepco Schlenk Engineering College</t>
  </si>
  <si>
    <t>Gnanavadivel, J (corresponding author), Mepco Schlenk Engn Coll, Dept Elect &amp; Elect Engn, Sivakasi, Tamil Nadu, India.</t>
  </si>
  <si>
    <t>gvadivel@mepcoeng.ac.in</t>
  </si>
  <si>
    <t>J, Gnanavadivel/0000-0002-9296-4370</t>
  </si>
  <si>
    <t>10.1007/s13369-023-08189-7</t>
  </si>
  <si>
    <t>P2DW8</t>
  </si>
  <si>
    <t>WOS:001048808000003</t>
  </si>
  <si>
    <t>Noordover, B; Zhang, YJ; Brinkhuis, R; Bosma, M; Lunzer, F; Roose, P; Lindekens, L</t>
  </si>
  <si>
    <t>Noordover, Bart; Zhang, Yujing; Brinkhuis, Richard; Bosma, Martin; Lunzer, Florian; Roose, Patrice; Lindekens, Luc</t>
  </si>
  <si>
    <t>Phase separation in Michael addition curable coatings to enhance flexibility and adhesion robustness</t>
  </si>
  <si>
    <t>JOURNAL OF COATINGS TECHNOLOGY AND RESEARCH</t>
  </si>
  <si>
    <t>Michael addition; Phase separation; DMTA; Adhesion improvement; Flexibility; Coatings; Crosslinking</t>
  </si>
  <si>
    <t>Polyether-based acryloyl-functional acceptor binders were combined with malonated polyester donor resins in base-catalyzed carbon-Michael addition curable paint systems. The high equivalent weight, flexible polyether-based acceptors afford a multi-phase morphology in the final coating film, which is formed through polymerization-induced incompatibility and phase separation. Additional thermal transitions were observed in dynamic mechanical thermal analysis experiments, indicating the presence of low T-g domains in the highly crosslinked continuous phase. As a consequence, these novel network compositions show strongly improved ductility and adhesion robustness over a range of substrate types. Non-reactive polyether-based binders, lacking covalent bonding to the crosslinked continuous phase, only lead to limited, less robust property improvement. It was demonstrated that acceptor binders based on poly(propylene glycol) segments are highly effective in enhancing flexibility while maintaining a high coating hardness. Both clearcoat and pigmented topcoat formulations were developed showing similar performance improvements, opening the door to benefits in a variety of application fields.</t>
  </si>
  <si>
    <t>[Noordover, Bart] Allnex Netherlands BV, POB 79,Synthesebaan 1, NL-4600 AB Bergen Op Zoom, Netherlands; [Zhang, Yujing; Brinkhuis, Richard; Bosma, Martin] Allnex Netherlands BV, Nieuwe Kanaal 7N, NL-6709 PA Wageningen, Netherlands; [Lunzer, Florian; Roose, Patrice; Lindekens, Luc] Allnex Belgium SA, Anderlechtstr 33B, B-1620 Drogenbos, Belgium</t>
  </si>
  <si>
    <t>Noordover, B (corresponding author), Allnex Netherlands BV, POB 79,Synthesebaan 1, NL-4600 AB Bergen Op Zoom, Netherlands.</t>
  </si>
  <si>
    <t>bart.noordover@allnex.com</t>
  </si>
  <si>
    <t>Roose, Patrice/AAH-7413-2021</t>
  </si>
  <si>
    <t>Roose, Patrice/0000-0003-2768-701X</t>
  </si>
  <si>
    <t>1547-0091</t>
  </si>
  <si>
    <t>1935-3804</t>
  </si>
  <si>
    <t>J COAT TECHNOL RES</t>
  </si>
  <si>
    <t>J. Coat. Technol. Res.</t>
  </si>
  <si>
    <t>10.1007/s11998-023-00804-4</t>
  </si>
  <si>
    <t>Chemistry, Applied; Materials Science, Coatings &amp; Films</t>
  </si>
  <si>
    <t>P0PM4</t>
  </si>
  <si>
    <t>WOS:001047746300002</t>
  </si>
  <si>
    <t>Phattharapornjaroen, P; Carlstrom, E; Atiksawedparit, P; Holmqvist, LD; Pitidhammabhorn, D; Sittichanbuncha, Y; Khorram-Manesh, A</t>
  </si>
  <si>
    <t>Phattharapornjaroen, Phatthranit; Carlstrom, Eric; Atiksawedparit, Pongsakorn; Holmqvist, Lina Dahlen; Pitidhammabhorn, Dhanesh; Sittichanbuncha, Yuwares; Khorram-Manesh, Amir</t>
  </si>
  <si>
    <t>The impact of the three-level collaboration exercise on collaboration and leadership during scenario-based hospital evacuation exercises using flexible surge capacity concept: a mixed method cross-sectional study</t>
  </si>
  <si>
    <t>Flexible surge capacity; Preparedness; Hospital evacuations; 3-level collaboration exercise; Disaster partnership; Leadership</t>
  </si>
  <si>
    <t>QUALITATIVE CONTENT-ANALYSIS; SHELTER-IN-PLACE; DISASTER; HEALTH; MANAGEMENT; RESILIENCE; SYSTEM</t>
  </si>
  <si>
    <t>BackgroundHospitals play a crucial role in responding to disasters and public health emergencies. However, they are also vulnerable to threats such as fire or flooding and can fail to respond or evacuate adequately due to unpreparedness and lack of evacuation measures. The United Nations Office for Disaster Risk Reduction has emphasised the importance of partnerships and capacity building in disaster response. One effective way to improve and develop disaster response is through exercises that focus on collaboration and leadership. This study aimed to examine the effectiveness of using the 3-level collaboration (3LC) exercise in developing collaboration and leadership in districts in Thailand, using the concept of flexible surge capacity (FSC) and its collaborative tool during a hospital evacuation simulation.MethodsA mixed-method cross-sectional study was conducted with 40 participants recruited from disaster-response organisations and communities. The data from several scenario-based simulations were collected according to the collaborative elements (Command and control, Safety, Communication, Assessment, Triage, Treatment, Transport), in the disaster response education, Major Incident Medical Management and Support using self-evaluation survey pre- and post-exercises, and direct observation.ResultsThe 3LC exercise effectively facilitated participants to gain a mutual understanding of collaboration, leadership, and individual and organisational flexibility. The exercise also identified gaps in communication and the utilisation of available resources. Additionally, the importance of early community engagement was highlighted to build up a flexible surge capacity during hospital evacuation preparedness.Conclusionsthe 3LC exercise is valuable for improving leadership skills and multiagency collaboration by incorporating the collaborative factors of Flexible Surge Capacity concept in hospital evacuation preparedness.</t>
  </si>
  <si>
    <t>[Phattharapornjaroen, Phatthranit; Khorram-Manesh, Amir] Univ Gothenburg, Inst Clin Sci, Sahlgrenska Acad, Dept Surg, S-40530 Gothenburg, Sweden; [Phattharapornjaroen, Phatthranit; Sittichanbuncha, Yuwares] Mahidol Univ, Fac Med, Dept Emergency Med, Ramathibodi Hosp, Bangkok 10400, Thailand; [Carlstrom, Eric] Univ Gothenburg, Inst Hlth &amp; Care Sci, Sahlgrenska Acad, S-40100 Gothenburg, Sweden; [Carlstrom, Eric; Holmqvist, Lina Dahlen; Khorram-Manesh, Amir] Univ Gothenburg, Sahlgrenska Acad, Gothenburg Emergency Med Res Grp, S-40530 Gothenburg, Sweden; [Carlstrom, Eric] Univ South Eastern Norway, USN Sch Business, N-3603 Kongsberg, Norway; [Atiksawedparit, Pongsakorn; Pitidhammabhorn, Dhanesh] Mahidol Univ, Fac Med, Chakri Naruebodindra Med Inst, Ramathibodi Hosp, Samut Prakan 10540, Thailand; [Holmqvist, Lina Dahlen] Sahlgrens Univ Hosp, Inst Med, Dept Internal Med &amp; Clin Nutr, S-40530 Gothenburg, Sweden; [Khorram-Manesh, Amir] Univ Gothenburg, Sahlgrenska Acad, Disaster Med Ctr, S-40530 Gothenburg, Sweden</t>
  </si>
  <si>
    <t>University of Gothenburg; Mahidol University; University of Gothenburg; University of Gothenburg; University College of Southeast Norway; Mahidol University; Sahlgrenska University Hospital; University of Gothenburg</t>
  </si>
  <si>
    <t>Phattharapornjaroen, P (corresponding author), Univ Gothenburg, Inst Clin Sci, Sahlgrenska Acad, Dept Surg, S-40530 Gothenburg, Sweden.;Phattharapornjaroen, P (corresponding author), Mahidol Univ, Fac Med, Dept Emergency Med, Ramathibodi Hosp, Bangkok 10400, Thailand.</t>
  </si>
  <si>
    <t>phatthranit.phattharapornjaroen@gu.se</t>
  </si>
  <si>
    <t>10.1186/s12913-023-09882-x</t>
  </si>
  <si>
    <t>P1WS3</t>
  </si>
  <si>
    <t>WOS:001048621000007</t>
  </si>
  <si>
    <t>Ramasubbu, K; Ramanathan, G; Venkatraman, G; Rajeswari, VD</t>
  </si>
  <si>
    <t>Ramasubbu, Kanagavalli; Ramanathan, Gnanasambandan; Venkatraman, Ganesh; Rajeswari, V. Devi</t>
  </si>
  <si>
    <t>Sleep-associated insulin resistance promotes neurodegeneration</t>
  </si>
  <si>
    <t>Insulin resistance; Neurodegeneration; Neurohormones; Sleep restriction</t>
  </si>
  <si>
    <t>BLOOD-BRAIN-BARRIER; UNFOLDED PROTEIN RESPONSE; COGNITIVE IMPAIRMENT; GLUCOSE-METABOLISM; CIRCADIAN-RHYTHMS; DEPRIVATION; PLASTICITY; NEUROPLASTICITY; RESTRICTION; MELATONIN</t>
  </si>
  <si>
    <t>Lifestyle modification can lead to numerous health issues closely associated with sleep. Sleep deprivation and disturbances significantly affect inflammation, immunity, neurodegeneration, cognitive depletion, memory impairment, neuroplasticity, and insulin resistance. Sleep significantly impacts brain and memory formation, toxin excretion, hormonal function, metabolism, and motor and cognitive functions. Sleep restriction associated with insulin resistance affects these functions by interfering with the insulin signalling pathway, neurotransmission, inflammatory pathways, and plasticity of neurons. So, in this review, We discuss the evidence that suggests that neurodegeneration occurs via sleep and is associated with insulin resistance, along with the insulin signalling pathways involved in neurodegeneration and neuroplasticity, while exploring the role of hormones in these conditions. [Graphics] .</t>
  </si>
  <si>
    <t>[Ramasubbu, Kanagavalli; Ramanathan, Gnanasambandan; Venkatraman, Ganesh; Rajeswari, V. Devi] Vellore Inst Technol, Sch Biosci &amp; Technol, Dept Biomed Sci, Vellore 632014, Tamil Nadu, India</t>
  </si>
  <si>
    <t>Vellore Institute of Technology (VIT); VIT Vellore</t>
  </si>
  <si>
    <t>Rajeswari, VD (corresponding author), Vellore Inst Technol, Sch Biosci &amp; Technol, Dept Biomed Sci, Vellore 632014, Tamil Nadu, India.</t>
  </si>
  <si>
    <t>vdevirajeswari@vit.ac.in</t>
  </si>
  <si>
    <t>RAJESWARI, DEVI/0000-0002-1914-6451</t>
  </si>
  <si>
    <t>Vellore Institute of Technology-Vellore</t>
  </si>
  <si>
    <t>&amp; nbsp;The authors thank the Vellore Institute of Technology-Vellore for providing support and facilities.</t>
  </si>
  <si>
    <t>10.1007/s11033-023-08710-z</t>
  </si>
  <si>
    <t>P1YB3</t>
  </si>
  <si>
    <t>WOS:001048656300002</t>
  </si>
  <si>
    <t>Sharma, D; Bhartiya, D</t>
  </si>
  <si>
    <t>Sharma, Diksha; Bhartiya, Deepa</t>
  </si>
  <si>
    <t>Aged mice ovaries harbor stem cells and germ cell nests but fail to form follicles (vol 15, 37, 2022)</t>
  </si>
  <si>
    <t>[Sharma, Diksha; Bhartiya, Deepa] ICMR Natl Inst Res Reprod Hlth, Stem Cell Biol Dept, Jehangir Merwanji St, Mumbai 400012, India</t>
  </si>
  <si>
    <t>Indian Council of Medical Research (ICMR); ICMR - National Institute for Research in Reproductive Health (NIRRH)</t>
  </si>
  <si>
    <t>Bhartiya, D (corresponding author), ICMR Natl Inst Res Reprod Hlth, Stem Cell Biol Dept, Jehangir Merwanji St, Mumbai 400012, India.</t>
  </si>
  <si>
    <t>deepa.bhartiya@yahoo.in</t>
  </si>
  <si>
    <t>10.1186/s13048-023-01256-5</t>
  </si>
  <si>
    <t>P2UN1</t>
  </si>
  <si>
    <t>WOS:001049241900001</t>
  </si>
  <si>
    <t>Torres-Sanchez, E; Menendez-Gutierrez, M; Villar, L; Diaz, R</t>
  </si>
  <si>
    <t>Torres-Sanchez, Esteban; Menendez-Gutierrez, Maria; Villar, Lucia; Diaz, Raquel</t>
  </si>
  <si>
    <t>The effects of provenance, climate, and chemical defense on the resistance of Pinus pinaster Aiton to Bursaphelenchus xylophilus (Steiner and Buhrer)</t>
  </si>
  <si>
    <t>ANNALS OF FOREST SCIENCE</t>
  </si>
  <si>
    <t>Maritime pine; Pinewood nematode; Populations; Constitutive defenses; Geoclimatic pattern</t>
  </si>
  <si>
    <t>WOOD NEMATODE; RESOURCE AVAILABILITY; PICEA-ABIES; TRADE-OFFS; SUSCEPTIBILITY; SYLVESTRIS; POPULATIONS; TRAITS</t>
  </si>
  <si>
    <t>Key messageThe resistance of Pinus pinaster Aiton to pinewood nematode Bursaphelenchus xylophilus (Steiner and Buhrer) varied among populations from the Iberian Peninsula, with survival rates for inoculated seedlings ranging from 5 to 100%. These differences in resistance were paralleled by differences in some constitutive chemical defenses. Populations from the southeastern Iberian Peninsula displayed higher resistance than northern populations.ContextThe presence of the pinewood nematode (PWN), Bursaphelenchus xylophilus (Steiner and Buhrer), in Portugal threatens Mediterranean pine species such as Pinus pinaster Aiton.AimsWe have focused on assessing the resistance of P. pinaster populations to B. xylophilus, looking for any relationship between the PWN resistance and some constitutive chemical defenses and geoclimatic parameters.MethodsTwo-year-old seedlings from 32 provenances and two seed orchards were evaluated in an experiment of artificial inoculation following a randomized complete block design under greenhouse conditions. We measured growth-related traits, response to B. xylophilus inoculations, and constitutive chemical compounds in needles of the evaluated seedlings and compiled geoclimatic data for each population. Mixed models, nonparametric tests, correlations, and PCA were used to analyze the data.ResultsSurvival, wilting symptoms, morphological traits, and nematode density varied significantly among populations. Lower concentrations of constitutive polyphenols, lipid-soluble substances, and tannins were related to higher PWN resistance. Populations from the southeast of the Iberian Peninsula showed higher survival rates than those from further north. Additionally, we observed that populations to warm, dry climates showed higher resistance to B. xylophilus than populations originating from humid, temperate climates.ConclusionHigher susceptibility to PWN is related to lower growth traits, to lower levels of certain constitutive chemical compounds, and to adaptations to harsher climate.</t>
  </si>
  <si>
    <t>[Torres-Sanchez, Esteban; Menendez-Gutierrez, Maria; Diaz, Raquel] Ctr Invest Forestal Lourizan, Ctra Marin, km 4, Pontevedra 36153, Spain; [Villar, Lucia] Fdn Arume, Camino Valderribas, 93C, Santiago De Compostela 15707, Spain</t>
  </si>
  <si>
    <t>Torres-Sanchez, E (corresponding author), Ctr Invest Forestal Lourizan, Ctra Marin, km 4, Pontevedra 36153, Spain.</t>
  </si>
  <si>
    <t>esteban.torres.sanchez@xunta.gal</t>
  </si>
  <si>
    <t>Diaz, Raquel/ABH-2944-2020</t>
  </si>
  <si>
    <t>Diaz, Raquel/0000-0003-0748-7192; Torres Sanchez, Esteban/0000-0001-5282-9740; Menendez-Gutierrez, Maria/0000-0002-0526-4617</t>
  </si>
  <si>
    <t>1286-4560</t>
  </si>
  <si>
    <t>1297-966X</t>
  </si>
  <si>
    <t>ANN FOREST SCI</t>
  </si>
  <si>
    <t>Ann. For. Sci.</t>
  </si>
  <si>
    <t>10.1186/s13595-023-01202-x</t>
  </si>
  <si>
    <t>P1ZF1</t>
  </si>
  <si>
    <t>WOS:001048686100001</t>
  </si>
  <si>
    <t>Tripathi, DK; Nigam, SK; Cavallaro, F; Rani, P; Mishra, AR; Hezam, IM</t>
  </si>
  <si>
    <t>Tripathi, Dinesh Kumar; Nigam, Santosh K.; Cavallaro, Fausto; Rani, Pratibha; Mishra, Arunodaya Raj; Hezam, Ibrahim M.</t>
  </si>
  <si>
    <t>A Novel CRITIC-RS-VIKOR Group Method with Intuitionistic Fuzzy Information for Renewable Energy Sources Assessment</t>
  </si>
  <si>
    <t>Intuitionistic fuzzy sets; Group decision making; Renewable energy source; Distance measure; CRITIC; VIKOR</t>
  </si>
  <si>
    <t>SIMILARITY MEASURES; DISTANCE MEASURES; DECISION-MAKING; SETS; TECHNOLOGIES; GENERATION; EXTENSION; RANKING; ENTROPY</t>
  </si>
  <si>
    <t>This study aims to propose a new group multi-attribute decision-analysis (MADA) model to prioritize the renewable energy sources (RESs) from sustainability perspectives. The selection of RESs can be considered as a MADA problem due to considering the numerous conflicting sustainability indicators/factors. In this regard, we propose an integrated decision-making framework with the criteria importance through inter-criteria correlation (CRITIC), the rank sum (RS) and the Vlse Kriterijumska Optimizacija Kompromisno Resenje (VIKOR) approaches with intuitionistic fuzzy information called the IF-CRITIC-RS-VIKOR model. In the developed model, the CRITIC is applied to derive the objective weights, while the RS model is used to compute the subjective weights of the considered sustainability indicators. Further, an incorporated weight-determining formula is presented by combining the CRITIC and RS models under intuitionistic fuzzy environment. Moreover, the VIKOR method is employed to rank the candidate RESs by means of several sustainability indicators. In this line, new intuitionistic fuzzy distance measures are proposed to calculate the group utility (GU) and individual regret (IR) degrees of candidate RESs. Based on the obtained results, the most significant factors for RESs assessment are impact on ecosystem, technology cost and efficiency, respectively. The assessment outcomes show that the wind energy can serve as an effective RES followed by the solar energy, biomass energy and small hydel energy. Furthermore, comparative study and sensitivity analysis are discussed to show the utility and reasonability of the proposed method.</t>
  </si>
  <si>
    <t>[Tripathi, Dinesh Kumar; Nigam, Santosh K.] Govt Autonomous Coll Satna, Dept Math, Satna, Madhya Pradesh, India; [Cavallaro, Fausto] Univ Molise, Dept Econ, Via Sanctis, I-86100 Campobasso, Italy; [Rani, Pratibha] Koneru Lakshmaiah Educ Fdn, Dept Engn Math, Guntur 522302, Andhra Pradesh, India; [Mishra, Arunodaya Raj] Govt Coll Raigaon, Dept Math, Satna 485441, Madhya Pradesh, India; [Hezam, Ibrahim M.] King Saud Univ, Coll Sci, Stat &amp; Operat Res Dept, Riyadh, Saudi Arabia</t>
  </si>
  <si>
    <t>University of Molise; Koneru Lakshmaiah Education Foundation (K L Deemed to be University); King Saud University</t>
  </si>
  <si>
    <t>Cavallaro, F (corresponding author), Univ Molise, Dept Econ, Via Sanctis, I-86100 Campobasso, Italy.</t>
  </si>
  <si>
    <t>dineshkumartripathi1980@gmail.com; nigamsantosh01@gmail.com; cavallaro@unimol.it; pratibha138@gmail.com; arunodaya87@outlook.com; ialmishnanah@ksu.edu.sa</t>
  </si>
  <si>
    <t>Hezam, Ibrahim M./N-3759-2019; Mishra, Arunodaya/P-1562-2017</t>
  </si>
  <si>
    <t>Hezam, Ibrahim M./0000-0003-2747-6722; Mishra, Arunodaya/0000-0001-9949-5813</t>
  </si>
  <si>
    <t>King Saud University, Riyadh, Saudi Arabia [RSP2023R389]</t>
  </si>
  <si>
    <t>AcknowledgementsThis paper is funded by the Researchers Supporting Project number (RSP2023R389), King Saud University, Riyadh, Saudi Arabia.</t>
  </si>
  <si>
    <t>10.1007/s10726-023-09849-7</t>
  </si>
  <si>
    <t>P1BO2</t>
  </si>
  <si>
    <t>WOS:001048062000003</t>
  </si>
  <si>
    <t>Tsakotos, G; Triantafyllou, G; Olewnik, L; Georgiev, GP; Koutserimpas, C; Karampelias, V; Zielinska, N; Piagkou, M</t>
  </si>
  <si>
    <t>Tsakotos, George; Triantafyllou, George; Olewnik, Lukasz; Georgiev, Georgi P.; Koutserimpas, Christos; Karampelias, Vasileios; Zielinska, Nicol; Piagkou, Maria</t>
  </si>
  <si>
    <t>A Bilateral Symmetric Accessory Coracobrachialis Muscle Combined With an Interconnection of the Musculocutaneous Nerve With the Median Nerve</t>
  </si>
  <si>
    <t>anatomical variation; anastomosis; median nerve; musculocutaneous nerve; interconnection; accessory head; coracobrachialis muscle</t>
  </si>
  <si>
    <t>BRACHIAL-PLEXUS; BICEPS-BRACHII; CLASSIFICATION; HEAD; ARM</t>
  </si>
  <si>
    <t>This report describes a bilateral symmetric accessory coracobrachialis muscle variant coexisting with a unilateral interconnection of the musculocutaneous nerve and the median nerve. An 80-year-old female cadaver was dissected. The bilateral coracobrachialis muscle variant consisted of three heads: two superficial heads and one deep head. One superficial head arose from the tip of the coracoid process, while the other originated from the short head tendon of the biceps brachii. The deep head of the coracobrachialis muscle emerged from the base of the coracoid process. The musculocutaneous nerve bilaterally coursed between the superficial and deep heads. On the right side, the three-headed coracobrachialis muscle coexisted with an ipsilateral interconnection of the musculocutaneous nerve and the median nerve, located at the lower third of the arm. While the presence of a unilateral three-headed coracobrachialis muscle is not rare (with a prevalence range of 0-22.2%), as well as the distal interconnection between the musculocutaneous nerve and the median nerve at the lower third of the arm (with a prevalence range of 1.8-53.6%), the coexistence of the current bilateral three-headed coracobrachialis muscle variant with the distal interconnection of the musculocutaneous and median nerves is quite unusual. A similar report underscores the finding of the bilateral coracobrachialis muscle variant.</t>
  </si>
  <si>
    <t>[Tsakotos, George; Triantafyllou, George; Karampelias, Vasileios; Piagkou, Maria] Natl &amp; Kapodistrian Univ Athens, Anat, Athens, Greece; [Olewnik, Lukasz; Zielinska, Nicol] Med Univ Lodz, Anat Dissect &amp; Donat, Lodz, Poland; [Georgiev, Georgi P.] Univ Hosp Queen Giovanna ISUL, Orthopaed &amp; Traumatol, Sofia, Spain; [Koutserimpas, Christos] 251 Hellen AF Gen Hosp Athens, Orthopaed &amp; Traumatol, Athens, Greece</t>
  </si>
  <si>
    <t>National &amp; Kapodistrian University of Athens; Medical University Lodz</t>
  </si>
  <si>
    <t>Tsakotos, G (corresponding author), Natl &amp; Kapodistrian Univ Athens, Anat, Athens, Greece.</t>
  </si>
  <si>
    <t>gtsakotos@gmail.com</t>
  </si>
  <si>
    <t>Triantafyllou, George/HOC-6645-2023</t>
  </si>
  <si>
    <t>e43496</t>
  </si>
  <si>
    <t>10.7759/cureus.43496</t>
  </si>
  <si>
    <t>WOS:001058405100007</t>
  </si>
  <si>
    <t>Usta, NC; Gunay, BO</t>
  </si>
  <si>
    <t>Usta, Nuray Can; Gunay, Betul Onal</t>
  </si>
  <si>
    <t>Is the ganglion cell layer thickness to macular thickness ratio a new biomarker for multiple sclerosis?</t>
  </si>
  <si>
    <t>Multiple sclerosis; Optic coherence tomography; Retinal layers; Choroidal thickness; Ganglion cell layer thickness-to-macular thickness</t>
  </si>
  <si>
    <t>NERVE-FIBER LAYER; OPTICAL COHERENCE TOMOGRAPHY; CHOROIDAL THICKNESS; DEGENERATION; GLAUCOMA; WHITE</t>
  </si>
  <si>
    <t>PurposeGanglion cell layer thickness (GCLT)-to-total macular thickness (MT) is a new parameter that has not been studied in multiple sclerosis (MS) before. The current study aims to reveal the status of the GCLT-to-MT ratio in MS and its role in supporting the diagnosis of MS.MethodsIn this retrospective and cross sectional study, the medical records of the MS patients between January 2016 and December 2021 were reviewed. Age-sex matched healthy control group was generated. Demographic and clinical data recorded. All participants were examined using a spectral-domain optic coherence tomography (OCT) device. Retinal layers, choroidal thickness (CT) was recorded. GCLT-to-MT ratio was calculated.ResultsA total of 74 eyes of 37 MS (9 male,28 female) patients and 82 eyes of 41 control (13 male, 28 female) were included in the study. The mean age was 37 &amp; PLUSMN; 9.0 (years) in MS group. The MS patients and the control group were compared in terms of OCT parameters, CT was thicker at all regions in MS patients (p &lt; 0.001). Macular thickness, GCLT, and inner plexiform layer thickness (IPLT) were thinner than the control group (p &lt; 0.05). For distinguishing MS patients from healthy subjects, AUROC values for central GCLT/MT, temporal GCLT/MT, superior GCLT/MT, nasal GCLT/MT, and inferior GCLT/MT were 0.717, 0.689, 0.694, 0.733, and 0.740, respectively.ConclusionsIn conclusion MT, GCLT, and IPLT thickness were thinner in MS patients, regardless of optic neuritis. The AUROC values of GCLT/MT were high and GCLT/MT ratio may be a helpful modality in demonstrating retinal neurodegeneration in MS patients.</t>
  </si>
  <si>
    <t>[Usta, Nuray Can] Univ Hlth Sci, Trabzon Kanuni Training &amp; Res Hosp, Dept Neurol, Inonu Mah,Maras Cad, Ortahisar, Trabzon, Turkiye; [Gunay, Betul Onal] Univ Hlth Sci, Trabzon Kanuni Training &amp; Res Hosp, Dept Ophthalmol, Ortahisar, Trabzon, Turkiye</t>
  </si>
  <si>
    <t>University of Health Sciences Turkey; Trabzon Kanuni Training &amp; Research Hospital; Trabzon Kanuni Training &amp; Research Hospital; University of Health Sciences Turkey</t>
  </si>
  <si>
    <t>Usta, NC (corresponding author), Univ Hlth Sci, Trabzon Kanuni Training &amp; Res Hosp, Dept Neurol, Inonu Mah,Maras Cad, Ortahisar, Trabzon, Turkiye.</t>
  </si>
  <si>
    <t>dr.nuraycan@hotmail.com</t>
  </si>
  <si>
    <t>Can Usta, Nuray/0000-0001-9238-1194; Gunay, Betul Onal/0000-0001-5465-2635</t>
  </si>
  <si>
    <t>10.1007/s10792-023-02839-3</t>
  </si>
  <si>
    <t>S1JN7</t>
  </si>
  <si>
    <t>WOS:001050907900001</t>
  </si>
  <si>
    <t>Zhang, N; Wang, HZ</t>
  </si>
  <si>
    <t>Zhang, Ning; Wang, Huizhong</t>
  </si>
  <si>
    <t>Development of a remote music teaching system based on facial recognition and deep learning</t>
  </si>
  <si>
    <t>Facial recognition; Deep learning; Distance learning; System development</t>
  </si>
  <si>
    <t>EDUCATION</t>
  </si>
  <si>
    <t>With the continuous progress of computer and network technology, teaching methods and educational models are also constantly evolving and improving. The development of facial recognition technology has brought new opportunities and challenges to the development of educational theory and systems. This article establishes a remote music teaching system based on facial recognition and deep learning technology. The system adopts the Java EE framework structure and deep learning technology. By conducting deep learning and training on a large amount of facial data, we can identify students' facial expressions and emotional states, thereby better understanding their learning status and needs. At the same time, the system also supports multiple teaching modes and interactive methods, providing teachers and students with a more convenient and efficient teaching management and learning experience. Subsequently, this article evaluated and explored the effectiveness of the remote music teaching system through a questionnaire survey. The results show that most students believe that the system can help them better master basic music knowledge and professional skills, improve learning effectiveness and achieve learning goals. The use of the system can also stimulate students' interest in music learning, providing new ways and means for teaching.</t>
  </si>
  <si>
    <t>[Zhang, Ning; Wang, Huizhong] Nanyang Inst Technol, Fac Teacher Educ, Nanyang 473004, Henan, Peoples R China</t>
  </si>
  <si>
    <t>Nanyang Institute of Technology</t>
  </si>
  <si>
    <t>Wang, HZ (corresponding author), Nanyang Inst Technol, Fac Teacher Educ, Nanyang 473004, Henan, Peoples R China.</t>
  </si>
  <si>
    <t>18203849295@163.com</t>
  </si>
  <si>
    <t>Henan Province Higher Education Teaching Reform Research and Practice Project: Music Appreciation course Ideological and political education effect improvement research and practice [2021SJGLX537]</t>
  </si>
  <si>
    <t>Henan Province Higher Education Teaching Reform Research and Practice Project: Music Appreciation course Ideological and political education effect improvement research and practice</t>
  </si>
  <si>
    <t>&amp; nbsp;This paper was supported by Henan Province Higher Education Teaching Reform Research and Practice Project: Music Appreciation course Ideological and political education effect improvement research and practice, No.: 2021SJGLX537.</t>
  </si>
  <si>
    <t>10.1007/s00500-023-09120-w</t>
  </si>
  <si>
    <t>P2GE8</t>
  </si>
  <si>
    <t>WOS:001048868100006</t>
  </si>
  <si>
    <t>Albahri, OS; Al-Samarraay, MS; AlSattar, HA; Alamoodi, AH; Zaidan, AA; Albahri, AS; Zaidan, BB; Jasim, AN</t>
  </si>
  <si>
    <t>Albahri, O. S.; Al-Samarraay, Mohammed S.; AlSattar, H. A.; Alamoodi, A. H.; Zaidan, A. A.; Albahri, A. S.; Zaidan, B. B.; Jasim, Ali Najm</t>
  </si>
  <si>
    <t>Rough Fermatean fuzzy decision-based approach for modelling IDS classifiers in the federated learning of IoMT applications</t>
  </si>
  <si>
    <t>Federated learning applications; IoMT; Classifiers; Multi-criteria decision-making</t>
  </si>
  <si>
    <t>NEURAL-NETWORK; SUSTAINABLE TRANSPORTATION; MULTICRITERIA ANALYSIS; TRACKING CHANNELS; SELECTION PROBLEM; BENCHMARKING; METHODOLOGY; FRAMEWORK; MACHINE; OPTIMIZATION</t>
  </si>
  <si>
    <t>Intrusion detection systems (IDSs) are commonly employed to mitigate network security threats in various fields, including federated learning applications within the Internet of Medical Things (IoMT). However, IDSs face challenges owing to the sheer volume of network traffic, high-dimensional datasets and the necessity for real-time detection. Although machine learning integration assists IDSs in overcoming these challenges, modelling difficulties persist due to varied evaluation criteria and levels of conflict and importance. Multi-criteria decision-making (MCDM) solutions have been utilised in IoMT and IDS, yet they fall short in capturing the subjective judgements of experts and rely on normalisation approaches, which can impact results. This study seeks to address these issues through the integration of robust MCDM methodologies, namely fuzzy-weighted zero-inconsistency (FWZIC) and fuzzy decision by opinion score method (FDOSM). Utilising rough Fermatean fuzzy sets (RFFSs), this integration produces precise solutions with reduced uncertainty. Our methodology involves adopting a decision matrix for IDS classifiers based on integrated evaluation criteria, followed by deriving new formulations and developments for RFFSs-based FDOSM and FWZIC for the modelling and weighting of criteria, respectively. Evaluations using datasets involving 125,973 records and 41 features across 17 evaluation criteria revealed that accuracy-security and training time-performance weights yielded the highest scores, whereas false negative rate-security and CPU time-performance criteria received the lowest weights. The random forest emerged as the optimal IDS classifier. Systematic modelling, sensitivity analysis and comparative studies confirmed the robustness of our results.</t>
  </si>
  <si>
    <t>[Albahri, O. S.] Mazaya Univ Coll, Comp Tech Engn Dept, Nassiriya 12733, Thi Qar, Iraq; [Al-Samarraay, Mohammed S.; Alamoodi, A. H.] Univ Pendidikan Sultan Idris, Fac Comp &amp; Meta Technol, Tanjong Malim 35900, Perak, Malaysia; [AlSattar, H. A.] Univ Mashreq, Coll Adm Sci, Dept Business Adm, Baghdad 10021, Iraq; [Zaidan, A. A.] SP Jain Sch Global Management, Sydney, NSW 2141, Australia; [Albahri, A. S.] Iraqi Commiss Comp &amp; Informat, Baghdad 10022, Iraq; [Zaidan, B. B.] Natl Yunlin Univ Sci &amp; Technol, Coll Future, Future Technol Res Ctr, 123 Univ Rd,Sect 3, Touliu 64002, Yunlin, Taiwan; [Jasim, Ali Najm] Fdn Alshuhda, Baghdad, Iraq; [AlSattar, H. A.] Middle East Univ, MEU Res Unit, Amman, Jordan</t>
  </si>
  <si>
    <t>Universiti Pendidikan Sultan Idris; National Yunlin University Science &amp; Technology; Middle East University</t>
  </si>
  <si>
    <t>Zaidan, AA (corresponding author), SP Jain Sch Global Management, Sydney, NSW 2141, Australia.</t>
  </si>
  <si>
    <t>aos.aljuboori@spjain.edu.au</t>
  </si>
  <si>
    <t>Albahri, A.S./E-7428-2018; A.Alsattar, Hassan/S-1079-2017; Albahrey, Osamah Shihab/D-5150-2018</t>
  </si>
  <si>
    <t>Albahri, A.S./0000-0003-3335-457X; A.Alsattar, Hassan/0000-0003-1182-936X; Albahrey, Osamah Shihab/0000-0002-7844-3990</t>
  </si>
  <si>
    <t>2023 AUG 13</t>
  </si>
  <si>
    <t>10.1007/s00521-023-08933-y</t>
  </si>
  <si>
    <t>P4IC9</t>
  </si>
  <si>
    <t>WOS:001050289300002</t>
  </si>
  <si>
    <t>Drew, K; Kronlage, R; Cha, S; Thatayatikom, A; Schrepfer, T</t>
  </si>
  <si>
    <t>Drew, Kristin; Kronlage, Rene; Cha, Seunghee; Thatayatikom, Akaluck; Schrepfer, Thomas</t>
  </si>
  <si>
    <t>Long-term efficacy of sialendoscopy in treating childhood Sjogren's disease with chronological monitoring by salivary gland ultrasonography: A novel approach</t>
  </si>
  <si>
    <t>Childhood Sjogren's Disease; Recurrent parotitis; Pediatric; Salivary gland Ultrasonography (SGUS); Sialendoscopy; Sicca symptoms</t>
  </si>
  <si>
    <t>CLASSIFICATION CRITERIA; AMERICAN-COLLEGE; DATA-DRIVEN; CONSENSUS; XEROSTOMIA; FEATURES</t>
  </si>
  <si>
    <t>BackgroundChildhood Sjogren's Disease (cSjD) is an underdiagnosed phenomenon with clinical and pathophysiological nuances in contrast to Sjogren's Disease (SjD) in the adult population. While adults typically experience sicca symptoms, children with cSjD often present with recurrent parotitis, diverse autoantibody profiles, and renal and neurological manifestations. Diagnosis and classification in pediatric rheumatology remain controversial due to the reliance on adult-focused diagnostic criteria and the lack of standardized treatment and understanding of outcomes. The purpose of the paper is to propose a multimodal treatment plan and demonstrate the effectiveness of sialendoscopy in the management of cSjD.Case PresentationWe present the case of a twelve-year-old female diagnosed with cSjD using the 2016 American College of Rheumatology (ACR) and the European League Against Rheumatism (EULAR) diagnostic criteria for SjD. In addition to medical management, she underwent sialendoscopy with triamcinolone irrigation under sedation and was monitored for progress via salivary gland ultrasonography (SGUS). Over the course of one year, she demonstrated significant improvement in symptoms, with serial SGUS scores gradually decreasing by five points.ConclusionsThis paper proposes a multimodal treatment plan involving sialendoscopy and medical management as a non-invasive and potentially more effective approach for cSjD. Standardized monitoring through SGUS scoring allows objective and quantifiable measurement of treatment progress, enabling better assessment of glandular tissue status. Recurrence is possible, and each cSjD patient may present differently. Nevertheless, our year-long observation of a patient with cSjD demonstrates that sialendoscopy, as seen in adults, can promote remission of recurrent parotitis in children as well.</t>
  </si>
  <si>
    <t>[Drew, Kristin; Kronlage, Rene] Univ Florida, Coll Med, Gainesville, FL USA; [Cha, Seunghee] Univ Florida, Dept Oral &amp; Maxillofacial Diagnost Sci, Gainesville, FL USA; [Thatayatikom, Akaluck] Advent Hlth, Dept Pediat Rheumatol, Orlando, FL USA; [Schrepfer, Thomas] Univ Florida, Coll Med, Dept Otolaryngol ENT Otolaryngol Head &amp; Neck Surg, 1345 Ctr Dr,M2-228,Box 100264, Gainesville, FL 32610 USA</t>
  </si>
  <si>
    <t>State University System of Florida; University of Florida; State University System of Florida; University of Florida; Adventist Health Services; AdventHealth; (AdventHealth) Central Florida Division; Central Florida Hospital - South; AdventHealth Orlando; State University System of Florida; University of Florida</t>
  </si>
  <si>
    <t>Schrepfer, T (corresponding author), Univ Florida, Coll Med, Dept Otolaryngol ENT Otolaryngol Head &amp; Neck Surg, 1345 Ctr Dr,M2-228,Box 100264, Gainesville, FL 32610 USA.</t>
  </si>
  <si>
    <t>thomas.schrepfer@ent.ufl.edu</t>
  </si>
  <si>
    <t>Schrepfer, Thomas/0000-0001-7817-9926</t>
  </si>
  <si>
    <t>AUG 13</t>
  </si>
  <si>
    <t>10.1186/s12969-023-00870-3</t>
  </si>
  <si>
    <t>P1IS1</t>
  </si>
  <si>
    <t>WOS:001048251400001</t>
  </si>
  <si>
    <t>Jiang, LZ; Zhao, YT; Zhang, YT; Zhou, WB; Zhong, BF; Lai, ZP; Feng, YL</t>
  </si>
  <si>
    <t>Jiang, Lizhong; Zhao, Yinting; Zhang, Yuntai; Zhou, Wangbao; Zhong, Bufan; Lai, Zhipeng; Feng, Yulin</t>
  </si>
  <si>
    <t>Seismic applicability analysis of high-speed railway multi-span simply-supported bridges based on simplified model</t>
  </si>
  <si>
    <t>ARCHIVES OF CIVIL AND MECHANICAL ENGINEERING</t>
  </si>
  <si>
    <t>High-speed railway simply-supported bridge; Simplified model; Track constraint; Seismic applicability</t>
  </si>
  <si>
    <t>TRACK; VEHICLE</t>
  </si>
  <si>
    <t>CRTS II ballastless track is more commonly used in railway operations since it can meet the railway comfort and smoothness requirements. The effects of track constraint on the seismic response of high-speed railway simply-supported bridges can not be neglected. However, refined track structure modeling can significantly increase the computational time. Therefore, adopting a reasonably simplified model (SM) can improve computational efficiency effectively. Based on the principle of virtual work, the equivalent system is adopted instead of the track structure, and build a simplified model of bridge-track system. And on the basis of considering the randomness of the earthquake, the seismic response of the track-bridge model, the simplified model and the trackless model with different span numbers are compared, the over-capacity ratio and track constraint effect of the high-speed railway bridge-track system under the earthquake are analyzed. The analysis shows that the simplified efficiency of simplified model is up to 85% under longitudinal and transverse ground motions, and the seismic responses are in good agreement with those of the bridge-track system model; The track structure has a greater influence on the safety of the over-capacity probability (SPO) of the bridge structure under the longitudinal ground motion, particularly when the number of spans is high and ignoring the track structure may underestimate the over-capacity probability of some structures.</t>
  </si>
  <si>
    <t>[Jiang, Lizhong; Zhao, Yinting; Zhang, Yuntai; Zhou, Wangbao; Zhong, Bufan; Lai, Zhipeng] Cent South Univ, Sch Civil Engn, Changsha 410075, Peoples R China; [Jiang, Lizhong] Natl Engn Res Ctr High Speed Railway Construct Tec, Changsha 410075, Peoples R China; [Feng, Yulin] East China Jiaotong Univ, Sch Civil Engn &amp; Architecture, Nanchang 330013, Peoples R China</t>
  </si>
  <si>
    <t>Central South University; East China Jiaotong University</t>
  </si>
  <si>
    <t>Zhang, YT (corresponding author), Cent South Univ, Sch Civil Engn, Changsha 410075, Peoples R China.</t>
  </si>
  <si>
    <t>zhangyuntai@csu.edu.cn</t>
  </si>
  <si>
    <t>National Natural Science Foundations of China [U1934207, 52078487, 52178180, 52268074]; National key research and development plan project [2022YFC3004300]; China Railway Corporation Limited Science and technology research and development program [2020-major-02]; Transportation Science and Technology Project of Hunan [202011]; Frontier cross research project of Central South University [2023QYJC006]</t>
  </si>
  <si>
    <t>National Natural Science Foundations of China(National Natural Science Foundation of China (NSFC)); National key research and development plan project; China Railway Corporation Limited Science and technology research and development program; Transportation Science and Technology Project of Hunan; Frontier cross research project of Central South University</t>
  </si>
  <si>
    <t>AcknowledgementsThe research described in this study was financially supported by the National Natural Science Foundations of China (U1934207, 52078487, 52178180, 52268074), National key research and development plan project (2022YFC3004300), China Railway Corporation Limited Science and technology research and development program (2020-major-02), Transportation Science and Technology Project of Hunan (202011), Frontier cross research project of Central South University (2023QYJC006).</t>
  </si>
  <si>
    <t>1644-9665</t>
  </si>
  <si>
    <t>2083-3318</t>
  </si>
  <si>
    <t>ARCH CIV MECH ENG</t>
  </si>
  <si>
    <t>Arch. Civ. Mech. Eng.</t>
  </si>
  <si>
    <t>10.1007/s43452-023-00753-0</t>
  </si>
  <si>
    <t>Engineering, Civil; Engineering, Mechanical; Materials Science, Multidisciplinary</t>
  </si>
  <si>
    <t>P4MH2</t>
  </si>
  <si>
    <t>WOS:001050398700001</t>
  </si>
  <si>
    <t>Maltsev, V</t>
  </si>
  <si>
    <t>Maltsev, Vladimir</t>
  </si>
  <si>
    <t>Religious reforms and large-scale rebellions (via the case of the Honganji sect of the True Pure Land Buddhism)</t>
  </si>
  <si>
    <t>Honganji; Religious reforms; Paradise; Hell; Large-scale rebellions; Japan</t>
  </si>
  <si>
    <t>ECONOMICS; DILEMMA</t>
  </si>
  <si>
    <t>The paper explores the economics behind two large-scale rebellions in Japan throughout 1532-1536 and 1570-1580, launched by a religious organization called Honganji. The paper argues that Honganji's large-scale rebellions took off primarily due to religious reforms, particularly, the creation of an after-life pardon doctrine, which enabled the functioning of more potent incentives that fostered participation. First, the doctrine raised the costs of not joining a rebellion by excluding the non-participants and consigning them to hell. This resulted in immediate spiritual, social and economic penalties, as condemned individuals were considered religiously corrupt and were expelled from the sect's temple towns and sect-dominated village communities. Second, the after-life pardon doctrine reduced the costs of rebellious participation by guaranteeing an instant rebirth in paradise after dying for the sect's cause. As many individuals at the time saw the world through the lens of religion and spirituality, the guarantee of paradise was an especially potent incentive to join a rebellion.</t>
  </si>
  <si>
    <t>[Maltsev, Vladimir] Univ Glasgow, Adam Smith Business Sch, Glasgow, Scotland</t>
  </si>
  <si>
    <t>Maltsev, V (corresponding author), Univ Glasgow, Adam Smith Business Sch, Glasgow, Scotland.</t>
  </si>
  <si>
    <t>vladimir.maltsev@glasgow.ac.uk</t>
  </si>
  <si>
    <t>10.1007/s11127-023-01096-3</t>
  </si>
  <si>
    <t>P2EH2</t>
  </si>
  <si>
    <t>WOS:001048818400002</t>
  </si>
  <si>
    <t>Zhang, D; Tian, HL; Liu, XL; Zhang, YR; Li, H; Zhan, HX</t>
  </si>
  <si>
    <t>Zhang, Dan; Tian, Hongling; Liu, Xiaoli; Zhang, Yuerong; Li, Hui; Zhan, Haixian</t>
  </si>
  <si>
    <t>Development and application of simple sequence repeat markers based on whole-genome sequencing in Codonopsis lanceolata</t>
  </si>
  <si>
    <t>GENETIC RESOURCES AND CROP EVOLUTION</t>
  </si>
  <si>
    <t>Codonopsis lanceolata; SSR marker; Genetic diversity; Clustering analysis; Fingerprint code</t>
  </si>
  <si>
    <t>GENE FLOW; SSR MARKERS; EXPECTED HETEROZYGOSITY; POPULATION-STRUCTURE; DIVERSITY; DNA; NUMBER; L.</t>
  </si>
  <si>
    <t>The content of medicinal components of Codonopsis pilosula differ greatly in various habitats. The development of specific molecular markers is of great significance for the identification of different cultivars of C. pilosula. In this study, 1,379,041 primer pairs were designed based on the whole genome of C. lanceolata. Of these, six pairs of primers were able to amplify polymorphic bands. We performed genetic diversity analysis and constructed a cluster tree and DNA fingerprint of the three groups: mixed, wild and cultivated C. pilosula materials. The results were as follows: first, the mixed materials had an average observed number of alleles (Na) of 7.6667, an average effective number of alleles (Ne) of 4.6058, an average Shannon's information index (I) of 1.7128, an average expected homozygosty (Exp Hom) of 0.2118, an average expected heterozygosity (Exp Het) of 0.7882, an average expected heterozygosity of Nei's (Ht) of 0.7798, and an average gene flow (Nm) of 0.1281. Second, the cultivated accessions were as follows: Na = 4.6667, Ne = 2.5956, I = 1.0702, Exp Hom = 0.4234, Exp Het = 0.5766, Ht = 0.5755, and Nm = 0.5253. Finally, the accessions of the wild materials were as follows: Na = 5.333, Ne = 2.8769, I = 1.2771, Exp Hom = 0.3556, Exp Het = 0.6444, Ht = 0.6433, and Nm = 0.5314. In addition, the results of cluster analysis showed that mixed, wild and cultivated materials were clustered into 4, 4 and 3 subgroups, respectively. Furthermore, we performed DNA fingerprinting of 47 mixed materials. These results are valuable for the identification and genetic analysis of C. pilosula from different sources in Shanxi Province.</t>
  </si>
  <si>
    <t>[Zhang, Dan; Liu, Xiaoli; Zhang, Yuerong; Li, Hui; Zhan, Haixian] Shanxi Univ Chinese Med, Inst Pharmaceut &amp; Food Engn, Jinzhong 030619, Peoples R China; [Tian, Hongling] Shanxi Agr Univ, Inst Econ Crops, Fenyang 032200, Peoples R China</t>
  </si>
  <si>
    <t>Shanxi University of Chinese Medicine; Shanxi Agricultural University</t>
  </si>
  <si>
    <t>Zhan, HX (corresponding author), Shanxi Univ Chinese Med, Inst Pharmaceut &amp; Food Engn, Jinzhong 030619, Peoples R China.</t>
  </si>
  <si>
    <t>zhan030006@sxtcm.edu.cn</t>
  </si>
  <si>
    <t>Jiang, Yu/JEZ-9814-2023; yang, peng/JEZ-8452-2023; Yang, Tian/JFB-1008-2023; WANG, YANG/JFA-8821-2023</t>
  </si>
  <si>
    <t>Shanxi Provincial Program of key R amp; D projects (China) [201903D221053]; Applied Basic Research Programs of Shanxi Province (China) [201901D211540]; earmarked fund for Modern Agro-industry Technology Research System (China) [202111]; Doctoral foundation of Shanxi University of Chinese Medicine (China) [2020BK05]</t>
  </si>
  <si>
    <t>Shanxi Provincial Program of key R amp; D projects (China); Applied Basic Research Programs of Shanxi Province (China); earmarked fund for Modern Agro-industry Technology Research System (China); Doctoral foundation of Shanxi University of Chinese Medicine (China)</t>
  </si>
  <si>
    <t>This work was supported by Shanxi Provincial Program of key R &amp; amp; D projects (China) (No. 201903D221053), Applied Basic Research Programs of Shanxi Province (China) (No. 201901D211540), the earmarked fund for Modern Agro-industry Technology Research System (China) (No. 2021-11) and Doctoral foundation of Shanxi University of Chinese Medicine (China) (2020BK05).</t>
  </si>
  <si>
    <t>0925-9864</t>
  </si>
  <si>
    <t>1573-5109</t>
  </si>
  <si>
    <t>GENET RESOUR CROP EV</t>
  </si>
  <si>
    <t>Genet. Resour. Crop Evol.</t>
  </si>
  <si>
    <t>10.1007/s10722-023-01647-z</t>
  </si>
  <si>
    <t>Agronomy; Plant Sciences</t>
  </si>
  <si>
    <t>Agriculture; Plant Sciences</t>
  </si>
  <si>
    <t>P3OY0</t>
  </si>
  <si>
    <t>WOS:001049781700003</t>
  </si>
  <si>
    <t>Beni, T; Boldini, D; Crosta, GB; Frodella, W; Gallego, JI; Lusini, E; Margottini, C; Spizzichino, D</t>
  </si>
  <si>
    <t>Beni, Tommaso; Boldini, Daniela; Crosta, Giovanni Battista; Frodella, William; Gallego, Jose Ignacio; Lusini, Edoardo; Margottini, Claudio; Spizzichino, Daniele</t>
  </si>
  <si>
    <t>Rock instabilities at the archaeological site of Dadan (Kingdom of Saudi Arabia)</t>
  </si>
  <si>
    <t>LANDSLIDES</t>
  </si>
  <si>
    <t>AlUla; Dadan; Kingdom of Saudi Arabia; Slope stability; Geohazards; Cultural heritage preservation</t>
  </si>
  <si>
    <t>UNMANNED AERIAL VEHICLE; PHOTOGRAMMETRY; SLOPE</t>
  </si>
  <si>
    <t>This paper provides a summary of the investigations carried out for the preliminary assessment of potential geohazards affecting the archaeological site of Dadan in the Kingdom of Saudi Arabia. The site is characterized by the presence of Cambro-Ordovician sandstone cliffs (Siq formation), which were quarried in ancient times (Dadan/Lihyan kingdom) for building materials. Both the steep quarried portion (Upper Siq) and the gentler underlying slope (Middle Siq) contain tombs of significant archaeological value. Landsliding and erosion are the main geomorphological processes affecting the site, posing risks to the safety of visitors, archaeological workers, and the preservation of the site. The primary processes affecting the rock cliffs, the underlying slope talus, and the tombs were identified using geological and geomechanical surveys, in addition to various geomatic acquisitions. The mechanical properties of the rock formations and discontinuity sets were identified through laboratory testing and in situ surveying, respectively. This information represents the first step in promoting further actions for risk mitigation and site management.</t>
  </si>
  <si>
    <t>[Beni, Tommaso; Frodella, William] Univ Florence, Dept Earth Sci, Via G La Pira 4, I-50121 Florence, Italy; [Beni, Tommaso] Natl Inst Nucl Phys INFN, Div Florence, Via Bruno Rossi 1, I-50019 Sesto Fiorentino, Italy; [Boldini, Daniela] Sapienza Univ Rome, Dept Chem Engn Mat Environm, Via Eudossiana 18, I-00184 Rome, Italy; [Crosta, Giovanni Battista] Univ Milano Bicocca, Dept Earth &amp; Environm Sci, Piazza Sci 4, I-20126 Milan, Italy; [Frodella, William; Margottini, Claudio; Spizzichino, Daniele] Univ Florence, UNESCO Chair Prevent &amp; Sustainable Management Geoh, Largo Fermi 2, I-50125 Florence, Italy; [Gallego, Jose Ignacio] AlUla, RCU Royal Commiss AlUla, Riyadh, Saudi Arabia; [Lusini, Edoardo] Univ Bologna, Dept Civil Chem Environm &amp; Mat Engn, Via Terracini 28, I-40131 Bologna, Italy; [Spizzichino, Daniele] ISPRA, Depart Geol Survey Italy, Via Vitaliano Brancati 48, I-00144 Rome, Italy</t>
  </si>
  <si>
    <t>University of Florence; Gran Sasso Science Institute (GSSI); Istituto Nazionale di Fisica Nucleare (INFN); Sapienza University Rome; University of Milano-Bicocca; University of Florence; University of Bologna; Italian Institute for Environmental Protection &amp; Research (ISPRA)</t>
  </si>
  <si>
    <t>Boldini, D (corresponding author), Sapienza Univ Rome, Dept Chem Engn Mat Environm, Via Eudossiana 18, I-00184 Rome, Italy.</t>
  </si>
  <si>
    <t>daniela.boldini@uniroma1.it</t>
  </si>
  <si>
    <t>BOLDINI, DANIELA/0000-0001-7423-043X; Gallego, Jose Ignacio/0000-0002-1299-8029; Crosta, Giovanni/0000-0002-3002-3188; Beni, Tommaso/0000-0002-8211-7784</t>
  </si>
  <si>
    <t>1612-510X</t>
  </si>
  <si>
    <t>1612-5118</t>
  </si>
  <si>
    <t>Landslides</t>
  </si>
  <si>
    <t>2023 AUG 12</t>
  </si>
  <si>
    <t>10.1007/s10346-023-02122-7</t>
  </si>
  <si>
    <t>O9KU7</t>
  </si>
  <si>
    <t>WOS:001046943600001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</si>
</sst>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001"/>
  <sheetViews>
    <sheetView tabSelected="1" workbookViewId="0"/>
  </sheetViews>
  <sheetFormatPr baseColWidth="10" defaultRowHeight="13" x14ac:dyDescent="0.15"/>
  <cols>
    <col min="1" max="256" width="8.83203125" customWidth="1"/>
  </cols>
  <sheetData>
    <row r="1" spans="1:72"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15">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81</v>
      </c>
      <c r="V2" t="s">
        <v>82</v>
      </c>
      <c r="W2" t="s">
        <v>83</v>
      </c>
      <c r="X2" t="s">
        <v>84</v>
      </c>
      <c r="Y2" t="s">
        <v>85</v>
      </c>
      <c r="Z2" t="s">
        <v>86</v>
      </c>
      <c r="AA2" t="s">
        <v>74</v>
      </c>
      <c r="AB2" t="s">
        <v>74</v>
      </c>
      <c r="AC2" t="s">
        <v>74</v>
      </c>
      <c r="AD2" t="s">
        <v>74</v>
      </c>
      <c r="AE2" t="s">
        <v>74</v>
      </c>
      <c r="AF2" t="s">
        <v>74</v>
      </c>
      <c r="AG2">
        <v>30</v>
      </c>
      <c r="AH2">
        <v>0</v>
      </c>
      <c r="AI2">
        <v>0</v>
      </c>
      <c r="AJ2">
        <v>0</v>
      </c>
      <c r="AK2">
        <v>0</v>
      </c>
      <c r="AL2" t="s">
        <v>87</v>
      </c>
      <c r="AM2" t="s">
        <v>88</v>
      </c>
      <c r="AN2" t="s">
        <v>89</v>
      </c>
      <c r="AO2" t="s">
        <v>90</v>
      </c>
      <c r="AP2" t="s">
        <v>91</v>
      </c>
      <c r="AQ2" t="s">
        <v>74</v>
      </c>
      <c r="AR2" t="s">
        <v>92</v>
      </c>
      <c r="AS2" t="s">
        <v>93</v>
      </c>
      <c r="AT2" t="s">
        <v>94</v>
      </c>
      <c r="AU2">
        <v>2023</v>
      </c>
      <c r="AV2">
        <v>21</v>
      </c>
      <c r="AW2">
        <v>4</v>
      </c>
      <c r="AX2" t="s">
        <v>74</v>
      </c>
      <c r="AY2" t="s">
        <v>74</v>
      </c>
      <c r="AZ2" t="s">
        <v>74</v>
      </c>
      <c r="BA2" t="s">
        <v>74</v>
      </c>
      <c r="BB2" t="s">
        <v>74</v>
      </c>
      <c r="BC2" t="s">
        <v>74</v>
      </c>
      <c r="BD2">
        <v>72</v>
      </c>
      <c r="BE2" t="s">
        <v>95</v>
      </c>
      <c r="BF2" t="str">
        <f>HYPERLINK("http://dx.doi.org/10.1007/s40944-023-00740-6","http://dx.doi.org/10.1007/s40944-023-00740-6")</f>
        <v>http://dx.doi.org/10.1007/s40944-023-00740-6</v>
      </c>
      <c r="BG2" t="s">
        <v>74</v>
      </c>
      <c r="BH2" t="s">
        <v>74</v>
      </c>
      <c r="BI2">
        <v>7</v>
      </c>
      <c r="BJ2" t="s">
        <v>96</v>
      </c>
      <c r="BK2" t="s">
        <v>97</v>
      </c>
      <c r="BL2" t="s">
        <v>96</v>
      </c>
      <c r="BM2" t="s">
        <v>98</v>
      </c>
      <c r="BN2" t="s">
        <v>74</v>
      </c>
      <c r="BO2" t="s">
        <v>74</v>
      </c>
      <c r="BP2" t="s">
        <v>74</v>
      </c>
      <c r="BQ2" t="s">
        <v>74</v>
      </c>
      <c r="BR2" t="s">
        <v>99</v>
      </c>
      <c r="BS2" t="s">
        <v>100</v>
      </c>
      <c r="BT2" t="str">
        <f>HYPERLINK("https%3A%2F%2Fwww.webofscience.com%2Fwos%2Fwoscc%2Ffull-record%2FWOS:001062132200001","View Full Record in Web of Science")</f>
        <v>View Full Record in Web of Science</v>
      </c>
    </row>
    <row r="3" spans="1:72" x14ac:dyDescent="0.15">
      <c r="A3" t="s">
        <v>72</v>
      </c>
      <c r="B3" t="s">
        <v>101</v>
      </c>
      <c r="C3" t="s">
        <v>74</v>
      </c>
      <c r="D3" t="s">
        <v>74</v>
      </c>
      <c r="E3" t="s">
        <v>74</v>
      </c>
      <c r="F3" t="s">
        <v>102</v>
      </c>
      <c r="G3" t="s">
        <v>74</v>
      </c>
      <c r="H3" t="s">
        <v>74</v>
      </c>
      <c r="I3" t="s">
        <v>103</v>
      </c>
      <c r="J3" t="s">
        <v>104</v>
      </c>
      <c r="K3" t="s">
        <v>74</v>
      </c>
      <c r="L3" t="s">
        <v>74</v>
      </c>
      <c r="M3" t="s">
        <v>78</v>
      </c>
      <c r="N3" t="s">
        <v>105</v>
      </c>
      <c r="O3" t="s">
        <v>74</v>
      </c>
      <c r="P3" t="s">
        <v>74</v>
      </c>
      <c r="Q3" t="s">
        <v>74</v>
      </c>
      <c r="R3" t="s">
        <v>74</v>
      </c>
      <c r="S3" t="s">
        <v>74</v>
      </c>
      <c r="T3" t="s">
        <v>106</v>
      </c>
      <c r="U3" t="s">
        <v>107</v>
      </c>
      <c r="V3" t="s">
        <v>108</v>
      </c>
      <c r="W3" t="s">
        <v>109</v>
      </c>
      <c r="X3" t="s">
        <v>110</v>
      </c>
      <c r="Y3" t="s">
        <v>111</v>
      </c>
      <c r="Z3" t="s">
        <v>112</v>
      </c>
      <c r="AA3" t="s">
        <v>113</v>
      </c>
      <c r="AB3" t="s">
        <v>114</v>
      </c>
      <c r="AC3" t="s">
        <v>115</v>
      </c>
      <c r="AD3" t="s">
        <v>115</v>
      </c>
      <c r="AE3" t="s">
        <v>116</v>
      </c>
      <c r="AF3" t="s">
        <v>74</v>
      </c>
      <c r="AG3">
        <v>457</v>
      </c>
      <c r="AH3">
        <v>6</v>
      </c>
      <c r="AI3">
        <v>6</v>
      </c>
      <c r="AJ3">
        <v>45</v>
      </c>
      <c r="AK3">
        <v>94</v>
      </c>
      <c r="AL3" t="s">
        <v>117</v>
      </c>
      <c r="AM3" t="s">
        <v>118</v>
      </c>
      <c r="AN3" t="s">
        <v>119</v>
      </c>
      <c r="AO3" t="s">
        <v>120</v>
      </c>
      <c r="AP3" t="s">
        <v>121</v>
      </c>
      <c r="AQ3" t="s">
        <v>74</v>
      </c>
      <c r="AR3" t="s">
        <v>122</v>
      </c>
      <c r="AS3" t="s">
        <v>123</v>
      </c>
      <c r="AT3" t="s">
        <v>94</v>
      </c>
      <c r="AU3">
        <v>2023</v>
      </c>
      <c r="AV3">
        <v>31</v>
      </c>
      <c r="AW3">
        <v>1</v>
      </c>
      <c r="AX3" t="s">
        <v>74</v>
      </c>
      <c r="AY3" t="s">
        <v>74</v>
      </c>
      <c r="AZ3" t="s">
        <v>74</v>
      </c>
      <c r="BA3" t="s">
        <v>74</v>
      </c>
      <c r="BB3" t="s">
        <v>74</v>
      </c>
      <c r="BC3" t="s">
        <v>74</v>
      </c>
      <c r="BD3">
        <v>1</v>
      </c>
      <c r="BE3" t="s">
        <v>124</v>
      </c>
      <c r="BF3" t="str">
        <f>HYPERLINK("http://dx.doi.org/10.1007/s00159-022-00146-x","http://dx.doi.org/10.1007/s00159-022-00146-x")</f>
        <v>http://dx.doi.org/10.1007/s00159-022-00146-x</v>
      </c>
      <c r="BG3" t="s">
        <v>74</v>
      </c>
      <c r="BH3" t="s">
        <v>74</v>
      </c>
      <c r="BI3">
        <v>109</v>
      </c>
      <c r="BJ3" t="s">
        <v>125</v>
      </c>
      <c r="BK3" t="s">
        <v>126</v>
      </c>
      <c r="BL3" t="s">
        <v>125</v>
      </c>
      <c r="BM3" t="s">
        <v>127</v>
      </c>
      <c r="BN3" t="s">
        <v>74</v>
      </c>
      <c r="BO3" t="s">
        <v>128</v>
      </c>
      <c r="BP3" t="s">
        <v>74</v>
      </c>
      <c r="BQ3" t="s">
        <v>74</v>
      </c>
      <c r="BR3" t="s">
        <v>99</v>
      </c>
      <c r="BS3" t="s">
        <v>129</v>
      </c>
      <c r="BT3" t="str">
        <f>HYPERLINK("https%3A%2F%2Fwww.webofscience.com%2Fwos%2Fwoscc%2Ffull-record%2FWOS:000898841900001","View Full Record in Web of Science")</f>
        <v>View Full Record in Web of Science</v>
      </c>
    </row>
    <row r="4" spans="1:72" x14ac:dyDescent="0.15">
      <c r="A4" t="s">
        <v>72</v>
      </c>
      <c r="B4" t="s">
        <v>130</v>
      </c>
      <c r="C4" t="s">
        <v>74</v>
      </c>
      <c r="D4" t="s">
        <v>74</v>
      </c>
      <c r="E4" t="s">
        <v>74</v>
      </c>
      <c r="F4" t="s">
        <v>131</v>
      </c>
      <c r="G4" t="s">
        <v>74</v>
      </c>
      <c r="H4" t="s">
        <v>74</v>
      </c>
      <c r="I4" t="s">
        <v>132</v>
      </c>
      <c r="J4" t="s">
        <v>133</v>
      </c>
      <c r="K4" t="s">
        <v>74</v>
      </c>
      <c r="L4" t="s">
        <v>74</v>
      </c>
      <c r="M4" t="s">
        <v>78</v>
      </c>
      <c r="N4" t="s">
        <v>79</v>
      </c>
      <c r="O4" t="s">
        <v>74</v>
      </c>
      <c r="P4" t="s">
        <v>74</v>
      </c>
      <c r="Q4" t="s">
        <v>74</v>
      </c>
      <c r="R4" t="s">
        <v>74</v>
      </c>
      <c r="S4" t="s">
        <v>74</v>
      </c>
      <c r="T4" t="s">
        <v>134</v>
      </c>
      <c r="U4" t="s">
        <v>135</v>
      </c>
      <c r="V4" t="s">
        <v>136</v>
      </c>
      <c r="W4" t="s">
        <v>137</v>
      </c>
      <c r="X4" t="s">
        <v>138</v>
      </c>
      <c r="Y4" t="s">
        <v>139</v>
      </c>
      <c r="Z4" t="s">
        <v>140</v>
      </c>
      <c r="AA4" t="s">
        <v>141</v>
      </c>
      <c r="AB4" t="s">
        <v>142</v>
      </c>
      <c r="AC4" t="s">
        <v>143</v>
      </c>
      <c r="AD4" t="s">
        <v>144</v>
      </c>
      <c r="AE4" t="s">
        <v>145</v>
      </c>
      <c r="AF4" t="s">
        <v>74</v>
      </c>
      <c r="AG4">
        <v>63</v>
      </c>
      <c r="AH4">
        <v>2</v>
      </c>
      <c r="AI4">
        <v>2</v>
      </c>
      <c r="AJ4">
        <v>24</v>
      </c>
      <c r="AK4">
        <v>29</v>
      </c>
      <c r="AL4" t="s">
        <v>146</v>
      </c>
      <c r="AM4" t="s">
        <v>147</v>
      </c>
      <c r="AN4" t="s">
        <v>148</v>
      </c>
      <c r="AO4" t="s">
        <v>149</v>
      </c>
      <c r="AP4" t="s">
        <v>150</v>
      </c>
      <c r="AQ4" t="s">
        <v>74</v>
      </c>
      <c r="AR4" t="s">
        <v>151</v>
      </c>
      <c r="AS4" t="s">
        <v>152</v>
      </c>
      <c r="AT4" t="s">
        <v>94</v>
      </c>
      <c r="AU4">
        <v>2023</v>
      </c>
      <c r="AV4">
        <v>14</v>
      </c>
      <c r="AW4">
        <v>1</v>
      </c>
      <c r="AX4" t="s">
        <v>74</v>
      </c>
      <c r="AY4" t="s">
        <v>74</v>
      </c>
      <c r="AZ4" t="s">
        <v>74</v>
      </c>
      <c r="BA4" t="s">
        <v>74</v>
      </c>
      <c r="BB4" t="s">
        <v>74</v>
      </c>
      <c r="BC4" t="s">
        <v>74</v>
      </c>
      <c r="BD4">
        <v>18</v>
      </c>
      <c r="BE4" t="s">
        <v>153</v>
      </c>
      <c r="BF4" t="str">
        <f>HYPERLINK("http://dx.doi.org/10.1186/s12645-023-00169-8","http://dx.doi.org/10.1186/s12645-023-00169-8")</f>
        <v>http://dx.doi.org/10.1186/s12645-023-00169-8</v>
      </c>
      <c r="BG4" t="s">
        <v>74</v>
      </c>
      <c r="BH4" t="s">
        <v>74</v>
      </c>
      <c r="BI4">
        <v>26</v>
      </c>
      <c r="BJ4" t="s">
        <v>154</v>
      </c>
      <c r="BK4" t="s">
        <v>126</v>
      </c>
      <c r="BL4" t="s">
        <v>155</v>
      </c>
      <c r="BM4" t="s">
        <v>156</v>
      </c>
      <c r="BN4">
        <v>36910721</v>
      </c>
      <c r="BO4" t="s">
        <v>157</v>
      </c>
      <c r="BP4" t="s">
        <v>74</v>
      </c>
      <c r="BQ4" t="s">
        <v>74</v>
      </c>
      <c r="BR4" t="s">
        <v>99</v>
      </c>
      <c r="BS4" t="s">
        <v>158</v>
      </c>
      <c r="BT4" t="str">
        <f>HYPERLINK("https%3A%2F%2Fwww.webofscience.com%2Fwos%2Fwoscc%2Ffull-record%2FWOS:000944012100002","View Full Record in Web of Science")</f>
        <v>View Full Record in Web of Science</v>
      </c>
    </row>
    <row r="5" spans="1:72" x14ac:dyDescent="0.15">
      <c r="A5" t="s">
        <v>72</v>
      </c>
      <c r="B5" t="s">
        <v>159</v>
      </c>
      <c r="C5" t="s">
        <v>74</v>
      </c>
      <c r="D5" t="s">
        <v>74</v>
      </c>
      <c r="E5" t="s">
        <v>74</v>
      </c>
      <c r="F5" t="s">
        <v>160</v>
      </c>
      <c r="G5" t="s">
        <v>74</v>
      </c>
      <c r="H5" t="s">
        <v>74</v>
      </c>
      <c r="I5" t="s">
        <v>161</v>
      </c>
      <c r="J5" t="s">
        <v>162</v>
      </c>
      <c r="K5" t="s">
        <v>74</v>
      </c>
      <c r="L5" t="s">
        <v>74</v>
      </c>
      <c r="M5" t="s">
        <v>78</v>
      </c>
      <c r="N5" t="s">
        <v>79</v>
      </c>
      <c r="O5" t="s">
        <v>74</v>
      </c>
      <c r="P5" t="s">
        <v>74</v>
      </c>
      <c r="Q5" t="s">
        <v>74</v>
      </c>
      <c r="R5" t="s">
        <v>74</v>
      </c>
      <c r="S5" t="s">
        <v>74</v>
      </c>
      <c r="T5" t="s">
        <v>163</v>
      </c>
      <c r="U5" t="s">
        <v>164</v>
      </c>
      <c r="V5" t="s">
        <v>165</v>
      </c>
      <c r="W5" t="s">
        <v>166</v>
      </c>
      <c r="X5" t="s">
        <v>167</v>
      </c>
      <c r="Y5" t="s">
        <v>168</v>
      </c>
      <c r="Z5" t="s">
        <v>169</v>
      </c>
      <c r="AA5" t="s">
        <v>170</v>
      </c>
      <c r="AB5" t="s">
        <v>171</v>
      </c>
      <c r="AC5" t="s">
        <v>74</v>
      </c>
      <c r="AD5" t="s">
        <v>74</v>
      </c>
      <c r="AE5" t="s">
        <v>74</v>
      </c>
      <c r="AF5" t="s">
        <v>74</v>
      </c>
      <c r="AG5">
        <v>42</v>
      </c>
      <c r="AH5">
        <v>0</v>
      </c>
      <c r="AI5">
        <v>0</v>
      </c>
      <c r="AJ5">
        <v>24</v>
      </c>
      <c r="AK5">
        <v>24</v>
      </c>
      <c r="AL5" t="s">
        <v>172</v>
      </c>
      <c r="AM5" t="s">
        <v>173</v>
      </c>
      <c r="AN5" t="s">
        <v>174</v>
      </c>
      <c r="AO5" t="s">
        <v>175</v>
      </c>
      <c r="AP5" t="s">
        <v>176</v>
      </c>
      <c r="AQ5" t="s">
        <v>74</v>
      </c>
      <c r="AR5" t="s">
        <v>177</v>
      </c>
      <c r="AS5" t="s">
        <v>178</v>
      </c>
      <c r="AT5" t="s">
        <v>94</v>
      </c>
      <c r="AU5">
        <v>2023</v>
      </c>
      <c r="AV5">
        <v>9</v>
      </c>
      <c r="AW5">
        <v>1</v>
      </c>
      <c r="AX5" t="s">
        <v>74</v>
      </c>
      <c r="AY5" t="s">
        <v>74</v>
      </c>
      <c r="AZ5" t="s">
        <v>74</v>
      </c>
      <c r="BA5" t="s">
        <v>74</v>
      </c>
      <c r="BB5" t="s">
        <v>74</v>
      </c>
      <c r="BC5" t="s">
        <v>74</v>
      </c>
      <c r="BD5">
        <v>72</v>
      </c>
      <c r="BE5" t="s">
        <v>179</v>
      </c>
      <c r="BF5" t="str">
        <f>HYPERLINK("http://dx.doi.org/10.1007/s40948-023-00621-4","http://dx.doi.org/10.1007/s40948-023-00621-4")</f>
        <v>http://dx.doi.org/10.1007/s40948-023-00621-4</v>
      </c>
      <c r="BG5" t="s">
        <v>74</v>
      </c>
      <c r="BH5" t="s">
        <v>74</v>
      </c>
      <c r="BI5">
        <v>18</v>
      </c>
      <c r="BJ5" t="s">
        <v>180</v>
      </c>
      <c r="BK5" t="s">
        <v>126</v>
      </c>
      <c r="BL5" t="s">
        <v>181</v>
      </c>
      <c r="BM5" t="s">
        <v>182</v>
      </c>
      <c r="BN5" t="s">
        <v>74</v>
      </c>
      <c r="BO5" t="s">
        <v>183</v>
      </c>
      <c r="BP5" t="s">
        <v>74</v>
      </c>
      <c r="BQ5" t="s">
        <v>74</v>
      </c>
      <c r="BR5" t="s">
        <v>99</v>
      </c>
      <c r="BS5" t="s">
        <v>184</v>
      </c>
      <c r="BT5" t="str">
        <f>HYPERLINK("https%3A%2F%2Fwww.webofscience.com%2Fwos%2Fwoscc%2Ffull-record%2FWOS:000999617300002","View Full Record in Web of Science")</f>
        <v>View Full Record in Web of Science</v>
      </c>
    </row>
    <row r="6" spans="1:72" x14ac:dyDescent="0.15">
      <c r="A6" t="s">
        <v>72</v>
      </c>
      <c r="B6" t="s">
        <v>185</v>
      </c>
      <c r="C6" t="s">
        <v>74</v>
      </c>
      <c r="D6" t="s">
        <v>74</v>
      </c>
      <c r="E6" t="s">
        <v>74</v>
      </c>
      <c r="F6" t="s">
        <v>186</v>
      </c>
      <c r="G6" t="s">
        <v>74</v>
      </c>
      <c r="H6" t="s">
        <v>74</v>
      </c>
      <c r="I6" t="s">
        <v>187</v>
      </c>
      <c r="J6" t="s">
        <v>188</v>
      </c>
      <c r="K6" t="s">
        <v>74</v>
      </c>
      <c r="L6" t="s">
        <v>74</v>
      </c>
      <c r="M6" t="s">
        <v>78</v>
      </c>
      <c r="N6" t="s">
        <v>79</v>
      </c>
      <c r="O6" t="s">
        <v>74</v>
      </c>
      <c r="P6" t="s">
        <v>74</v>
      </c>
      <c r="Q6" t="s">
        <v>74</v>
      </c>
      <c r="R6" t="s">
        <v>74</v>
      </c>
      <c r="S6" t="s">
        <v>74</v>
      </c>
      <c r="T6" t="s">
        <v>189</v>
      </c>
      <c r="U6" t="s">
        <v>190</v>
      </c>
      <c r="V6" t="s">
        <v>191</v>
      </c>
      <c r="W6" t="s">
        <v>192</v>
      </c>
      <c r="X6" t="s">
        <v>193</v>
      </c>
      <c r="Y6" t="s">
        <v>194</v>
      </c>
      <c r="Z6" t="s">
        <v>195</v>
      </c>
      <c r="AA6" t="s">
        <v>74</v>
      </c>
      <c r="AB6" t="s">
        <v>196</v>
      </c>
      <c r="AC6" t="s">
        <v>197</v>
      </c>
      <c r="AD6" t="s">
        <v>197</v>
      </c>
      <c r="AE6" t="s">
        <v>198</v>
      </c>
      <c r="AF6" t="s">
        <v>74</v>
      </c>
      <c r="AG6">
        <v>33</v>
      </c>
      <c r="AH6">
        <v>0</v>
      </c>
      <c r="AI6">
        <v>0</v>
      </c>
      <c r="AJ6">
        <v>5</v>
      </c>
      <c r="AK6">
        <v>5</v>
      </c>
      <c r="AL6" t="s">
        <v>172</v>
      </c>
      <c r="AM6" t="s">
        <v>173</v>
      </c>
      <c r="AN6" t="s">
        <v>174</v>
      </c>
      <c r="AO6" t="s">
        <v>199</v>
      </c>
      <c r="AP6" t="s">
        <v>200</v>
      </c>
      <c r="AQ6" t="s">
        <v>74</v>
      </c>
      <c r="AR6" t="s">
        <v>201</v>
      </c>
      <c r="AS6" t="s">
        <v>202</v>
      </c>
      <c r="AT6" t="s">
        <v>94</v>
      </c>
      <c r="AU6">
        <v>2023</v>
      </c>
      <c r="AV6">
        <v>20</v>
      </c>
      <c r="AW6">
        <v>1</v>
      </c>
      <c r="AX6" t="s">
        <v>74</v>
      </c>
      <c r="AY6" t="s">
        <v>74</v>
      </c>
      <c r="AZ6" t="s">
        <v>74</v>
      </c>
      <c r="BA6" t="s">
        <v>74</v>
      </c>
      <c r="BB6" t="s">
        <v>74</v>
      </c>
      <c r="BC6" t="s">
        <v>74</v>
      </c>
      <c r="BD6">
        <v>16</v>
      </c>
      <c r="BE6" t="s">
        <v>203</v>
      </c>
      <c r="BF6" t="str">
        <f>HYPERLINK("http://dx.doi.org/10.1007/s10287-023-00449-z","http://dx.doi.org/10.1007/s10287-023-00449-z")</f>
        <v>http://dx.doi.org/10.1007/s10287-023-00449-z</v>
      </c>
      <c r="BG6" t="s">
        <v>74</v>
      </c>
      <c r="BH6" t="s">
        <v>74</v>
      </c>
      <c r="BI6">
        <v>17</v>
      </c>
      <c r="BJ6" t="s">
        <v>204</v>
      </c>
      <c r="BK6" t="s">
        <v>97</v>
      </c>
      <c r="BL6" t="s">
        <v>205</v>
      </c>
      <c r="BM6" t="s">
        <v>206</v>
      </c>
      <c r="BN6" t="s">
        <v>74</v>
      </c>
      <c r="BO6" t="s">
        <v>74</v>
      </c>
      <c r="BP6" t="s">
        <v>74</v>
      </c>
      <c r="BQ6" t="s">
        <v>74</v>
      </c>
      <c r="BR6" t="s">
        <v>99</v>
      </c>
      <c r="BS6" t="s">
        <v>207</v>
      </c>
      <c r="BT6" t="str">
        <f>HYPERLINK("https%3A%2F%2Fwww.webofscience.com%2Fwos%2Fwoscc%2Ffull-record%2FWOS:000957387900001","View Full Record in Web of Science")</f>
        <v>View Full Record in Web of Science</v>
      </c>
    </row>
    <row r="7" spans="1:72" x14ac:dyDescent="0.15">
      <c r="A7" t="s">
        <v>72</v>
      </c>
      <c r="B7" t="s">
        <v>208</v>
      </c>
      <c r="C7" t="s">
        <v>74</v>
      </c>
      <c r="D7" t="s">
        <v>74</v>
      </c>
      <c r="E7" t="s">
        <v>74</v>
      </c>
      <c r="F7" t="s">
        <v>209</v>
      </c>
      <c r="G7" t="s">
        <v>74</v>
      </c>
      <c r="H7" t="s">
        <v>74</v>
      </c>
      <c r="I7" t="s">
        <v>210</v>
      </c>
      <c r="J7" t="s">
        <v>211</v>
      </c>
      <c r="K7" t="s">
        <v>74</v>
      </c>
      <c r="L7" t="s">
        <v>74</v>
      </c>
      <c r="M7" t="s">
        <v>78</v>
      </c>
      <c r="N7" t="s">
        <v>79</v>
      </c>
      <c r="O7" t="s">
        <v>74</v>
      </c>
      <c r="P7" t="s">
        <v>74</v>
      </c>
      <c r="Q7" t="s">
        <v>74</v>
      </c>
      <c r="R7" t="s">
        <v>74</v>
      </c>
      <c r="S7" t="s">
        <v>74</v>
      </c>
      <c r="T7" t="s">
        <v>212</v>
      </c>
      <c r="U7" t="s">
        <v>213</v>
      </c>
      <c r="V7" t="s">
        <v>214</v>
      </c>
      <c r="W7" t="s">
        <v>215</v>
      </c>
      <c r="X7" t="s">
        <v>216</v>
      </c>
      <c r="Y7" t="s">
        <v>217</v>
      </c>
      <c r="Z7" t="s">
        <v>218</v>
      </c>
      <c r="AA7" t="s">
        <v>74</v>
      </c>
      <c r="AB7" t="s">
        <v>74</v>
      </c>
      <c r="AC7" t="s">
        <v>74</v>
      </c>
      <c r="AD7" t="s">
        <v>74</v>
      </c>
      <c r="AE7" t="s">
        <v>74</v>
      </c>
      <c r="AF7" t="s">
        <v>74</v>
      </c>
      <c r="AG7">
        <v>16</v>
      </c>
      <c r="AH7">
        <v>0</v>
      </c>
      <c r="AI7">
        <v>0</v>
      </c>
      <c r="AJ7">
        <v>0</v>
      </c>
      <c r="AK7">
        <v>0</v>
      </c>
      <c r="AL7" t="s">
        <v>219</v>
      </c>
      <c r="AM7" t="s">
        <v>220</v>
      </c>
      <c r="AN7" t="s">
        <v>221</v>
      </c>
      <c r="AO7" t="s">
        <v>222</v>
      </c>
      <c r="AP7" t="s">
        <v>223</v>
      </c>
      <c r="AQ7" t="s">
        <v>74</v>
      </c>
      <c r="AR7" t="s">
        <v>224</v>
      </c>
      <c r="AS7" t="s">
        <v>225</v>
      </c>
      <c r="AT7" t="s">
        <v>94</v>
      </c>
      <c r="AU7">
        <v>2023</v>
      </c>
      <c r="AV7">
        <v>14</v>
      </c>
      <c r="AW7">
        <v>4</v>
      </c>
      <c r="AX7" t="s">
        <v>74</v>
      </c>
      <c r="AY7" t="s">
        <v>74</v>
      </c>
      <c r="AZ7" t="s">
        <v>74</v>
      </c>
      <c r="BA7" t="s">
        <v>74</v>
      </c>
      <c r="BB7" t="s">
        <v>74</v>
      </c>
      <c r="BC7" t="s">
        <v>74</v>
      </c>
      <c r="BD7">
        <v>53</v>
      </c>
      <c r="BE7" t="s">
        <v>226</v>
      </c>
      <c r="BF7" t="str">
        <f>HYPERLINK("http://dx.doi.org/10.1007/s11868-023-00547-1","http://dx.doi.org/10.1007/s11868-023-00547-1")</f>
        <v>http://dx.doi.org/10.1007/s11868-023-00547-1</v>
      </c>
      <c r="BG7" t="s">
        <v>74</v>
      </c>
      <c r="BH7" t="s">
        <v>74</v>
      </c>
      <c r="BI7">
        <v>28</v>
      </c>
      <c r="BJ7" t="s">
        <v>227</v>
      </c>
      <c r="BK7" t="s">
        <v>126</v>
      </c>
      <c r="BL7" t="s">
        <v>228</v>
      </c>
      <c r="BM7" t="s">
        <v>229</v>
      </c>
      <c r="BN7" t="s">
        <v>74</v>
      </c>
      <c r="BO7" t="s">
        <v>74</v>
      </c>
      <c r="BP7" t="s">
        <v>74</v>
      </c>
      <c r="BQ7" t="s">
        <v>74</v>
      </c>
      <c r="BR7" t="s">
        <v>99</v>
      </c>
      <c r="BS7" t="s">
        <v>230</v>
      </c>
      <c r="BT7" t="str">
        <f>HYPERLINK("https%3A%2F%2Fwww.webofscience.com%2Fwos%2Fwoscc%2Ffull-record%2FWOS:001035772300001","View Full Record in Web of Science")</f>
        <v>View Full Record in Web of Science</v>
      </c>
    </row>
    <row r="8" spans="1:72" x14ac:dyDescent="0.15">
      <c r="A8" t="s">
        <v>72</v>
      </c>
      <c r="B8" t="s">
        <v>231</v>
      </c>
      <c r="C8" t="s">
        <v>74</v>
      </c>
      <c r="D8" t="s">
        <v>74</v>
      </c>
      <c r="E8" t="s">
        <v>74</v>
      </c>
      <c r="F8" t="s">
        <v>232</v>
      </c>
      <c r="G8" t="s">
        <v>74</v>
      </c>
      <c r="H8" t="s">
        <v>74</v>
      </c>
      <c r="I8" t="s">
        <v>233</v>
      </c>
      <c r="J8" t="s">
        <v>234</v>
      </c>
      <c r="K8" t="s">
        <v>74</v>
      </c>
      <c r="L8" t="s">
        <v>74</v>
      </c>
      <c r="M8" t="s">
        <v>78</v>
      </c>
      <c r="N8" t="s">
        <v>79</v>
      </c>
      <c r="O8" t="s">
        <v>74</v>
      </c>
      <c r="P8" t="s">
        <v>74</v>
      </c>
      <c r="Q8" t="s">
        <v>74</v>
      </c>
      <c r="R8" t="s">
        <v>74</v>
      </c>
      <c r="S8" t="s">
        <v>74</v>
      </c>
      <c r="T8" t="s">
        <v>74</v>
      </c>
      <c r="U8" t="s">
        <v>235</v>
      </c>
      <c r="V8" t="s">
        <v>236</v>
      </c>
      <c r="W8" t="s">
        <v>237</v>
      </c>
      <c r="X8" t="s">
        <v>238</v>
      </c>
      <c r="Y8" t="s">
        <v>239</v>
      </c>
      <c r="Z8" t="s">
        <v>240</v>
      </c>
      <c r="AA8" t="s">
        <v>74</v>
      </c>
      <c r="AB8" t="s">
        <v>241</v>
      </c>
      <c r="AC8" t="s">
        <v>242</v>
      </c>
      <c r="AD8" t="s">
        <v>242</v>
      </c>
      <c r="AE8" t="s">
        <v>243</v>
      </c>
      <c r="AF8" t="s">
        <v>74</v>
      </c>
      <c r="AG8">
        <v>26</v>
      </c>
      <c r="AH8">
        <v>2</v>
      </c>
      <c r="AI8">
        <v>2</v>
      </c>
      <c r="AJ8">
        <v>4</v>
      </c>
      <c r="AK8">
        <v>8</v>
      </c>
      <c r="AL8" t="s">
        <v>244</v>
      </c>
      <c r="AM8" t="s">
        <v>245</v>
      </c>
      <c r="AN8" t="s">
        <v>246</v>
      </c>
      <c r="AO8" t="s">
        <v>247</v>
      </c>
      <c r="AP8" t="s">
        <v>248</v>
      </c>
      <c r="AQ8" t="s">
        <v>74</v>
      </c>
      <c r="AR8" t="s">
        <v>249</v>
      </c>
      <c r="AS8" t="s">
        <v>250</v>
      </c>
      <c r="AT8" t="s">
        <v>94</v>
      </c>
      <c r="AU8">
        <v>2023</v>
      </c>
      <c r="AV8">
        <v>26</v>
      </c>
      <c r="AW8">
        <v>1</v>
      </c>
      <c r="AX8" t="s">
        <v>74</v>
      </c>
      <c r="AY8" t="s">
        <v>74</v>
      </c>
      <c r="AZ8" t="s">
        <v>74</v>
      </c>
      <c r="BA8" t="s">
        <v>74</v>
      </c>
      <c r="BB8" t="s">
        <v>74</v>
      </c>
      <c r="BC8" t="s">
        <v>74</v>
      </c>
      <c r="BD8">
        <v>2</v>
      </c>
      <c r="BE8" t="s">
        <v>251</v>
      </c>
      <c r="BF8" t="str">
        <f>HYPERLINK("http://dx.doi.org/10.1007/s12283-022-00394-1","http://dx.doi.org/10.1007/s12283-022-00394-1")</f>
        <v>http://dx.doi.org/10.1007/s12283-022-00394-1</v>
      </c>
      <c r="BG8" t="s">
        <v>74</v>
      </c>
      <c r="BH8" t="s">
        <v>74</v>
      </c>
      <c r="BI8">
        <v>10</v>
      </c>
      <c r="BJ8" t="s">
        <v>252</v>
      </c>
      <c r="BK8" t="s">
        <v>97</v>
      </c>
      <c r="BL8" t="s">
        <v>252</v>
      </c>
      <c r="BM8" t="s">
        <v>253</v>
      </c>
      <c r="BN8" t="s">
        <v>74</v>
      </c>
      <c r="BO8" t="s">
        <v>74</v>
      </c>
      <c r="BP8" t="s">
        <v>74</v>
      </c>
      <c r="BQ8" t="s">
        <v>74</v>
      </c>
      <c r="BR8" t="s">
        <v>99</v>
      </c>
      <c r="BS8" t="s">
        <v>254</v>
      </c>
      <c r="BT8" t="str">
        <f>HYPERLINK("https%3A%2F%2Fwww.webofscience.com%2Fwos%2Fwoscc%2Ffull-record%2FWOS:000899742100001","View Full Record in Web of Science")</f>
        <v>View Full Record in Web of Science</v>
      </c>
    </row>
    <row r="9" spans="1:72" x14ac:dyDescent="0.15">
      <c r="A9" t="s">
        <v>72</v>
      </c>
      <c r="B9" t="s">
        <v>255</v>
      </c>
      <c r="C9" t="s">
        <v>74</v>
      </c>
      <c r="D9" t="s">
        <v>74</v>
      </c>
      <c r="E9" t="s">
        <v>74</v>
      </c>
      <c r="F9" t="s">
        <v>256</v>
      </c>
      <c r="G9" t="s">
        <v>74</v>
      </c>
      <c r="H9" t="s">
        <v>74</v>
      </c>
      <c r="I9" t="s">
        <v>257</v>
      </c>
      <c r="J9" t="s">
        <v>258</v>
      </c>
      <c r="K9" t="s">
        <v>74</v>
      </c>
      <c r="L9" t="s">
        <v>74</v>
      </c>
      <c r="M9" t="s">
        <v>78</v>
      </c>
      <c r="N9" t="s">
        <v>79</v>
      </c>
      <c r="O9" t="s">
        <v>74</v>
      </c>
      <c r="P9" t="s">
        <v>74</v>
      </c>
      <c r="Q9" t="s">
        <v>74</v>
      </c>
      <c r="R9" t="s">
        <v>74</v>
      </c>
      <c r="S9" t="s">
        <v>74</v>
      </c>
      <c r="T9" t="s">
        <v>259</v>
      </c>
      <c r="U9" t="s">
        <v>260</v>
      </c>
      <c r="V9" t="s">
        <v>261</v>
      </c>
      <c r="W9" t="s">
        <v>262</v>
      </c>
      <c r="X9" t="s">
        <v>263</v>
      </c>
      <c r="Y9" t="s">
        <v>264</v>
      </c>
      <c r="Z9" t="s">
        <v>265</v>
      </c>
      <c r="AA9" t="s">
        <v>74</v>
      </c>
      <c r="AB9" t="s">
        <v>74</v>
      </c>
      <c r="AC9" t="s">
        <v>266</v>
      </c>
      <c r="AD9" t="s">
        <v>267</v>
      </c>
      <c r="AE9" t="s">
        <v>268</v>
      </c>
      <c r="AF9" t="s">
        <v>74</v>
      </c>
      <c r="AG9">
        <v>66</v>
      </c>
      <c r="AH9">
        <v>0</v>
      </c>
      <c r="AI9">
        <v>0</v>
      </c>
      <c r="AJ9">
        <v>4</v>
      </c>
      <c r="AK9">
        <v>4</v>
      </c>
      <c r="AL9" t="s">
        <v>269</v>
      </c>
      <c r="AM9" t="s">
        <v>118</v>
      </c>
      <c r="AN9" t="s">
        <v>270</v>
      </c>
      <c r="AO9" t="s">
        <v>271</v>
      </c>
      <c r="AP9" t="s">
        <v>272</v>
      </c>
      <c r="AQ9" t="s">
        <v>74</v>
      </c>
      <c r="AR9" t="s">
        <v>273</v>
      </c>
      <c r="AS9" t="s">
        <v>274</v>
      </c>
      <c r="AT9" t="s">
        <v>94</v>
      </c>
      <c r="AU9">
        <v>2023</v>
      </c>
      <c r="AV9">
        <v>71</v>
      </c>
      <c r="AW9">
        <v>4</v>
      </c>
      <c r="AX9" t="s">
        <v>74</v>
      </c>
      <c r="AY9" t="s">
        <v>74</v>
      </c>
      <c r="AZ9" t="s">
        <v>74</v>
      </c>
      <c r="BA9" t="s">
        <v>74</v>
      </c>
      <c r="BB9" t="s">
        <v>74</v>
      </c>
      <c r="BC9" t="s">
        <v>74</v>
      </c>
      <c r="BD9">
        <v>108</v>
      </c>
      <c r="BE9" t="s">
        <v>275</v>
      </c>
      <c r="BF9" t="str">
        <f>HYPERLINK("http://dx.doi.org/10.1007/s11249-023-01779-4","http://dx.doi.org/10.1007/s11249-023-01779-4")</f>
        <v>http://dx.doi.org/10.1007/s11249-023-01779-4</v>
      </c>
      <c r="BG9" t="s">
        <v>74</v>
      </c>
      <c r="BH9" t="s">
        <v>74</v>
      </c>
      <c r="BI9">
        <v>12</v>
      </c>
      <c r="BJ9" t="s">
        <v>276</v>
      </c>
      <c r="BK9" t="s">
        <v>126</v>
      </c>
      <c r="BL9" t="s">
        <v>277</v>
      </c>
      <c r="BM9" t="s">
        <v>278</v>
      </c>
      <c r="BN9" t="s">
        <v>74</v>
      </c>
      <c r="BO9" t="s">
        <v>183</v>
      </c>
      <c r="BP9" t="s">
        <v>74</v>
      </c>
      <c r="BQ9" t="s">
        <v>74</v>
      </c>
      <c r="BR9" t="s">
        <v>99</v>
      </c>
      <c r="BS9" t="s">
        <v>279</v>
      </c>
      <c r="BT9" t="str">
        <f>HYPERLINK("https%3A%2F%2Fwww.webofscience.com%2Fwos%2Fwoscc%2Ffull-record%2FWOS:001057628300001","View Full Record in Web of Science")</f>
        <v>View Full Record in Web of Science</v>
      </c>
    </row>
    <row r="10" spans="1:72" x14ac:dyDescent="0.15">
      <c r="A10" t="s">
        <v>72</v>
      </c>
      <c r="B10" t="s">
        <v>280</v>
      </c>
      <c r="C10" t="s">
        <v>74</v>
      </c>
      <c r="D10" t="s">
        <v>74</v>
      </c>
      <c r="E10" t="s">
        <v>74</v>
      </c>
      <c r="F10" t="s">
        <v>281</v>
      </c>
      <c r="G10" t="s">
        <v>74</v>
      </c>
      <c r="H10" t="s">
        <v>74</v>
      </c>
      <c r="I10" t="s">
        <v>282</v>
      </c>
      <c r="J10" t="s">
        <v>283</v>
      </c>
      <c r="K10" t="s">
        <v>74</v>
      </c>
      <c r="L10" t="s">
        <v>74</v>
      </c>
      <c r="M10" t="s">
        <v>78</v>
      </c>
      <c r="N10" t="s">
        <v>79</v>
      </c>
      <c r="O10" t="s">
        <v>74</v>
      </c>
      <c r="P10" t="s">
        <v>74</v>
      </c>
      <c r="Q10" t="s">
        <v>74</v>
      </c>
      <c r="R10" t="s">
        <v>74</v>
      </c>
      <c r="S10" t="s">
        <v>74</v>
      </c>
      <c r="T10" t="s">
        <v>284</v>
      </c>
      <c r="U10" t="s">
        <v>285</v>
      </c>
      <c r="V10" t="s">
        <v>286</v>
      </c>
      <c r="W10" t="s">
        <v>287</v>
      </c>
      <c r="X10" t="s">
        <v>288</v>
      </c>
      <c r="Y10" t="s">
        <v>289</v>
      </c>
      <c r="Z10" t="s">
        <v>290</v>
      </c>
      <c r="AA10" t="s">
        <v>74</v>
      </c>
      <c r="AB10" t="s">
        <v>74</v>
      </c>
      <c r="AC10" t="s">
        <v>291</v>
      </c>
      <c r="AD10" t="s">
        <v>292</v>
      </c>
      <c r="AE10" t="s">
        <v>293</v>
      </c>
      <c r="AF10" t="s">
        <v>74</v>
      </c>
      <c r="AG10">
        <v>52</v>
      </c>
      <c r="AH10">
        <v>1</v>
      </c>
      <c r="AI10">
        <v>1</v>
      </c>
      <c r="AJ10">
        <v>9</v>
      </c>
      <c r="AK10">
        <v>9</v>
      </c>
      <c r="AL10" t="s">
        <v>117</v>
      </c>
      <c r="AM10" t="s">
        <v>118</v>
      </c>
      <c r="AN10" t="s">
        <v>119</v>
      </c>
      <c r="AO10" t="s">
        <v>294</v>
      </c>
      <c r="AP10" t="s">
        <v>295</v>
      </c>
      <c r="AQ10" t="s">
        <v>74</v>
      </c>
      <c r="AR10" t="s">
        <v>296</v>
      </c>
      <c r="AS10" t="s">
        <v>297</v>
      </c>
      <c r="AT10" t="s">
        <v>94</v>
      </c>
      <c r="AU10">
        <v>2023</v>
      </c>
      <c r="AV10">
        <v>10</v>
      </c>
      <c r="AW10">
        <v>1</v>
      </c>
      <c r="AX10" t="s">
        <v>74</v>
      </c>
      <c r="AY10" t="s">
        <v>74</v>
      </c>
      <c r="AZ10" t="s">
        <v>74</v>
      </c>
      <c r="BA10" t="s">
        <v>74</v>
      </c>
      <c r="BB10" t="s">
        <v>74</v>
      </c>
      <c r="BC10" t="s">
        <v>74</v>
      </c>
      <c r="BD10">
        <v>11</v>
      </c>
      <c r="BE10" t="s">
        <v>298</v>
      </c>
      <c r="BF10" t="str">
        <f>HYPERLINK("http://dx.doi.org/10.1140/epjqt/s40507-023-00170-5","http://dx.doi.org/10.1140/epjqt/s40507-023-00170-5")</f>
        <v>http://dx.doi.org/10.1140/epjqt/s40507-023-00170-5</v>
      </c>
      <c r="BG10" t="s">
        <v>74</v>
      </c>
      <c r="BH10" t="s">
        <v>74</v>
      </c>
      <c r="BI10">
        <v>18</v>
      </c>
      <c r="BJ10" t="s">
        <v>299</v>
      </c>
      <c r="BK10" t="s">
        <v>126</v>
      </c>
      <c r="BL10" t="s">
        <v>300</v>
      </c>
      <c r="BM10" t="s">
        <v>301</v>
      </c>
      <c r="BN10" t="s">
        <v>74</v>
      </c>
      <c r="BO10" t="s">
        <v>302</v>
      </c>
      <c r="BP10" t="s">
        <v>74</v>
      </c>
      <c r="BQ10" t="s">
        <v>74</v>
      </c>
      <c r="BR10" t="s">
        <v>99</v>
      </c>
      <c r="BS10" t="s">
        <v>303</v>
      </c>
      <c r="BT10" t="str">
        <f>HYPERLINK("https%3A%2F%2Fwww.webofscience.com%2Fwos%2Fwoscc%2Ffull-record%2FWOS:000974148300001","View Full Record in Web of Science")</f>
        <v>View Full Record in Web of Science</v>
      </c>
    </row>
    <row r="11" spans="1:72" x14ac:dyDescent="0.15">
      <c r="A11" t="s">
        <v>72</v>
      </c>
      <c r="B11" t="s">
        <v>304</v>
      </c>
      <c r="C11" t="s">
        <v>74</v>
      </c>
      <c r="D11" t="s">
        <v>74</v>
      </c>
      <c r="E11" t="s">
        <v>74</v>
      </c>
      <c r="F11" t="s">
        <v>305</v>
      </c>
      <c r="G11" t="s">
        <v>74</v>
      </c>
      <c r="H11" t="s">
        <v>74</v>
      </c>
      <c r="I11" t="s">
        <v>306</v>
      </c>
      <c r="J11" t="s">
        <v>307</v>
      </c>
      <c r="K11" t="s">
        <v>74</v>
      </c>
      <c r="L11" t="s">
        <v>74</v>
      </c>
      <c r="M11" t="s">
        <v>78</v>
      </c>
      <c r="N11" t="s">
        <v>79</v>
      </c>
      <c r="O11" t="s">
        <v>74</v>
      </c>
      <c r="P11" t="s">
        <v>74</v>
      </c>
      <c r="Q11" t="s">
        <v>74</v>
      </c>
      <c r="R11" t="s">
        <v>74</v>
      </c>
      <c r="S11" t="s">
        <v>74</v>
      </c>
      <c r="T11" t="s">
        <v>308</v>
      </c>
      <c r="U11" t="s">
        <v>74</v>
      </c>
      <c r="V11" t="s">
        <v>309</v>
      </c>
      <c r="W11" t="s">
        <v>310</v>
      </c>
      <c r="X11" t="s">
        <v>311</v>
      </c>
      <c r="Y11" t="s">
        <v>312</v>
      </c>
      <c r="Z11" t="s">
        <v>313</v>
      </c>
      <c r="AA11" t="s">
        <v>74</v>
      </c>
      <c r="AB11" t="s">
        <v>74</v>
      </c>
      <c r="AC11" t="s">
        <v>314</v>
      </c>
      <c r="AD11" t="s">
        <v>315</v>
      </c>
      <c r="AE11" t="s">
        <v>316</v>
      </c>
      <c r="AF11" t="s">
        <v>74</v>
      </c>
      <c r="AG11">
        <v>34</v>
      </c>
      <c r="AH11">
        <v>0</v>
      </c>
      <c r="AI11">
        <v>0</v>
      </c>
      <c r="AJ11">
        <v>1</v>
      </c>
      <c r="AK11">
        <v>1</v>
      </c>
      <c r="AL11" t="s">
        <v>317</v>
      </c>
      <c r="AM11" t="s">
        <v>245</v>
      </c>
      <c r="AN11" t="s">
        <v>318</v>
      </c>
      <c r="AO11" t="s">
        <v>319</v>
      </c>
      <c r="AP11" t="s">
        <v>320</v>
      </c>
      <c r="AQ11" t="s">
        <v>74</v>
      </c>
      <c r="AR11" t="s">
        <v>321</v>
      </c>
      <c r="AS11" t="s">
        <v>322</v>
      </c>
      <c r="AT11" t="s">
        <v>94</v>
      </c>
      <c r="AU11">
        <v>2023</v>
      </c>
      <c r="AV11">
        <v>5</v>
      </c>
      <c r="AW11">
        <v>2</v>
      </c>
      <c r="AX11" t="s">
        <v>74</v>
      </c>
      <c r="AY11" t="s">
        <v>74</v>
      </c>
      <c r="AZ11" t="s">
        <v>74</v>
      </c>
      <c r="BA11" t="s">
        <v>74</v>
      </c>
      <c r="BB11" t="s">
        <v>74</v>
      </c>
      <c r="BC11" t="s">
        <v>74</v>
      </c>
      <c r="BD11">
        <v>30</v>
      </c>
      <c r="BE11" t="s">
        <v>323</v>
      </c>
      <c r="BF11" t="str">
        <f>HYPERLINK("http://dx.doi.org/10.1007/s42484-023-00116-1","http://dx.doi.org/10.1007/s42484-023-00116-1")</f>
        <v>http://dx.doi.org/10.1007/s42484-023-00116-1</v>
      </c>
      <c r="BG11" t="s">
        <v>74</v>
      </c>
      <c r="BH11" t="s">
        <v>74</v>
      </c>
      <c r="BI11">
        <v>18</v>
      </c>
      <c r="BJ11" t="s">
        <v>324</v>
      </c>
      <c r="BK11" t="s">
        <v>97</v>
      </c>
      <c r="BL11" t="s">
        <v>325</v>
      </c>
      <c r="BM11" t="s">
        <v>326</v>
      </c>
      <c r="BN11" t="s">
        <v>74</v>
      </c>
      <c r="BO11" t="s">
        <v>327</v>
      </c>
      <c r="BP11" t="s">
        <v>74</v>
      </c>
      <c r="BQ11" t="s">
        <v>74</v>
      </c>
      <c r="BR11" t="s">
        <v>99</v>
      </c>
      <c r="BS11" t="s">
        <v>328</v>
      </c>
      <c r="BT11" t="str">
        <f>HYPERLINK("https%3A%2F%2Fwww.webofscience.com%2Fwos%2Fwoscc%2Ffull-record%2FWOS:001032110600001","View Full Record in Web of Science")</f>
        <v>View Full Record in Web of Science</v>
      </c>
    </row>
    <row r="12" spans="1:72" x14ac:dyDescent="0.15">
      <c r="A12" t="s">
        <v>72</v>
      </c>
      <c r="B12" t="s">
        <v>329</v>
      </c>
      <c r="C12" t="s">
        <v>74</v>
      </c>
      <c r="D12" t="s">
        <v>74</v>
      </c>
      <c r="E12" t="s">
        <v>74</v>
      </c>
      <c r="F12" t="s">
        <v>330</v>
      </c>
      <c r="G12" t="s">
        <v>74</v>
      </c>
      <c r="H12" t="s">
        <v>74</v>
      </c>
      <c r="I12" t="s">
        <v>331</v>
      </c>
      <c r="J12" t="s">
        <v>211</v>
      </c>
      <c r="K12" t="s">
        <v>74</v>
      </c>
      <c r="L12" t="s">
        <v>74</v>
      </c>
      <c r="M12" t="s">
        <v>78</v>
      </c>
      <c r="N12" t="s">
        <v>79</v>
      </c>
      <c r="O12" t="s">
        <v>74</v>
      </c>
      <c r="P12" t="s">
        <v>74</v>
      </c>
      <c r="Q12" t="s">
        <v>74</v>
      </c>
      <c r="R12" t="s">
        <v>74</v>
      </c>
      <c r="S12" t="s">
        <v>74</v>
      </c>
      <c r="T12" t="s">
        <v>332</v>
      </c>
      <c r="U12" t="s">
        <v>333</v>
      </c>
      <c r="V12" t="s">
        <v>334</v>
      </c>
      <c r="W12" t="s">
        <v>335</v>
      </c>
      <c r="X12" t="s">
        <v>336</v>
      </c>
      <c r="Y12" t="s">
        <v>337</v>
      </c>
      <c r="Z12" t="s">
        <v>338</v>
      </c>
      <c r="AA12" t="s">
        <v>74</v>
      </c>
      <c r="AB12" t="s">
        <v>74</v>
      </c>
      <c r="AC12" t="s">
        <v>339</v>
      </c>
      <c r="AD12" t="s">
        <v>340</v>
      </c>
      <c r="AE12" t="s">
        <v>341</v>
      </c>
      <c r="AF12" t="s">
        <v>74</v>
      </c>
      <c r="AG12">
        <v>48</v>
      </c>
      <c r="AH12">
        <v>0</v>
      </c>
      <c r="AI12">
        <v>0</v>
      </c>
      <c r="AJ12">
        <v>0</v>
      </c>
      <c r="AK12">
        <v>0</v>
      </c>
      <c r="AL12" t="s">
        <v>219</v>
      </c>
      <c r="AM12" t="s">
        <v>220</v>
      </c>
      <c r="AN12" t="s">
        <v>221</v>
      </c>
      <c r="AO12" t="s">
        <v>222</v>
      </c>
      <c r="AP12" t="s">
        <v>223</v>
      </c>
      <c r="AQ12" t="s">
        <v>74</v>
      </c>
      <c r="AR12" t="s">
        <v>224</v>
      </c>
      <c r="AS12" t="s">
        <v>225</v>
      </c>
      <c r="AT12" t="s">
        <v>94</v>
      </c>
      <c r="AU12">
        <v>2023</v>
      </c>
      <c r="AV12">
        <v>14</v>
      </c>
      <c r="AW12">
        <v>4</v>
      </c>
      <c r="AX12" t="s">
        <v>74</v>
      </c>
      <c r="AY12" t="s">
        <v>74</v>
      </c>
      <c r="AZ12" t="s">
        <v>74</v>
      </c>
      <c r="BA12" t="s">
        <v>74</v>
      </c>
      <c r="BB12" t="s">
        <v>74</v>
      </c>
      <c r="BC12" t="s">
        <v>74</v>
      </c>
      <c r="BD12">
        <v>55</v>
      </c>
      <c r="BE12" t="s">
        <v>342</v>
      </c>
      <c r="BF12" t="str">
        <f>HYPERLINK("http://dx.doi.org/10.1007/s11868-023-00550-6","http://dx.doi.org/10.1007/s11868-023-00550-6")</f>
        <v>http://dx.doi.org/10.1007/s11868-023-00550-6</v>
      </c>
      <c r="BG12" t="s">
        <v>74</v>
      </c>
      <c r="BH12" t="s">
        <v>74</v>
      </c>
      <c r="BI12">
        <v>61</v>
      </c>
      <c r="BJ12" t="s">
        <v>227</v>
      </c>
      <c r="BK12" t="s">
        <v>126</v>
      </c>
      <c r="BL12" t="s">
        <v>228</v>
      </c>
      <c r="BM12" t="s">
        <v>343</v>
      </c>
      <c r="BN12" t="s">
        <v>74</v>
      </c>
      <c r="BO12" t="s">
        <v>327</v>
      </c>
      <c r="BP12" t="s">
        <v>74</v>
      </c>
      <c r="BQ12" t="s">
        <v>74</v>
      </c>
      <c r="BR12" t="s">
        <v>99</v>
      </c>
      <c r="BS12" t="s">
        <v>344</v>
      </c>
      <c r="BT12" t="str">
        <f>HYPERLINK("https%3A%2F%2Fwww.webofscience.com%2Fwos%2Fwoscc%2Ffull-record%2FWOS:001053137700002","View Full Record in Web of Science")</f>
        <v>View Full Record in Web of Science</v>
      </c>
    </row>
    <row r="13" spans="1:72" x14ac:dyDescent="0.15">
      <c r="A13" t="s">
        <v>72</v>
      </c>
      <c r="B13" t="s">
        <v>345</v>
      </c>
      <c r="C13" t="s">
        <v>74</v>
      </c>
      <c r="D13" t="s">
        <v>74</v>
      </c>
      <c r="E13" t="s">
        <v>74</v>
      </c>
      <c r="F13" t="s">
        <v>346</v>
      </c>
      <c r="G13" t="s">
        <v>74</v>
      </c>
      <c r="H13" t="s">
        <v>74</v>
      </c>
      <c r="I13" t="s">
        <v>347</v>
      </c>
      <c r="J13" t="s">
        <v>348</v>
      </c>
      <c r="K13" t="s">
        <v>74</v>
      </c>
      <c r="L13" t="s">
        <v>74</v>
      </c>
      <c r="M13" t="s">
        <v>78</v>
      </c>
      <c r="N13" t="s">
        <v>79</v>
      </c>
      <c r="O13" t="s">
        <v>74</v>
      </c>
      <c r="P13" t="s">
        <v>74</v>
      </c>
      <c r="Q13" t="s">
        <v>74</v>
      </c>
      <c r="R13" t="s">
        <v>74</v>
      </c>
      <c r="S13" t="s">
        <v>74</v>
      </c>
      <c r="T13" t="s">
        <v>349</v>
      </c>
      <c r="U13" t="s">
        <v>350</v>
      </c>
      <c r="V13" t="s">
        <v>351</v>
      </c>
      <c r="W13" t="s">
        <v>352</v>
      </c>
      <c r="X13" t="s">
        <v>353</v>
      </c>
      <c r="Y13" t="s">
        <v>354</v>
      </c>
      <c r="Z13" t="s">
        <v>355</v>
      </c>
      <c r="AA13" t="s">
        <v>356</v>
      </c>
      <c r="AB13" t="s">
        <v>357</v>
      </c>
      <c r="AC13" t="s">
        <v>358</v>
      </c>
      <c r="AD13" t="s">
        <v>358</v>
      </c>
      <c r="AE13" t="s">
        <v>359</v>
      </c>
      <c r="AF13" t="s">
        <v>74</v>
      </c>
      <c r="AG13">
        <v>21</v>
      </c>
      <c r="AH13">
        <v>1</v>
      </c>
      <c r="AI13">
        <v>1</v>
      </c>
      <c r="AJ13">
        <v>11</v>
      </c>
      <c r="AK13">
        <v>11</v>
      </c>
      <c r="AL13" t="s">
        <v>317</v>
      </c>
      <c r="AM13" t="s">
        <v>245</v>
      </c>
      <c r="AN13" t="s">
        <v>318</v>
      </c>
      <c r="AO13" t="s">
        <v>360</v>
      </c>
      <c r="AP13" t="s">
        <v>361</v>
      </c>
      <c r="AQ13" t="s">
        <v>74</v>
      </c>
      <c r="AR13" t="s">
        <v>362</v>
      </c>
      <c r="AS13" t="s">
        <v>363</v>
      </c>
      <c r="AT13" t="s">
        <v>94</v>
      </c>
      <c r="AU13">
        <v>2023</v>
      </c>
      <c r="AV13">
        <v>8</v>
      </c>
      <c r="AW13">
        <v>1</v>
      </c>
      <c r="AX13" t="s">
        <v>74</v>
      </c>
      <c r="AY13" t="s">
        <v>74</v>
      </c>
      <c r="AZ13" t="s">
        <v>74</v>
      </c>
      <c r="BA13" t="s">
        <v>74</v>
      </c>
      <c r="BB13" t="s">
        <v>74</v>
      </c>
      <c r="BC13" t="s">
        <v>74</v>
      </c>
      <c r="BD13">
        <v>22</v>
      </c>
      <c r="BE13" t="s">
        <v>364</v>
      </c>
      <c r="BF13" t="str">
        <f>HYPERLINK("http://dx.doi.org/10.1007/s41101-023-00195-y","http://dx.doi.org/10.1007/s41101-023-00195-y")</f>
        <v>http://dx.doi.org/10.1007/s41101-023-00195-y</v>
      </c>
      <c r="BG13" t="s">
        <v>74</v>
      </c>
      <c r="BH13" t="s">
        <v>74</v>
      </c>
      <c r="BI13">
        <v>10</v>
      </c>
      <c r="BJ13" t="s">
        <v>365</v>
      </c>
      <c r="BK13" t="s">
        <v>97</v>
      </c>
      <c r="BL13" t="s">
        <v>366</v>
      </c>
      <c r="BM13" t="s">
        <v>367</v>
      </c>
      <c r="BN13" t="s">
        <v>74</v>
      </c>
      <c r="BO13" t="s">
        <v>183</v>
      </c>
      <c r="BP13" t="s">
        <v>74</v>
      </c>
      <c r="BQ13" t="s">
        <v>74</v>
      </c>
      <c r="BR13" t="s">
        <v>99</v>
      </c>
      <c r="BS13" t="s">
        <v>368</v>
      </c>
      <c r="BT13" t="str">
        <f>HYPERLINK("https%3A%2F%2Fwww.webofscience.com%2Fwos%2Fwoscc%2Ffull-record%2FWOS:001002997000001","View Full Record in Web of Science")</f>
        <v>View Full Record in Web of Science</v>
      </c>
    </row>
    <row r="14" spans="1:72" x14ac:dyDescent="0.15">
      <c r="A14" t="s">
        <v>72</v>
      </c>
      <c r="B14" t="s">
        <v>369</v>
      </c>
      <c r="C14" t="s">
        <v>74</v>
      </c>
      <c r="D14" t="s">
        <v>74</v>
      </c>
      <c r="E14" t="s">
        <v>74</v>
      </c>
      <c r="F14" t="s">
        <v>370</v>
      </c>
      <c r="G14" t="s">
        <v>74</v>
      </c>
      <c r="H14" t="s">
        <v>74</v>
      </c>
      <c r="I14" t="s">
        <v>371</v>
      </c>
      <c r="J14" t="s">
        <v>372</v>
      </c>
      <c r="K14" t="s">
        <v>74</v>
      </c>
      <c r="L14" t="s">
        <v>74</v>
      </c>
      <c r="M14" t="s">
        <v>78</v>
      </c>
      <c r="N14" t="s">
        <v>79</v>
      </c>
      <c r="O14" t="s">
        <v>74</v>
      </c>
      <c r="P14" t="s">
        <v>74</v>
      </c>
      <c r="Q14" t="s">
        <v>74</v>
      </c>
      <c r="R14" t="s">
        <v>74</v>
      </c>
      <c r="S14" t="s">
        <v>74</v>
      </c>
      <c r="T14" t="s">
        <v>373</v>
      </c>
      <c r="U14" t="s">
        <v>374</v>
      </c>
      <c r="V14" t="s">
        <v>375</v>
      </c>
      <c r="W14" t="s">
        <v>376</v>
      </c>
      <c r="X14" t="s">
        <v>377</v>
      </c>
      <c r="Y14" t="s">
        <v>378</v>
      </c>
      <c r="Z14" t="s">
        <v>379</v>
      </c>
      <c r="AA14" t="s">
        <v>74</v>
      </c>
      <c r="AB14" t="s">
        <v>74</v>
      </c>
      <c r="AC14" t="s">
        <v>380</v>
      </c>
      <c r="AD14" t="s">
        <v>380</v>
      </c>
      <c r="AE14" t="s">
        <v>380</v>
      </c>
      <c r="AF14" t="s">
        <v>74</v>
      </c>
      <c r="AG14">
        <v>49</v>
      </c>
      <c r="AH14">
        <v>0</v>
      </c>
      <c r="AI14">
        <v>0</v>
      </c>
      <c r="AJ14">
        <v>0</v>
      </c>
      <c r="AK14">
        <v>0</v>
      </c>
      <c r="AL14" t="s">
        <v>117</v>
      </c>
      <c r="AM14" t="s">
        <v>118</v>
      </c>
      <c r="AN14" t="s">
        <v>119</v>
      </c>
      <c r="AO14" t="s">
        <v>381</v>
      </c>
      <c r="AP14" t="s">
        <v>382</v>
      </c>
      <c r="AQ14" t="s">
        <v>74</v>
      </c>
      <c r="AR14" t="s">
        <v>383</v>
      </c>
      <c r="AS14" t="s">
        <v>384</v>
      </c>
      <c r="AT14" t="s">
        <v>94</v>
      </c>
      <c r="AU14">
        <v>2023</v>
      </c>
      <c r="AV14">
        <v>53</v>
      </c>
      <c r="AW14">
        <v>6</v>
      </c>
      <c r="AX14" t="s">
        <v>74</v>
      </c>
      <c r="AY14" t="s">
        <v>74</v>
      </c>
      <c r="AZ14" t="s">
        <v>74</v>
      </c>
      <c r="BA14" t="s">
        <v>74</v>
      </c>
      <c r="BB14" t="s">
        <v>74</v>
      </c>
      <c r="BC14" t="s">
        <v>74</v>
      </c>
      <c r="BD14">
        <v>149</v>
      </c>
      <c r="BE14" t="s">
        <v>385</v>
      </c>
      <c r="BF14" t="str">
        <f>HYPERLINK("http://dx.doi.org/10.1007/s13538-023-01362-1","http://dx.doi.org/10.1007/s13538-023-01362-1")</f>
        <v>http://dx.doi.org/10.1007/s13538-023-01362-1</v>
      </c>
      <c r="BG14" t="s">
        <v>74</v>
      </c>
      <c r="BH14" t="s">
        <v>74</v>
      </c>
      <c r="BI14">
        <v>18</v>
      </c>
      <c r="BJ14" t="s">
        <v>386</v>
      </c>
      <c r="BK14" t="s">
        <v>126</v>
      </c>
      <c r="BL14" t="s">
        <v>387</v>
      </c>
      <c r="BM14" t="s">
        <v>388</v>
      </c>
      <c r="BN14" t="s">
        <v>74</v>
      </c>
      <c r="BO14" t="s">
        <v>74</v>
      </c>
      <c r="BP14" t="s">
        <v>74</v>
      </c>
      <c r="BQ14" t="s">
        <v>74</v>
      </c>
      <c r="BR14" t="s">
        <v>99</v>
      </c>
      <c r="BS14" t="s">
        <v>389</v>
      </c>
      <c r="BT14" t="str">
        <f>HYPERLINK("https%3A%2F%2Fwww.webofscience.com%2Fwos%2Fwoscc%2Ffull-record%2FWOS:001069069700001","View Full Record in Web of Science")</f>
        <v>View Full Record in Web of Science</v>
      </c>
    </row>
    <row r="15" spans="1:72" x14ac:dyDescent="0.15">
      <c r="A15" t="s">
        <v>72</v>
      </c>
      <c r="B15" t="s">
        <v>390</v>
      </c>
      <c r="C15" t="s">
        <v>74</v>
      </c>
      <c r="D15" t="s">
        <v>74</v>
      </c>
      <c r="E15" t="s">
        <v>74</v>
      </c>
      <c r="F15" t="s">
        <v>391</v>
      </c>
      <c r="G15" t="s">
        <v>74</v>
      </c>
      <c r="H15" t="s">
        <v>74</v>
      </c>
      <c r="I15" t="s">
        <v>392</v>
      </c>
      <c r="J15" t="s">
        <v>283</v>
      </c>
      <c r="K15" t="s">
        <v>74</v>
      </c>
      <c r="L15" t="s">
        <v>74</v>
      </c>
      <c r="M15" t="s">
        <v>78</v>
      </c>
      <c r="N15" t="s">
        <v>79</v>
      </c>
      <c r="O15" t="s">
        <v>74</v>
      </c>
      <c r="P15" t="s">
        <v>74</v>
      </c>
      <c r="Q15" t="s">
        <v>74</v>
      </c>
      <c r="R15" t="s">
        <v>74</v>
      </c>
      <c r="S15" t="s">
        <v>74</v>
      </c>
      <c r="T15" t="s">
        <v>393</v>
      </c>
      <c r="U15" t="s">
        <v>74</v>
      </c>
      <c r="V15" t="s">
        <v>394</v>
      </c>
      <c r="W15" t="s">
        <v>395</v>
      </c>
      <c r="X15" t="s">
        <v>396</v>
      </c>
      <c r="Y15" t="s">
        <v>397</v>
      </c>
      <c r="Z15" t="s">
        <v>398</v>
      </c>
      <c r="AA15" t="s">
        <v>399</v>
      </c>
      <c r="AB15" t="s">
        <v>400</v>
      </c>
      <c r="AC15" t="s">
        <v>401</v>
      </c>
      <c r="AD15" t="s">
        <v>402</v>
      </c>
      <c r="AE15" t="s">
        <v>403</v>
      </c>
      <c r="AF15" t="s">
        <v>74</v>
      </c>
      <c r="AG15">
        <v>39</v>
      </c>
      <c r="AH15">
        <v>0</v>
      </c>
      <c r="AI15">
        <v>0</v>
      </c>
      <c r="AJ15">
        <v>9</v>
      </c>
      <c r="AK15">
        <v>13</v>
      </c>
      <c r="AL15" t="s">
        <v>117</v>
      </c>
      <c r="AM15" t="s">
        <v>118</v>
      </c>
      <c r="AN15" t="s">
        <v>119</v>
      </c>
      <c r="AO15" t="s">
        <v>294</v>
      </c>
      <c r="AP15" t="s">
        <v>295</v>
      </c>
      <c r="AQ15" t="s">
        <v>74</v>
      </c>
      <c r="AR15" t="s">
        <v>296</v>
      </c>
      <c r="AS15" t="s">
        <v>297</v>
      </c>
      <c r="AT15" t="s">
        <v>94</v>
      </c>
      <c r="AU15">
        <v>2023</v>
      </c>
      <c r="AV15">
        <v>10</v>
      </c>
      <c r="AW15">
        <v>1</v>
      </c>
      <c r="AX15" t="s">
        <v>74</v>
      </c>
      <c r="AY15" t="s">
        <v>74</v>
      </c>
      <c r="AZ15" t="s">
        <v>74</v>
      </c>
      <c r="BA15" t="s">
        <v>74</v>
      </c>
      <c r="BB15" t="s">
        <v>74</v>
      </c>
      <c r="BC15" t="s">
        <v>74</v>
      </c>
      <c r="BD15">
        <v>5</v>
      </c>
      <c r="BE15" t="s">
        <v>404</v>
      </c>
      <c r="BF15" t="str">
        <f>HYPERLINK("http://dx.doi.org/10.1140/epjqt/s40507-023-00162-5","http://dx.doi.org/10.1140/epjqt/s40507-023-00162-5")</f>
        <v>http://dx.doi.org/10.1140/epjqt/s40507-023-00162-5</v>
      </c>
      <c r="BG15" t="s">
        <v>74</v>
      </c>
      <c r="BH15" t="s">
        <v>74</v>
      </c>
      <c r="BI15">
        <v>15</v>
      </c>
      <c r="BJ15" t="s">
        <v>299</v>
      </c>
      <c r="BK15" t="s">
        <v>126</v>
      </c>
      <c r="BL15" t="s">
        <v>300</v>
      </c>
      <c r="BM15" t="s">
        <v>405</v>
      </c>
      <c r="BN15" t="s">
        <v>74</v>
      </c>
      <c r="BO15" t="s">
        <v>406</v>
      </c>
      <c r="BP15" t="s">
        <v>74</v>
      </c>
      <c r="BQ15" t="s">
        <v>74</v>
      </c>
      <c r="BR15" t="s">
        <v>99</v>
      </c>
      <c r="BS15" t="s">
        <v>407</v>
      </c>
      <c r="BT15" t="str">
        <f>HYPERLINK("https%3A%2F%2Fwww.webofscience.com%2Fwos%2Fwoscc%2Ffull-record%2FWOS:000931839700001","View Full Record in Web of Science")</f>
        <v>View Full Record in Web of Science</v>
      </c>
    </row>
    <row r="16" spans="1:72" x14ac:dyDescent="0.15">
      <c r="A16" t="s">
        <v>72</v>
      </c>
      <c r="B16" t="s">
        <v>408</v>
      </c>
      <c r="C16" t="s">
        <v>74</v>
      </c>
      <c r="D16" t="s">
        <v>74</v>
      </c>
      <c r="E16" t="s">
        <v>74</v>
      </c>
      <c r="F16" t="s">
        <v>409</v>
      </c>
      <c r="G16" t="s">
        <v>74</v>
      </c>
      <c r="H16" t="s">
        <v>74</v>
      </c>
      <c r="I16" t="s">
        <v>410</v>
      </c>
      <c r="J16" t="s">
        <v>411</v>
      </c>
      <c r="K16" t="s">
        <v>74</v>
      </c>
      <c r="L16" t="s">
        <v>74</v>
      </c>
      <c r="M16" t="s">
        <v>78</v>
      </c>
      <c r="N16" t="s">
        <v>79</v>
      </c>
      <c r="O16" t="s">
        <v>74</v>
      </c>
      <c r="P16" t="s">
        <v>74</v>
      </c>
      <c r="Q16" t="s">
        <v>74</v>
      </c>
      <c r="R16" t="s">
        <v>74</v>
      </c>
      <c r="S16" t="s">
        <v>74</v>
      </c>
      <c r="T16" t="s">
        <v>412</v>
      </c>
      <c r="U16" t="s">
        <v>413</v>
      </c>
      <c r="V16" t="s">
        <v>414</v>
      </c>
      <c r="W16" t="s">
        <v>415</v>
      </c>
      <c r="X16" t="s">
        <v>416</v>
      </c>
      <c r="Y16" t="s">
        <v>417</v>
      </c>
      <c r="Z16" t="s">
        <v>418</v>
      </c>
      <c r="AA16" t="s">
        <v>74</v>
      </c>
      <c r="AB16" t="s">
        <v>74</v>
      </c>
      <c r="AC16" t="s">
        <v>74</v>
      </c>
      <c r="AD16" t="s">
        <v>74</v>
      </c>
      <c r="AE16" t="s">
        <v>74</v>
      </c>
      <c r="AF16" t="s">
        <v>74</v>
      </c>
      <c r="AG16">
        <v>54</v>
      </c>
      <c r="AH16">
        <v>0</v>
      </c>
      <c r="AI16">
        <v>0</v>
      </c>
      <c r="AJ16">
        <v>19</v>
      </c>
      <c r="AK16">
        <v>19</v>
      </c>
      <c r="AL16" t="s">
        <v>172</v>
      </c>
      <c r="AM16" t="s">
        <v>173</v>
      </c>
      <c r="AN16" t="s">
        <v>174</v>
      </c>
      <c r="AO16" t="s">
        <v>419</v>
      </c>
      <c r="AP16" t="s">
        <v>420</v>
      </c>
      <c r="AQ16" t="s">
        <v>74</v>
      </c>
      <c r="AR16" t="s">
        <v>421</v>
      </c>
      <c r="AS16" t="s">
        <v>422</v>
      </c>
      <c r="AT16" t="s">
        <v>94</v>
      </c>
      <c r="AU16">
        <v>2023</v>
      </c>
      <c r="AV16">
        <v>33</v>
      </c>
      <c r="AW16">
        <v>1</v>
      </c>
      <c r="AX16" t="s">
        <v>74</v>
      </c>
      <c r="AY16" t="s">
        <v>74</v>
      </c>
      <c r="AZ16" t="s">
        <v>74</v>
      </c>
      <c r="BA16" t="s">
        <v>74</v>
      </c>
      <c r="BB16" t="s">
        <v>74</v>
      </c>
      <c r="BC16" t="s">
        <v>74</v>
      </c>
      <c r="BD16">
        <v>30</v>
      </c>
      <c r="BE16" t="s">
        <v>423</v>
      </c>
      <c r="BF16" t="str">
        <f>HYPERLINK("http://dx.doi.org/10.1007/s12525-023-00653-4","http://dx.doi.org/10.1007/s12525-023-00653-4")</f>
        <v>http://dx.doi.org/10.1007/s12525-023-00653-4</v>
      </c>
      <c r="BG16" t="s">
        <v>74</v>
      </c>
      <c r="BH16" t="s">
        <v>74</v>
      </c>
      <c r="BI16">
        <v>17</v>
      </c>
      <c r="BJ16" t="s">
        <v>424</v>
      </c>
      <c r="BK16" t="s">
        <v>425</v>
      </c>
      <c r="BL16" t="s">
        <v>426</v>
      </c>
      <c r="BM16" t="s">
        <v>427</v>
      </c>
      <c r="BN16" t="s">
        <v>74</v>
      </c>
      <c r="BO16" t="s">
        <v>428</v>
      </c>
      <c r="BP16" t="s">
        <v>74</v>
      </c>
      <c r="BQ16" t="s">
        <v>74</v>
      </c>
      <c r="BR16" t="s">
        <v>99</v>
      </c>
      <c r="BS16" t="s">
        <v>429</v>
      </c>
      <c r="BT16" t="str">
        <f>HYPERLINK("https%3A%2F%2Fwww.webofscience.com%2Fwos%2Fwoscc%2Ffull-record%2FWOS:001016879800001","View Full Record in Web of Science")</f>
        <v>View Full Record in Web of Science</v>
      </c>
    </row>
    <row r="17" spans="1:72" x14ac:dyDescent="0.15">
      <c r="A17" t="s">
        <v>72</v>
      </c>
      <c r="B17" t="s">
        <v>430</v>
      </c>
      <c r="C17" t="s">
        <v>74</v>
      </c>
      <c r="D17" t="s">
        <v>74</v>
      </c>
      <c r="E17" t="s">
        <v>74</v>
      </c>
      <c r="F17" t="s">
        <v>431</v>
      </c>
      <c r="G17" t="s">
        <v>74</v>
      </c>
      <c r="H17" t="s">
        <v>74</v>
      </c>
      <c r="I17" t="s">
        <v>432</v>
      </c>
      <c r="J17" t="s">
        <v>433</v>
      </c>
      <c r="K17" t="s">
        <v>74</v>
      </c>
      <c r="L17" t="s">
        <v>74</v>
      </c>
      <c r="M17" t="s">
        <v>78</v>
      </c>
      <c r="N17" t="s">
        <v>79</v>
      </c>
      <c r="O17" t="s">
        <v>74</v>
      </c>
      <c r="P17" t="s">
        <v>74</v>
      </c>
      <c r="Q17" t="s">
        <v>74</v>
      </c>
      <c r="R17" t="s">
        <v>74</v>
      </c>
      <c r="S17" t="s">
        <v>74</v>
      </c>
      <c r="T17" t="s">
        <v>434</v>
      </c>
      <c r="U17" t="s">
        <v>435</v>
      </c>
      <c r="V17" t="s">
        <v>436</v>
      </c>
      <c r="W17" t="s">
        <v>437</v>
      </c>
      <c r="X17" t="s">
        <v>438</v>
      </c>
      <c r="Y17" t="s">
        <v>439</v>
      </c>
      <c r="Z17" t="s">
        <v>440</v>
      </c>
      <c r="AA17" t="s">
        <v>441</v>
      </c>
      <c r="AB17" t="s">
        <v>442</v>
      </c>
      <c r="AC17" t="s">
        <v>74</v>
      </c>
      <c r="AD17" t="s">
        <v>74</v>
      </c>
      <c r="AE17" t="s">
        <v>74</v>
      </c>
      <c r="AF17" t="s">
        <v>74</v>
      </c>
      <c r="AG17">
        <v>40</v>
      </c>
      <c r="AH17">
        <v>0</v>
      </c>
      <c r="AI17">
        <v>0</v>
      </c>
      <c r="AJ17">
        <v>12</v>
      </c>
      <c r="AK17">
        <v>14</v>
      </c>
      <c r="AL17" t="s">
        <v>443</v>
      </c>
      <c r="AM17" t="s">
        <v>245</v>
      </c>
      <c r="AN17" t="s">
        <v>444</v>
      </c>
      <c r="AO17" t="s">
        <v>445</v>
      </c>
      <c r="AP17" t="s">
        <v>446</v>
      </c>
      <c r="AQ17" t="s">
        <v>74</v>
      </c>
      <c r="AR17" t="s">
        <v>447</v>
      </c>
      <c r="AS17" t="s">
        <v>448</v>
      </c>
      <c r="AT17" t="s">
        <v>94</v>
      </c>
      <c r="AU17">
        <v>2023</v>
      </c>
      <c r="AV17">
        <v>20</v>
      </c>
      <c r="AW17">
        <v>1</v>
      </c>
      <c r="AX17" t="s">
        <v>74</v>
      </c>
      <c r="AY17" t="s">
        <v>74</v>
      </c>
      <c r="AZ17" t="s">
        <v>74</v>
      </c>
      <c r="BA17" t="s">
        <v>74</v>
      </c>
      <c r="BB17" t="s">
        <v>74</v>
      </c>
      <c r="BC17" t="s">
        <v>74</v>
      </c>
      <c r="BD17">
        <v>7</v>
      </c>
      <c r="BE17" t="s">
        <v>449</v>
      </c>
      <c r="BF17" t="str">
        <f>HYPERLINK("http://dx.doi.org/10.1186/s12014-023-09395-z","http://dx.doi.org/10.1186/s12014-023-09395-z")</f>
        <v>http://dx.doi.org/10.1186/s12014-023-09395-z</v>
      </c>
      <c r="BG17" t="s">
        <v>74</v>
      </c>
      <c r="BH17" t="s">
        <v>74</v>
      </c>
      <c r="BI17">
        <v>11</v>
      </c>
      <c r="BJ17" t="s">
        <v>450</v>
      </c>
      <c r="BK17" t="s">
        <v>126</v>
      </c>
      <c r="BL17" t="s">
        <v>451</v>
      </c>
      <c r="BM17" t="s">
        <v>452</v>
      </c>
      <c r="BN17">
        <v>36810000</v>
      </c>
      <c r="BO17" t="s">
        <v>453</v>
      </c>
      <c r="BP17" t="s">
        <v>74</v>
      </c>
      <c r="BQ17" t="s">
        <v>74</v>
      </c>
      <c r="BR17" t="s">
        <v>99</v>
      </c>
      <c r="BS17" t="s">
        <v>454</v>
      </c>
      <c r="BT17" t="str">
        <f>HYPERLINK("https%3A%2F%2Fwww.webofscience.com%2Fwos%2Fwoscc%2Ffull-record%2FWOS:000935039400001","View Full Record in Web of Science")</f>
        <v>View Full Record in Web of Science</v>
      </c>
    </row>
    <row r="18" spans="1:72" x14ac:dyDescent="0.15">
      <c r="A18" t="s">
        <v>72</v>
      </c>
      <c r="B18" t="s">
        <v>455</v>
      </c>
      <c r="C18" t="s">
        <v>74</v>
      </c>
      <c r="D18" t="s">
        <v>74</v>
      </c>
      <c r="E18" t="s">
        <v>74</v>
      </c>
      <c r="F18" t="s">
        <v>456</v>
      </c>
      <c r="G18" t="s">
        <v>74</v>
      </c>
      <c r="H18" t="s">
        <v>74</v>
      </c>
      <c r="I18" t="s">
        <v>457</v>
      </c>
      <c r="J18" t="s">
        <v>188</v>
      </c>
      <c r="K18" t="s">
        <v>74</v>
      </c>
      <c r="L18" t="s">
        <v>74</v>
      </c>
      <c r="M18" t="s">
        <v>78</v>
      </c>
      <c r="N18" t="s">
        <v>79</v>
      </c>
      <c r="O18" t="s">
        <v>74</v>
      </c>
      <c r="P18" t="s">
        <v>74</v>
      </c>
      <c r="Q18" t="s">
        <v>74</v>
      </c>
      <c r="R18" t="s">
        <v>74</v>
      </c>
      <c r="S18" t="s">
        <v>74</v>
      </c>
      <c r="T18" t="s">
        <v>458</v>
      </c>
      <c r="U18" t="s">
        <v>459</v>
      </c>
      <c r="V18" t="s">
        <v>460</v>
      </c>
      <c r="W18" t="s">
        <v>461</v>
      </c>
      <c r="X18" t="s">
        <v>462</v>
      </c>
      <c r="Y18" t="s">
        <v>463</v>
      </c>
      <c r="Z18" t="s">
        <v>464</v>
      </c>
      <c r="AA18" t="s">
        <v>465</v>
      </c>
      <c r="AB18" t="s">
        <v>466</v>
      </c>
      <c r="AC18" t="s">
        <v>467</v>
      </c>
      <c r="AD18" t="s">
        <v>467</v>
      </c>
      <c r="AE18" t="s">
        <v>468</v>
      </c>
      <c r="AF18" t="s">
        <v>74</v>
      </c>
      <c r="AG18">
        <v>37</v>
      </c>
      <c r="AH18">
        <v>0</v>
      </c>
      <c r="AI18">
        <v>0</v>
      </c>
      <c r="AJ18">
        <v>3</v>
      </c>
      <c r="AK18">
        <v>3</v>
      </c>
      <c r="AL18" t="s">
        <v>172</v>
      </c>
      <c r="AM18" t="s">
        <v>173</v>
      </c>
      <c r="AN18" t="s">
        <v>174</v>
      </c>
      <c r="AO18" t="s">
        <v>199</v>
      </c>
      <c r="AP18" t="s">
        <v>200</v>
      </c>
      <c r="AQ18" t="s">
        <v>74</v>
      </c>
      <c r="AR18" t="s">
        <v>201</v>
      </c>
      <c r="AS18" t="s">
        <v>202</v>
      </c>
      <c r="AT18" t="s">
        <v>94</v>
      </c>
      <c r="AU18">
        <v>2023</v>
      </c>
      <c r="AV18">
        <v>20</v>
      </c>
      <c r="AW18">
        <v>1</v>
      </c>
      <c r="AX18" t="s">
        <v>74</v>
      </c>
      <c r="AY18" t="s">
        <v>74</v>
      </c>
      <c r="AZ18" t="s">
        <v>74</v>
      </c>
      <c r="BA18" t="s">
        <v>74</v>
      </c>
      <c r="BB18" t="s">
        <v>74</v>
      </c>
      <c r="BC18" t="s">
        <v>74</v>
      </c>
      <c r="BD18">
        <v>6</v>
      </c>
      <c r="BE18" t="s">
        <v>469</v>
      </c>
      <c r="BF18" t="str">
        <f>HYPERLINK("http://dx.doi.org/10.1007/s10287-023-00438-2","http://dx.doi.org/10.1007/s10287-023-00438-2")</f>
        <v>http://dx.doi.org/10.1007/s10287-023-00438-2</v>
      </c>
      <c r="BG18" t="s">
        <v>74</v>
      </c>
      <c r="BH18" t="s">
        <v>74</v>
      </c>
      <c r="BI18">
        <v>35</v>
      </c>
      <c r="BJ18" t="s">
        <v>204</v>
      </c>
      <c r="BK18" t="s">
        <v>97</v>
      </c>
      <c r="BL18" t="s">
        <v>205</v>
      </c>
      <c r="BM18" t="s">
        <v>470</v>
      </c>
      <c r="BN18" t="s">
        <v>74</v>
      </c>
      <c r="BO18" t="s">
        <v>74</v>
      </c>
      <c r="BP18" t="s">
        <v>74</v>
      </c>
      <c r="BQ18" t="s">
        <v>74</v>
      </c>
      <c r="BR18" t="s">
        <v>99</v>
      </c>
      <c r="BS18" t="s">
        <v>471</v>
      </c>
      <c r="BT18" t="str">
        <f>HYPERLINK("https%3A%2F%2Fwww.webofscience.com%2Fwos%2Fwoscc%2Ffull-record%2FWOS:000935655100001","View Full Record in Web of Science")</f>
        <v>View Full Record in Web of Science</v>
      </c>
    </row>
    <row r="19" spans="1:72" x14ac:dyDescent="0.15">
      <c r="A19" t="s">
        <v>72</v>
      </c>
      <c r="B19" t="s">
        <v>472</v>
      </c>
      <c r="C19" t="s">
        <v>74</v>
      </c>
      <c r="D19" t="s">
        <v>74</v>
      </c>
      <c r="E19" t="s">
        <v>74</v>
      </c>
      <c r="F19" t="s">
        <v>473</v>
      </c>
      <c r="G19" t="s">
        <v>74</v>
      </c>
      <c r="H19" t="s">
        <v>74</v>
      </c>
      <c r="I19" t="s">
        <v>474</v>
      </c>
      <c r="J19" t="s">
        <v>133</v>
      </c>
      <c r="K19" t="s">
        <v>74</v>
      </c>
      <c r="L19" t="s">
        <v>74</v>
      </c>
      <c r="M19" t="s">
        <v>78</v>
      </c>
      <c r="N19" t="s">
        <v>79</v>
      </c>
      <c r="O19" t="s">
        <v>74</v>
      </c>
      <c r="P19" t="s">
        <v>74</v>
      </c>
      <c r="Q19" t="s">
        <v>74</v>
      </c>
      <c r="R19" t="s">
        <v>74</v>
      </c>
      <c r="S19" t="s">
        <v>74</v>
      </c>
      <c r="T19" t="s">
        <v>475</v>
      </c>
      <c r="U19" t="s">
        <v>476</v>
      </c>
      <c r="V19" t="s">
        <v>477</v>
      </c>
      <c r="W19" t="s">
        <v>478</v>
      </c>
      <c r="X19" t="s">
        <v>479</v>
      </c>
      <c r="Y19" t="s">
        <v>480</v>
      </c>
      <c r="Z19" t="s">
        <v>481</v>
      </c>
      <c r="AA19" t="s">
        <v>482</v>
      </c>
      <c r="AB19" t="s">
        <v>483</v>
      </c>
      <c r="AC19" t="s">
        <v>74</v>
      </c>
      <c r="AD19" t="s">
        <v>74</v>
      </c>
      <c r="AE19" t="s">
        <v>74</v>
      </c>
      <c r="AF19" t="s">
        <v>74</v>
      </c>
      <c r="AG19">
        <v>84</v>
      </c>
      <c r="AH19">
        <v>0</v>
      </c>
      <c r="AI19">
        <v>0</v>
      </c>
      <c r="AJ19">
        <v>10</v>
      </c>
      <c r="AK19">
        <v>10</v>
      </c>
      <c r="AL19" t="s">
        <v>443</v>
      </c>
      <c r="AM19" t="s">
        <v>245</v>
      </c>
      <c r="AN19" t="s">
        <v>444</v>
      </c>
      <c r="AO19" t="s">
        <v>149</v>
      </c>
      <c r="AP19" t="s">
        <v>150</v>
      </c>
      <c r="AQ19" t="s">
        <v>74</v>
      </c>
      <c r="AR19" t="s">
        <v>151</v>
      </c>
      <c r="AS19" t="s">
        <v>152</v>
      </c>
      <c r="AT19" t="s">
        <v>94</v>
      </c>
      <c r="AU19">
        <v>2023</v>
      </c>
      <c r="AV19">
        <v>14</v>
      </c>
      <c r="AW19">
        <v>1</v>
      </c>
      <c r="AX19" t="s">
        <v>74</v>
      </c>
      <c r="AY19" t="s">
        <v>74</v>
      </c>
      <c r="AZ19" t="s">
        <v>74</v>
      </c>
      <c r="BA19" t="s">
        <v>74</v>
      </c>
      <c r="BB19" t="s">
        <v>74</v>
      </c>
      <c r="BC19" t="s">
        <v>74</v>
      </c>
      <c r="BD19">
        <v>33</v>
      </c>
      <c r="BE19" t="s">
        <v>484</v>
      </c>
      <c r="BF19" t="str">
        <f>HYPERLINK("http://dx.doi.org/10.1186/s12645-023-00185-8","http://dx.doi.org/10.1186/s12645-023-00185-8")</f>
        <v>http://dx.doi.org/10.1186/s12645-023-00185-8</v>
      </c>
      <c r="BG19" t="s">
        <v>74</v>
      </c>
      <c r="BH19" t="s">
        <v>74</v>
      </c>
      <c r="BI19">
        <v>23</v>
      </c>
      <c r="BJ19" t="s">
        <v>154</v>
      </c>
      <c r="BK19" t="s">
        <v>126</v>
      </c>
      <c r="BL19" t="s">
        <v>155</v>
      </c>
      <c r="BM19" t="s">
        <v>485</v>
      </c>
      <c r="BN19" t="s">
        <v>74</v>
      </c>
      <c r="BO19" t="s">
        <v>157</v>
      </c>
      <c r="BP19" t="s">
        <v>74</v>
      </c>
      <c r="BQ19" t="s">
        <v>74</v>
      </c>
      <c r="BR19" t="s">
        <v>99</v>
      </c>
      <c r="BS19" t="s">
        <v>486</v>
      </c>
      <c r="BT19" t="str">
        <f>HYPERLINK("https%3A%2F%2Fwww.webofscience.com%2Fwos%2Fwoscc%2Ffull-record%2FWOS:000965107200001","View Full Record in Web of Science")</f>
        <v>View Full Record in Web of Science</v>
      </c>
    </row>
    <row r="20" spans="1:72" x14ac:dyDescent="0.15">
      <c r="A20" t="s">
        <v>72</v>
      </c>
      <c r="B20" t="s">
        <v>487</v>
      </c>
      <c r="C20" t="s">
        <v>74</v>
      </c>
      <c r="D20" t="s">
        <v>74</v>
      </c>
      <c r="E20" t="s">
        <v>74</v>
      </c>
      <c r="F20" t="s">
        <v>488</v>
      </c>
      <c r="G20" t="s">
        <v>74</v>
      </c>
      <c r="H20" t="s">
        <v>74</v>
      </c>
      <c r="I20" t="s">
        <v>489</v>
      </c>
      <c r="J20" t="s">
        <v>348</v>
      </c>
      <c r="K20" t="s">
        <v>74</v>
      </c>
      <c r="L20" t="s">
        <v>74</v>
      </c>
      <c r="M20" t="s">
        <v>78</v>
      </c>
      <c r="N20" t="s">
        <v>79</v>
      </c>
      <c r="O20" t="s">
        <v>74</v>
      </c>
      <c r="P20" t="s">
        <v>74</v>
      </c>
      <c r="Q20" t="s">
        <v>74</v>
      </c>
      <c r="R20" t="s">
        <v>74</v>
      </c>
      <c r="S20" t="s">
        <v>74</v>
      </c>
      <c r="T20" t="s">
        <v>490</v>
      </c>
      <c r="U20" t="s">
        <v>491</v>
      </c>
      <c r="V20" t="s">
        <v>492</v>
      </c>
      <c r="W20" t="s">
        <v>493</v>
      </c>
      <c r="X20" t="s">
        <v>494</v>
      </c>
      <c r="Y20" t="s">
        <v>495</v>
      </c>
      <c r="Z20" t="s">
        <v>496</v>
      </c>
      <c r="AA20" t="s">
        <v>74</v>
      </c>
      <c r="AB20" t="s">
        <v>74</v>
      </c>
      <c r="AC20" t="s">
        <v>497</v>
      </c>
      <c r="AD20" t="s">
        <v>497</v>
      </c>
      <c r="AE20" t="s">
        <v>498</v>
      </c>
      <c r="AF20" t="s">
        <v>74</v>
      </c>
      <c r="AG20">
        <v>48</v>
      </c>
      <c r="AH20">
        <v>0</v>
      </c>
      <c r="AI20">
        <v>0</v>
      </c>
      <c r="AJ20">
        <v>2</v>
      </c>
      <c r="AK20">
        <v>2</v>
      </c>
      <c r="AL20" t="s">
        <v>317</v>
      </c>
      <c r="AM20" t="s">
        <v>245</v>
      </c>
      <c r="AN20" t="s">
        <v>318</v>
      </c>
      <c r="AO20" t="s">
        <v>360</v>
      </c>
      <c r="AP20" t="s">
        <v>361</v>
      </c>
      <c r="AQ20" t="s">
        <v>74</v>
      </c>
      <c r="AR20" t="s">
        <v>362</v>
      </c>
      <c r="AS20" t="s">
        <v>363</v>
      </c>
      <c r="AT20" t="s">
        <v>94</v>
      </c>
      <c r="AU20">
        <v>2023</v>
      </c>
      <c r="AV20">
        <v>8</v>
      </c>
      <c r="AW20">
        <v>1</v>
      </c>
      <c r="AX20" t="s">
        <v>74</v>
      </c>
      <c r="AY20" t="s">
        <v>74</v>
      </c>
      <c r="AZ20" t="s">
        <v>74</v>
      </c>
      <c r="BA20" t="s">
        <v>74</v>
      </c>
      <c r="BB20" t="s">
        <v>74</v>
      </c>
      <c r="BC20" t="s">
        <v>74</v>
      </c>
      <c r="BD20">
        <v>32</v>
      </c>
      <c r="BE20" t="s">
        <v>499</v>
      </c>
      <c r="BF20" t="str">
        <f>HYPERLINK("http://dx.doi.org/10.1007/s41101-023-00208-w","http://dx.doi.org/10.1007/s41101-023-00208-w")</f>
        <v>http://dx.doi.org/10.1007/s41101-023-00208-w</v>
      </c>
      <c r="BG20" t="s">
        <v>74</v>
      </c>
      <c r="BH20" t="s">
        <v>74</v>
      </c>
      <c r="BI20">
        <v>13</v>
      </c>
      <c r="BJ20" t="s">
        <v>365</v>
      </c>
      <c r="BK20" t="s">
        <v>97</v>
      </c>
      <c r="BL20" t="s">
        <v>366</v>
      </c>
      <c r="BM20" t="s">
        <v>500</v>
      </c>
      <c r="BN20" t="s">
        <v>74</v>
      </c>
      <c r="BO20" t="s">
        <v>74</v>
      </c>
      <c r="BP20" t="s">
        <v>74</v>
      </c>
      <c r="BQ20" t="s">
        <v>74</v>
      </c>
      <c r="BR20" t="s">
        <v>99</v>
      </c>
      <c r="BS20" t="s">
        <v>501</v>
      </c>
      <c r="BT20" t="str">
        <f>HYPERLINK("https%3A%2F%2Fwww.webofscience.com%2Fwos%2Fwoscc%2Ffull-record%2FWOS:001036785000001","View Full Record in Web of Science")</f>
        <v>View Full Record in Web of Science</v>
      </c>
    </row>
    <row r="21" spans="1:72" x14ac:dyDescent="0.15">
      <c r="A21" t="s">
        <v>72</v>
      </c>
      <c r="B21" t="s">
        <v>502</v>
      </c>
      <c r="C21" t="s">
        <v>74</v>
      </c>
      <c r="D21" t="s">
        <v>74</v>
      </c>
      <c r="E21" t="s">
        <v>74</v>
      </c>
      <c r="F21" t="s">
        <v>503</v>
      </c>
      <c r="G21" t="s">
        <v>74</v>
      </c>
      <c r="H21" t="s">
        <v>74</v>
      </c>
      <c r="I21" t="s">
        <v>504</v>
      </c>
      <c r="J21" t="s">
        <v>505</v>
      </c>
      <c r="K21" t="s">
        <v>74</v>
      </c>
      <c r="L21" t="s">
        <v>74</v>
      </c>
      <c r="M21" t="s">
        <v>78</v>
      </c>
      <c r="N21" t="s">
        <v>79</v>
      </c>
      <c r="O21" t="s">
        <v>74</v>
      </c>
      <c r="P21" t="s">
        <v>74</v>
      </c>
      <c r="Q21" t="s">
        <v>74</v>
      </c>
      <c r="R21" t="s">
        <v>74</v>
      </c>
      <c r="S21" t="s">
        <v>74</v>
      </c>
      <c r="T21" t="s">
        <v>506</v>
      </c>
      <c r="U21" t="s">
        <v>74</v>
      </c>
      <c r="V21" t="s">
        <v>507</v>
      </c>
      <c r="W21" t="s">
        <v>508</v>
      </c>
      <c r="X21" t="s">
        <v>74</v>
      </c>
      <c r="Y21" t="s">
        <v>509</v>
      </c>
      <c r="Z21" t="s">
        <v>510</v>
      </c>
      <c r="AA21" t="s">
        <v>74</v>
      </c>
      <c r="AB21" t="s">
        <v>74</v>
      </c>
      <c r="AC21" t="s">
        <v>74</v>
      </c>
      <c r="AD21" t="s">
        <v>74</v>
      </c>
      <c r="AE21" t="s">
        <v>74</v>
      </c>
      <c r="AF21" t="s">
        <v>74</v>
      </c>
      <c r="AG21">
        <v>12</v>
      </c>
      <c r="AH21">
        <v>0</v>
      </c>
      <c r="AI21">
        <v>0</v>
      </c>
      <c r="AJ21">
        <v>1</v>
      </c>
      <c r="AK21">
        <v>1</v>
      </c>
      <c r="AL21" t="s">
        <v>219</v>
      </c>
      <c r="AM21" t="s">
        <v>220</v>
      </c>
      <c r="AN21" t="s">
        <v>221</v>
      </c>
      <c r="AO21" t="s">
        <v>511</v>
      </c>
      <c r="AP21" t="s">
        <v>512</v>
      </c>
      <c r="AQ21" t="s">
        <v>74</v>
      </c>
      <c r="AR21" t="s">
        <v>513</v>
      </c>
      <c r="AS21" t="s">
        <v>514</v>
      </c>
      <c r="AT21" t="s">
        <v>94</v>
      </c>
      <c r="AU21">
        <v>2023</v>
      </c>
      <c r="AV21">
        <v>78</v>
      </c>
      <c r="AW21">
        <v>6</v>
      </c>
      <c r="AX21" t="s">
        <v>74</v>
      </c>
      <c r="AY21" t="s">
        <v>74</v>
      </c>
      <c r="AZ21" t="s">
        <v>74</v>
      </c>
      <c r="BA21" t="s">
        <v>74</v>
      </c>
      <c r="BB21" t="s">
        <v>74</v>
      </c>
      <c r="BC21" t="s">
        <v>74</v>
      </c>
      <c r="BD21">
        <v>213</v>
      </c>
      <c r="BE21" t="s">
        <v>515</v>
      </c>
      <c r="BF21" t="str">
        <f>HYPERLINK("http://dx.doi.org/10.1007/s00025-023-01984-6","http://dx.doi.org/10.1007/s00025-023-01984-6")</f>
        <v>http://dx.doi.org/10.1007/s00025-023-01984-6</v>
      </c>
      <c r="BG21" t="s">
        <v>74</v>
      </c>
      <c r="BH21" t="s">
        <v>74</v>
      </c>
      <c r="BI21">
        <v>12</v>
      </c>
      <c r="BJ21" t="s">
        <v>227</v>
      </c>
      <c r="BK21" t="s">
        <v>126</v>
      </c>
      <c r="BL21" t="s">
        <v>228</v>
      </c>
      <c r="BM21" t="s">
        <v>516</v>
      </c>
      <c r="BN21" t="s">
        <v>74</v>
      </c>
      <c r="BO21" t="s">
        <v>74</v>
      </c>
      <c r="BP21" t="s">
        <v>74</v>
      </c>
      <c r="BQ21" t="s">
        <v>74</v>
      </c>
      <c r="BR21" t="s">
        <v>99</v>
      </c>
      <c r="BS21" t="s">
        <v>517</v>
      </c>
      <c r="BT21" t="str">
        <f>HYPERLINK("https%3A%2F%2Fwww.webofscience.com%2Fwos%2Fwoscc%2Ffull-record%2FWOS:001051665800008","View Full Record in Web of Science")</f>
        <v>View Full Record in Web of Science</v>
      </c>
    </row>
    <row r="22" spans="1:72" x14ac:dyDescent="0.15">
      <c r="A22" t="s">
        <v>72</v>
      </c>
      <c r="B22" t="s">
        <v>518</v>
      </c>
      <c r="C22" t="s">
        <v>74</v>
      </c>
      <c r="D22" t="s">
        <v>74</v>
      </c>
      <c r="E22" t="s">
        <v>74</v>
      </c>
      <c r="F22" t="s">
        <v>519</v>
      </c>
      <c r="G22" t="s">
        <v>74</v>
      </c>
      <c r="H22" t="s">
        <v>74</v>
      </c>
      <c r="I22" t="s">
        <v>520</v>
      </c>
      <c r="J22" t="s">
        <v>521</v>
      </c>
      <c r="K22" t="s">
        <v>74</v>
      </c>
      <c r="L22" t="s">
        <v>74</v>
      </c>
      <c r="M22" t="s">
        <v>78</v>
      </c>
      <c r="N22" t="s">
        <v>79</v>
      </c>
      <c r="O22" t="s">
        <v>74</v>
      </c>
      <c r="P22" t="s">
        <v>74</v>
      </c>
      <c r="Q22" t="s">
        <v>74</v>
      </c>
      <c r="R22" t="s">
        <v>74</v>
      </c>
      <c r="S22" t="s">
        <v>74</v>
      </c>
      <c r="T22" t="s">
        <v>522</v>
      </c>
      <c r="U22" t="s">
        <v>523</v>
      </c>
      <c r="V22" t="s">
        <v>524</v>
      </c>
      <c r="W22" t="s">
        <v>525</v>
      </c>
      <c r="X22" t="s">
        <v>526</v>
      </c>
      <c r="Y22" t="s">
        <v>527</v>
      </c>
      <c r="Z22" t="s">
        <v>528</v>
      </c>
      <c r="AA22" t="s">
        <v>74</v>
      </c>
      <c r="AB22" t="s">
        <v>74</v>
      </c>
      <c r="AC22" t="s">
        <v>529</v>
      </c>
      <c r="AD22" t="s">
        <v>530</v>
      </c>
      <c r="AE22" t="s">
        <v>531</v>
      </c>
      <c r="AF22" t="s">
        <v>74</v>
      </c>
      <c r="AG22">
        <v>194</v>
      </c>
      <c r="AH22">
        <v>0</v>
      </c>
      <c r="AI22">
        <v>0</v>
      </c>
      <c r="AJ22">
        <v>1</v>
      </c>
      <c r="AK22">
        <v>1</v>
      </c>
      <c r="AL22" t="s">
        <v>317</v>
      </c>
      <c r="AM22" t="s">
        <v>245</v>
      </c>
      <c r="AN22" t="s">
        <v>318</v>
      </c>
      <c r="AO22" t="s">
        <v>532</v>
      </c>
      <c r="AP22" t="s">
        <v>533</v>
      </c>
      <c r="AQ22" t="s">
        <v>74</v>
      </c>
      <c r="AR22" t="s">
        <v>534</v>
      </c>
      <c r="AS22" t="s">
        <v>535</v>
      </c>
      <c r="AT22" t="s">
        <v>94</v>
      </c>
      <c r="AU22">
        <v>2023</v>
      </c>
      <c r="AV22">
        <v>34</v>
      </c>
      <c r="AW22">
        <v>1</v>
      </c>
      <c r="AX22" t="s">
        <v>74</v>
      </c>
      <c r="AY22" t="s">
        <v>74</v>
      </c>
      <c r="AZ22" t="s">
        <v>74</v>
      </c>
      <c r="BA22" t="s">
        <v>74</v>
      </c>
      <c r="BB22" t="s">
        <v>74</v>
      </c>
      <c r="BC22" t="s">
        <v>74</v>
      </c>
      <c r="BD22">
        <v>14</v>
      </c>
      <c r="BE22" t="s">
        <v>536</v>
      </c>
      <c r="BF22" t="str">
        <f>HYPERLINK("http://dx.doi.org/10.1007/s44195-023-00044-4","http://dx.doi.org/10.1007/s44195-023-00044-4")</f>
        <v>http://dx.doi.org/10.1007/s44195-023-00044-4</v>
      </c>
      <c r="BG22" t="s">
        <v>74</v>
      </c>
      <c r="BH22" t="s">
        <v>74</v>
      </c>
      <c r="BI22">
        <v>26</v>
      </c>
      <c r="BJ22" t="s">
        <v>537</v>
      </c>
      <c r="BK22" t="s">
        <v>126</v>
      </c>
      <c r="BL22" t="s">
        <v>538</v>
      </c>
      <c r="BM22" t="s">
        <v>539</v>
      </c>
      <c r="BN22" t="s">
        <v>74</v>
      </c>
      <c r="BO22" t="s">
        <v>540</v>
      </c>
      <c r="BP22" t="s">
        <v>74</v>
      </c>
      <c r="BQ22" t="s">
        <v>74</v>
      </c>
      <c r="BR22" t="s">
        <v>99</v>
      </c>
      <c r="BS22" t="s">
        <v>541</v>
      </c>
      <c r="BT22" t="str">
        <f>HYPERLINK("https%3A%2F%2Fwww.webofscience.com%2Fwos%2Fwoscc%2Ffull-record%2FWOS:001063375800002","View Full Record in Web of Science")</f>
        <v>View Full Record in Web of Science</v>
      </c>
    </row>
    <row r="23" spans="1:72" x14ac:dyDescent="0.15">
      <c r="A23" t="s">
        <v>72</v>
      </c>
      <c r="B23" t="s">
        <v>542</v>
      </c>
      <c r="C23" t="s">
        <v>74</v>
      </c>
      <c r="D23" t="s">
        <v>74</v>
      </c>
      <c r="E23" t="s">
        <v>74</v>
      </c>
      <c r="F23" t="s">
        <v>543</v>
      </c>
      <c r="G23" t="s">
        <v>74</v>
      </c>
      <c r="H23" t="s">
        <v>74</v>
      </c>
      <c r="I23" t="s">
        <v>544</v>
      </c>
      <c r="J23" t="s">
        <v>545</v>
      </c>
      <c r="K23" t="s">
        <v>74</v>
      </c>
      <c r="L23" t="s">
        <v>74</v>
      </c>
      <c r="M23" t="s">
        <v>78</v>
      </c>
      <c r="N23" t="s">
        <v>79</v>
      </c>
      <c r="O23" t="s">
        <v>74</v>
      </c>
      <c r="P23" t="s">
        <v>74</v>
      </c>
      <c r="Q23" t="s">
        <v>74</v>
      </c>
      <c r="R23" t="s">
        <v>74</v>
      </c>
      <c r="S23" t="s">
        <v>74</v>
      </c>
      <c r="T23" t="s">
        <v>546</v>
      </c>
      <c r="U23" t="s">
        <v>74</v>
      </c>
      <c r="V23" t="s">
        <v>547</v>
      </c>
      <c r="W23" t="s">
        <v>548</v>
      </c>
      <c r="X23" t="s">
        <v>549</v>
      </c>
      <c r="Y23" t="s">
        <v>550</v>
      </c>
      <c r="Z23" t="s">
        <v>551</v>
      </c>
      <c r="AA23" t="s">
        <v>74</v>
      </c>
      <c r="AB23" t="s">
        <v>552</v>
      </c>
      <c r="AC23" t="s">
        <v>74</v>
      </c>
      <c r="AD23" t="s">
        <v>74</v>
      </c>
      <c r="AE23" t="s">
        <v>74</v>
      </c>
      <c r="AF23" t="s">
        <v>74</v>
      </c>
      <c r="AG23">
        <v>16</v>
      </c>
      <c r="AH23">
        <v>0</v>
      </c>
      <c r="AI23">
        <v>0</v>
      </c>
      <c r="AJ23">
        <v>4</v>
      </c>
      <c r="AK23">
        <v>6</v>
      </c>
      <c r="AL23" t="s">
        <v>172</v>
      </c>
      <c r="AM23" t="s">
        <v>173</v>
      </c>
      <c r="AN23" t="s">
        <v>174</v>
      </c>
      <c r="AO23" t="s">
        <v>553</v>
      </c>
      <c r="AP23" t="s">
        <v>554</v>
      </c>
      <c r="AQ23" t="s">
        <v>74</v>
      </c>
      <c r="AR23" t="s">
        <v>555</v>
      </c>
      <c r="AS23" t="s">
        <v>556</v>
      </c>
      <c r="AT23" t="s">
        <v>94</v>
      </c>
      <c r="AU23">
        <v>2023</v>
      </c>
      <c r="AV23">
        <v>16</v>
      </c>
      <c r="AW23">
        <v>1</v>
      </c>
      <c r="AX23" t="s">
        <v>74</v>
      </c>
      <c r="AY23" t="s">
        <v>74</v>
      </c>
      <c r="AZ23" t="s">
        <v>74</v>
      </c>
      <c r="BA23" t="s">
        <v>74</v>
      </c>
      <c r="BB23" t="s">
        <v>74</v>
      </c>
      <c r="BC23" t="s">
        <v>74</v>
      </c>
      <c r="BD23">
        <v>1</v>
      </c>
      <c r="BE23" t="s">
        <v>557</v>
      </c>
      <c r="BF23" t="str">
        <f>HYPERLINK("http://dx.doi.org/10.1007/s12076-023-00327-x","http://dx.doi.org/10.1007/s12076-023-00327-x")</f>
        <v>http://dx.doi.org/10.1007/s12076-023-00327-x</v>
      </c>
      <c r="BG23" t="s">
        <v>74</v>
      </c>
      <c r="BH23" t="s">
        <v>74</v>
      </c>
      <c r="BI23">
        <v>22</v>
      </c>
      <c r="BJ23" t="s">
        <v>558</v>
      </c>
      <c r="BK23" t="s">
        <v>97</v>
      </c>
      <c r="BL23" t="s">
        <v>558</v>
      </c>
      <c r="BM23" t="s">
        <v>559</v>
      </c>
      <c r="BN23">
        <v>36820279</v>
      </c>
      <c r="BO23" t="s">
        <v>560</v>
      </c>
      <c r="BP23" t="s">
        <v>74</v>
      </c>
      <c r="BQ23" t="s">
        <v>74</v>
      </c>
      <c r="BR23" t="s">
        <v>99</v>
      </c>
      <c r="BS23" t="s">
        <v>561</v>
      </c>
      <c r="BT23" t="str">
        <f>HYPERLINK("https%3A%2F%2Fwww.webofscience.com%2Fwos%2Fwoscc%2Ffull-record%2FWOS:000935048200001","View Full Record in Web of Science")</f>
        <v>View Full Record in Web of Science</v>
      </c>
    </row>
    <row r="24" spans="1:72" x14ac:dyDescent="0.15">
      <c r="A24" t="s">
        <v>72</v>
      </c>
      <c r="B24" t="s">
        <v>562</v>
      </c>
      <c r="C24" t="s">
        <v>74</v>
      </c>
      <c r="D24" t="s">
        <v>74</v>
      </c>
      <c r="E24" t="s">
        <v>74</v>
      </c>
      <c r="F24" t="s">
        <v>563</v>
      </c>
      <c r="G24" t="s">
        <v>74</v>
      </c>
      <c r="H24" t="s">
        <v>74</v>
      </c>
      <c r="I24" t="s">
        <v>564</v>
      </c>
      <c r="J24" t="s">
        <v>565</v>
      </c>
      <c r="K24" t="s">
        <v>74</v>
      </c>
      <c r="L24" t="s">
        <v>74</v>
      </c>
      <c r="M24" t="s">
        <v>78</v>
      </c>
      <c r="N24" t="s">
        <v>79</v>
      </c>
      <c r="O24" t="s">
        <v>74</v>
      </c>
      <c r="P24" t="s">
        <v>74</v>
      </c>
      <c r="Q24" t="s">
        <v>74</v>
      </c>
      <c r="R24" t="s">
        <v>74</v>
      </c>
      <c r="S24" t="s">
        <v>74</v>
      </c>
      <c r="T24" t="s">
        <v>566</v>
      </c>
      <c r="U24" t="s">
        <v>567</v>
      </c>
      <c r="V24" t="s">
        <v>568</v>
      </c>
      <c r="W24" t="s">
        <v>569</v>
      </c>
      <c r="X24" t="s">
        <v>570</v>
      </c>
      <c r="Y24" t="s">
        <v>571</v>
      </c>
      <c r="Z24" t="s">
        <v>572</v>
      </c>
      <c r="AA24" t="s">
        <v>74</v>
      </c>
      <c r="AB24" t="s">
        <v>74</v>
      </c>
      <c r="AC24" t="s">
        <v>74</v>
      </c>
      <c r="AD24" t="s">
        <v>74</v>
      </c>
      <c r="AE24" t="s">
        <v>74</v>
      </c>
      <c r="AF24" t="s">
        <v>74</v>
      </c>
      <c r="AG24">
        <v>42</v>
      </c>
      <c r="AH24">
        <v>1</v>
      </c>
      <c r="AI24">
        <v>1</v>
      </c>
      <c r="AJ24">
        <v>11</v>
      </c>
      <c r="AK24">
        <v>11</v>
      </c>
      <c r="AL24" t="s">
        <v>317</v>
      </c>
      <c r="AM24" t="s">
        <v>245</v>
      </c>
      <c r="AN24" t="s">
        <v>318</v>
      </c>
      <c r="AO24" t="s">
        <v>573</v>
      </c>
      <c r="AP24" t="s">
        <v>574</v>
      </c>
      <c r="AQ24" t="s">
        <v>74</v>
      </c>
      <c r="AR24" t="s">
        <v>575</v>
      </c>
      <c r="AS24" t="s">
        <v>576</v>
      </c>
      <c r="AT24" t="s">
        <v>94</v>
      </c>
      <c r="AU24">
        <v>2023</v>
      </c>
      <c r="AV24">
        <v>4</v>
      </c>
      <c r="AW24">
        <v>1</v>
      </c>
      <c r="AX24" t="s">
        <v>74</v>
      </c>
      <c r="AY24" t="s">
        <v>74</v>
      </c>
      <c r="AZ24" t="s">
        <v>74</v>
      </c>
      <c r="BA24" t="s">
        <v>74</v>
      </c>
      <c r="BB24" t="s">
        <v>74</v>
      </c>
      <c r="BC24" t="s">
        <v>74</v>
      </c>
      <c r="BD24">
        <v>11</v>
      </c>
      <c r="BE24" t="s">
        <v>577</v>
      </c>
      <c r="BF24" t="str">
        <f>HYPERLINK("http://dx.doi.org/10.1186/s43020-023-00100-x","http://dx.doi.org/10.1186/s43020-023-00100-x")</f>
        <v>http://dx.doi.org/10.1186/s43020-023-00100-x</v>
      </c>
      <c r="BG24" t="s">
        <v>74</v>
      </c>
      <c r="BH24" t="s">
        <v>74</v>
      </c>
      <c r="BI24">
        <v>13</v>
      </c>
      <c r="BJ24" t="s">
        <v>578</v>
      </c>
      <c r="BK24" t="s">
        <v>97</v>
      </c>
      <c r="BL24" t="s">
        <v>579</v>
      </c>
      <c r="BM24" t="s">
        <v>580</v>
      </c>
      <c r="BN24" t="s">
        <v>74</v>
      </c>
      <c r="BO24" t="s">
        <v>302</v>
      </c>
      <c r="BP24" t="s">
        <v>74</v>
      </c>
      <c r="BQ24" t="s">
        <v>74</v>
      </c>
      <c r="BR24" t="s">
        <v>99</v>
      </c>
      <c r="BS24" t="s">
        <v>581</v>
      </c>
      <c r="BT24" t="str">
        <f>HYPERLINK("https%3A%2F%2Fwww.webofscience.com%2Fwos%2Fwoscc%2Ffull-record%2FWOS:000966919300001","View Full Record in Web of Science")</f>
        <v>View Full Record in Web of Science</v>
      </c>
    </row>
    <row r="25" spans="1:72" x14ac:dyDescent="0.15">
      <c r="A25" t="s">
        <v>72</v>
      </c>
      <c r="B25" t="s">
        <v>582</v>
      </c>
      <c r="C25" t="s">
        <v>74</v>
      </c>
      <c r="D25" t="s">
        <v>74</v>
      </c>
      <c r="E25" t="s">
        <v>74</v>
      </c>
      <c r="F25" t="s">
        <v>583</v>
      </c>
      <c r="G25" t="s">
        <v>74</v>
      </c>
      <c r="H25" t="s">
        <v>74</v>
      </c>
      <c r="I25" t="s">
        <v>584</v>
      </c>
      <c r="J25" t="s">
        <v>348</v>
      </c>
      <c r="K25" t="s">
        <v>74</v>
      </c>
      <c r="L25" t="s">
        <v>74</v>
      </c>
      <c r="M25" t="s">
        <v>78</v>
      </c>
      <c r="N25" t="s">
        <v>79</v>
      </c>
      <c r="O25" t="s">
        <v>74</v>
      </c>
      <c r="P25" t="s">
        <v>74</v>
      </c>
      <c r="Q25" t="s">
        <v>74</v>
      </c>
      <c r="R25" t="s">
        <v>74</v>
      </c>
      <c r="S25" t="s">
        <v>74</v>
      </c>
      <c r="T25" t="s">
        <v>585</v>
      </c>
      <c r="U25" t="s">
        <v>586</v>
      </c>
      <c r="V25" t="s">
        <v>587</v>
      </c>
      <c r="W25" t="s">
        <v>588</v>
      </c>
      <c r="X25" t="s">
        <v>589</v>
      </c>
      <c r="Y25" t="s">
        <v>590</v>
      </c>
      <c r="Z25" t="s">
        <v>591</v>
      </c>
      <c r="AA25" t="s">
        <v>74</v>
      </c>
      <c r="AB25" t="s">
        <v>74</v>
      </c>
      <c r="AC25" t="s">
        <v>74</v>
      </c>
      <c r="AD25" t="s">
        <v>74</v>
      </c>
      <c r="AE25" t="s">
        <v>74</v>
      </c>
      <c r="AF25" t="s">
        <v>74</v>
      </c>
      <c r="AG25">
        <v>70</v>
      </c>
      <c r="AH25">
        <v>1</v>
      </c>
      <c r="AI25">
        <v>1</v>
      </c>
      <c r="AJ25">
        <v>5</v>
      </c>
      <c r="AK25">
        <v>5</v>
      </c>
      <c r="AL25" t="s">
        <v>317</v>
      </c>
      <c r="AM25" t="s">
        <v>245</v>
      </c>
      <c r="AN25" t="s">
        <v>318</v>
      </c>
      <c r="AO25" t="s">
        <v>360</v>
      </c>
      <c r="AP25" t="s">
        <v>361</v>
      </c>
      <c r="AQ25" t="s">
        <v>74</v>
      </c>
      <c r="AR25" t="s">
        <v>362</v>
      </c>
      <c r="AS25" t="s">
        <v>363</v>
      </c>
      <c r="AT25" t="s">
        <v>94</v>
      </c>
      <c r="AU25">
        <v>2023</v>
      </c>
      <c r="AV25">
        <v>8</v>
      </c>
      <c r="AW25">
        <v>1</v>
      </c>
      <c r="AX25" t="s">
        <v>74</v>
      </c>
      <c r="AY25" t="s">
        <v>74</v>
      </c>
      <c r="AZ25" t="s">
        <v>74</v>
      </c>
      <c r="BA25" t="s">
        <v>74</v>
      </c>
      <c r="BB25" t="s">
        <v>74</v>
      </c>
      <c r="BC25" t="s">
        <v>74</v>
      </c>
      <c r="BD25">
        <v>21</v>
      </c>
      <c r="BE25" t="s">
        <v>592</v>
      </c>
      <c r="BF25" t="str">
        <f>HYPERLINK("http://dx.doi.org/10.1007/s41101-023-00196-x","http://dx.doi.org/10.1007/s41101-023-00196-x")</f>
        <v>http://dx.doi.org/10.1007/s41101-023-00196-x</v>
      </c>
      <c r="BG25" t="s">
        <v>74</v>
      </c>
      <c r="BH25" t="s">
        <v>74</v>
      </c>
      <c r="BI25">
        <v>17</v>
      </c>
      <c r="BJ25" t="s">
        <v>365</v>
      </c>
      <c r="BK25" t="s">
        <v>97</v>
      </c>
      <c r="BL25" t="s">
        <v>366</v>
      </c>
      <c r="BM25" t="s">
        <v>593</v>
      </c>
      <c r="BN25" t="s">
        <v>74</v>
      </c>
      <c r="BO25" t="s">
        <v>74</v>
      </c>
      <c r="BP25" t="s">
        <v>74</v>
      </c>
      <c r="BQ25" t="s">
        <v>74</v>
      </c>
      <c r="BR25" t="s">
        <v>99</v>
      </c>
      <c r="BS25" t="s">
        <v>594</v>
      </c>
      <c r="BT25" t="str">
        <f>HYPERLINK("https%3A%2F%2Fwww.webofscience.com%2Fwos%2Fwoscc%2Ffull-record%2FWOS:001003092900001","View Full Record in Web of Science")</f>
        <v>View Full Record in Web of Science</v>
      </c>
    </row>
    <row r="26" spans="1:72" x14ac:dyDescent="0.15">
      <c r="A26" t="s">
        <v>72</v>
      </c>
      <c r="B26" t="s">
        <v>595</v>
      </c>
      <c r="C26" t="s">
        <v>74</v>
      </c>
      <c r="D26" t="s">
        <v>74</v>
      </c>
      <c r="E26" t="s">
        <v>74</v>
      </c>
      <c r="F26" t="s">
        <v>596</v>
      </c>
      <c r="G26" t="s">
        <v>74</v>
      </c>
      <c r="H26" t="s">
        <v>74</v>
      </c>
      <c r="I26" t="s">
        <v>597</v>
      </c>
      <c r="J26" t="s">
        <v>598</v>
      </c>
      <c r="K26" t="s">
        <v>74</v>
      </c>
      <c r="L26" t="s">
        <v>74</v>
      </c>
      <c r="M26" t="s">
        <v>78</v>
      </c>
      <c r="N26" t="s">
        <v>79</v>
      </c>
      <c r="O26" t="s">
        <v>74</v>
      </c>
      <c r="P26" t="s">
        <v>74</v>
      </c>
      <c r="Q26" t="s">
        <v>74</v>
      </c>
      <c r="R26" t="s">
        <v>74</v>
      </c>
      <c r="S26" t="s">
        <v>74</v>
      </c>
      <c r="T26" t="s">
        <v>599</v>
      </c>
      <c r="U26" t="s">
        <v>600</v>
      </c>
      <c r="V26" t="s">
        <v>601</v>
      </c>
      <c r="W26" t="s">
        <v>602</v>
      </c>
      <c r="X26" t="s">
        <v>603</v>
      </c>
      <c r="Y26" t="s">
        <v>604</v>
      </c>
      <c r="Z26" t="s">
        <v>605</v>
      </c>
      <c r="AA26" t="s">
        <v>606</v>
      </c>
      <c r="AB26" t="s">
        <v>607</v>
      </c>
      <c r="AC26" t="s">
        <v>74</v>
      </c>
      <c r="AD26" t="s">
        <v>74</v>
      </c>
      <c r="AE26" t="s">
        <v>74</v>
      </c>
      <c r="AF26" t="s">
        <v>74</v>
      </c>
      <c r="AG26">
        <v>26</v>
      </c>
      <c r="AH26">
        <v>0</v>
      </c>
      <c r="AI26">
        <v>0</v>
      </c>
      <c r="AJ26">
        <v>7</v>
      </c>
      <c r="AK26">
        <v>7</v>
      </c>
      <c r="AL26" t="s">
        <v>219</v>
      </c>
      <c r="AM26" t="s">
        <v>220</v>
      </c>
      <c r="AN26" t="s">
        <v>221</v>
      </c>
      <c r="AO26" t="s">
        <v>608</v>
      </c>
      <c r="AP26" t="s">
        <v>609</v>
      </c>
      <c r="AQ26" t="s">
        <v>74</v>
      </c>
      <c r="AR26" t="s">
        <v>610</v>
      </c>
      <c r="AS26" t="s">
        <v>611</v>
      </c>
      <c r="AT26" t="s">
        <v>94</v>
      </c>
      <c r="AU26">
        <v>2023</v>
      </c>
      <c r="AV26">
        <v>22</v>
      </c>
      <c r="AW26">
        <v>4</v>
      </c>
      <c r="AX26" t="s">
        <v>74</v>
      </c>
      <c r="AY26" t="s">
        <v>74</v>
      </c>
      <c r="AZ26" t="s">
        <v>74</v>
      </c>
      <c r="BA26" t="s">
        <v>74</v>
      </c>
      <c r="BB26" t="s">
        <v>74</v>
      </c>
      <c r="BC26" t="s">
        <v>74</v>
      </c>
      <c r="BD26">
        <v>133</v>
      </c>
      <c r="BE26" t="s">
        <v>612</v>
      </c>
      <c r="BF26" t="str">
        <f>HYPERLINK("http://dx.doi.org/10.1007/s12346-023-00831-x","http://dx.doi.org/10.1007/s12346-023-00831-x")</f>
        <v>http://dx.doi.org/10.1007/s12346-023-00831-x</v>
      </c>
      <c r="BG26" t="s">
        <v>74</v>
      </c>
      <c r="BH26" t="s">
        <v>74</v>
      </c>
      <c r="BI26">
        <v>24</v>
      </c>
      <c r="BJ26" t="s">
        <v>227</v>
      </c>
      <c r="BK26" t="s">
        <v>126</v>
      </c>
      <c r="BL26" t="s">
        <v>228</v>
      </c>
      <c r="BM26" t="s">
        <v>613</v>
      </c>
      <c r="BN26" t="s">
        <v>74</v>
      </c>
      <c r="BO26" t="s">
        <v>74</v>
      </c>
      <c r="BP26" t="s">
        <v>74</v>
      </c>
      <c r="BQ26" t="s">
        <v>74</v>
      </c>
      <c r="BR26" t="s">
        <v>99</v>
      </c>
      <c r="BS26" t="s">
        <v>614</v>
      </c>
      <c r="BT26" t="str">
        <f>HYPERLINK("https%3A%2F%2Fwww.webofscience.com%2Fwos%2Fwoscc%2Ffull-record%2FWOS:001028767500001","View Full Record in Web of Science")</f>
        <v>View Full Record in Web of Science</v>
      </c>
    </row>
    <row r="27" spans="1:72" x14ac:dyDescent="0.15">
      <c r="A27" t="s">
        <v>72</v>
      </c>
      <c r="B27" t="s">
        <v>615</v>
      </c>
      <c r="C27" t="s">
        <v>74</v>
      </c>
      <c r="D27" t="s">
        <v>74</v>
      </c>
      <c r="E27" t="s">
        <v>74</v>
      </c>
      <c r="F27" t="s">
        <v>616</v>
      </c>
      <c r="G27" t="s">
        <v>74</v>
      </c>
      <c r="H27" t="s">
        <v>74</v>
      </c>
      <c r="I27" t="s">
        <v>617</v>
      </c>
      <c r="J27" t="s">
        <v>618</v>
      </c>
      <c r="K27" t="s">
        <v>74</v>
      </c>
      <c r="L27" t="s">
        <v>74</v>
      </c>
      <c r="M27" t="s">
        <v>78</v>
      </c>
      <c r="N27" t="s">
        <v>79</v>
      </c>
      <c r="O27" t="s">
        <v>74</v>
      </c>
      <c r="P27" t="s">
        <v>74</v>
      </c>
      <c r="Q27" t="s">
        <v>74</v>
      </c>
      <c r="R27" t="s">
        <v>74</v>
      </c>
      <c r="S27" t="s">
        <v>74</v>
      </c>
      <c r="T27" t="s">
        <v>619</v>
      </c>
      <c r="U27" t="s">
        <v>620</v>
      </c>
      <c r="V27" t="s">
        <v>621</v>
      </c>
      <c r="W27" t="s">
        <v>622</v>
      </c>
      <c r="X27" t="s">
        <v>623</v>
      </c>
      <c r="Y27" t="s">
        <v>624</v>
      </c>
      <c r="Z27" t="s">
        <v>625</v>
      </c>
      <c r="AA27" t="s">
        <v>74</v>
      </c>
      <c r="AB27" t="s">
        <v>626</v>
      </c>
      <c r="AC27" t="s">
        <v>74</v>
      </c>
      <c r="AD27" t="s">
        <v>74</v>
      </c>
      <c r="AE27" t="s">
        <v>74</v>
      </c>
      <c r="AF27" t="s">
        <v>74</v>
      </c>
      <c r="AG27">
        <v>65</v>
      </c>
      <c r="AH27">
        <v>0</v>
      </c>
      <c r="AI27">
        <v>0</v>
      </c>
      <c r="AJ27">
        <v>0</v>
      </c>
      <c r="AK27">
        <v>0</v>
      </c>
      <c r="AL27" t="s">
        <v>117</v>
      </c>
      <c r="AM27" t="s">
        <v>627</v>
      </c>
      <c r="AN27" t="s">
        <v>628</v>
      </c>
      <c r="AO27" t="s">
        <v>629</v>
      </c>
      <c r="AP27" t="s">
        <v>630</v>
      </c>
      <c r="AQ27" t="s">
        <v>74</v>
      </c>
      <c r="AR27" t="s">
        <v>631</v>
      </c>
      <c r="AS27" t="s">
        <v>632</v>
      </c>
      <c r="AT27" t="s">
        <v>94</v>
      </c>
      <c r="AU27">
        <v>2023</v>
      </c>
      <c r="AV27">
        <v>25</v>
      </c>
      <c r="AW27">
        <v>4</v>
      </c>
      <c r="AX27" t="s">
        <v>74</v>
      </c>
      <c r="AY27" t="s">
        <v>74</v>
      </c>
      <c r="AZ27" t="s">
        <v>74</v>
      </c>
      <c r="BA27" t="s">
        <v>74</v>
      </c>
      <c r="BB27" t="s">
        <v>74</v>
      </c>
      <c r="BC27" t="s">
        <v>74</v>
      </c>
      <c r="BD27">
        <v>37</v>
      </c>
      <c r="BE27" t="s">
        <v>633</v>
      </c>
      <c r="BF27" t="str">
        <f>HYPERLINK("http://dx.doi.org/10.1007/s10544-023-00669-9","http://dx.doi.org/10.1007/s10544-023-00669-9")</f>
        <v>http://dx.doi.org/10.1007/s10544-023-00669-9</v>
      </c>
      <c r="BG27" t="s">
        <v>74</v>
      </c>
      <c r="BH27" t="s">
        <v>74</v>
      </c>
      <c r="BI27">
        <v>13</v>
      </c>
      <c r="BJ27" t="s">
        <v>634</v>
      </c>
      <c r="BK27" t="s">
        <v>126</v>
      </c>
      <c r="BL27" t="s">
        <v>635</v>
      </c>
      <c r="BM27" t="s">
        <v>636</v>
      </c>
      <c r="BN27">
        <v>37740819</v>
      </c>
      <c r="BO27" t="s">
        <v>74</v>
      </c>
      <c r="BP27" t="s">
        <v>74</v>
      </c>
      <c r="BQ27" t="s">
        <v>74</v>
      </c>
      <c r="BR27" t="s">
        <v>99</v>
      </c>
      <c r="BS27" t="s">
        <v>637</v>
      </c>
      <c r="BT27" t="str">
        <f>HYPERLINK("https%3A%2F%2Fwww.webofscience.com%2Fwos%2Fwoscc%2Ffull-record%2FWOS:001070891200001","View Full Record in Web of Science")</f>
        <v>View Full Record in Web of Science</v>
      </c>
    </row>
    <row r="28" spans="1:72" x14ac:dyDescent="0.15">
      <c r="A28" t="s">
        <v>72</v>
      </c>
      <c r="B28" t="s">
        <v>638</v>
      </c>
      <c r="C28" t="s">
        <v>74</v>
      </c>
      <c r="D28" t="s">
        <v>74</v>
      </c>
      <c r="E28" t="s">
        <v>74</v>
      </c>
      <c r="F28" t="s">
        <v>639</v>
      </c>
      <c r="G28" t="s">
        <v>74</v>
      </c>
      <c r="H28" t="s">
        <v>74</v>
      </c>
      <c r="I28" t="s">
        <v>640</v>
      </c>
      <c r="J28" t="s">
        <v>411</v>
      </c>
      <c r="K28" t="s">
        <v>74</v>
      </c>
      <c r="L28" t="s">
        <v>74</v>
      </c>
      <c r="M28" t="s">
        <v>78</v>
      </c>
      <c r="N28" t="s">
        <v>79</v>
      </c>
      <c r="O28" t="s">
        <v>74</v>
      </c>
      <c r="P28" t="s">
        <v>74</v>
      </c>
      <c r="Q28" t="s">
        <v>74</v>
      </c>
      <c r="R28" t="s">
        <v>74</v>
      </c>
      <c r="S28" t="s">
        <v>74</v>
      </c>
      <c r="T28" t="s">
        <v>641</v>
      </c>
      <c r="U28" t="s">
        <v>642</v>
      </c>
      <c r="V28" t="s">
        <v>643</v>
      </c>
      <c r="W28" t="s">
        <v>644</v>
      </c>
      <c r="X28" t="s">
        <v>645</v>
      </c>
      <c r="Y28" t="s">
        <v>646</v>
      </c>
      <c r="Z28" t="s">
        <v>647</v>
      </c>
      <c r="AA28" t="s">
        <v>74</v>
      </c>
      <c r="AB28" t="s">
        <v>648</v>
      </c>
      <c r="AC28" t="s">
        <v>649</v>
      </c>
      <c r="AD28" t="s">
        <v>649</v>
      </c>
      <c r="AE28" t="s">
        <v>650</v>
      </c>
      <c r="AF28" t="s">
        <v>74</v>
      </c>
      <c r="AG28">
        <v>115</v>
      </c>
      <c r="AH28">
        <v>0</v>
      </c>
      <c r="AI28">
        <v>0</v>
      </c>
      <c r="AJ28">
        <v>9</v>
      </c>
      <c r="AK28">
        <v>9</v>
      </c>
      <c r="AL28" t="s">
        <v>172</v>
      </c>
      <c r="AM28" t="s">
        <v>173</v>
      </c>
      <c r="AN28" t="s">
        <v>174</v>
      </c>
      <c r="AO28" t="s">
        <v>419</v>
      </c>
      <c r="AP28" t="s">
        <v>420</v>
      </c>
      <c r="AQ28" t="s">
        <v>74</v>
      </c>
      <c r="AR28" t="s">
        <v>421</v>
      </c>
      <c r="AS28" t="s">
        <v>422</v>
      </c>
      <c r="AT28" t="s">
        <v>94</v>
      </c>
      <c r="AU28">
        <v>2023</v>
      </c>
      <c r="AV28">
        <v>33</v>
      </c>
      <c r="AW28">
        <v>1</v>
      </c>
      <c r="AX28" t="s">
        <v>74</v>
      </c>
      <c r="AY28" t="s">
        <v>74</v>
      </c>
      <c r="AZ28" t="s">
        <v>74</v>
      </c>
      <c r="BA28" t="s">
        <v>74</v>
      </c>
      <c r="BB28" t="s">
        <v>74</v>
      </c>
      <c r="BC28" t="s">
        <v>74</v>
      </c>
      <c r="BD28">
        <v>35</v>
      </c>
      <c r="BE28" t="s">
        <v>651</v>
      </c>
      <c r="BF28" t="str">
        <f>HYPERLINK("http://dx.doi.org/10.1007/s12525-023-00657-0","http://dx.doi.org/10.1007/s12525-023-00657-0")</f>
        <v>http://dx.doi.org/10.1007/s12525-023-00657-0</v>
      </c>
      <c r="BG28" t="s">
        <v>74</v>
      </c>
      <c r="BH28" t="s">
        <v>74</v>
      </c>
      <c r="BI28">
        <v>22</v>
      </c>
      <c r="BJ28" t="s">
        <v>424</v>
      </c>
      <c r="BK28" t="s">
        <v>425</v>
      </c>
      <c r="BL28" t="s">
        <v>426</v>
      </c>
      <c r="BM28" t="s">
        <v>652</v>
      </c>
      <c r="BN28" t="s">
        <v>74</v>
      </c>
      <c r="BO28" t="s">
        <v>183</v>
      </c>
      <c r="BP28" t="s">
        <v>74</v>
      </c>
      <c r="BQ28" t="s">
        <v>74</v>
      </c>
      <c r="BR28" t="s">
        <v>99</v>
      </c>
      <c r="BS28" t="s">
        <v>653</v>
      </c>
      <c r="BT28" t="str">
        <f>HYPERLINK("https%3A%2F%2Fwww.webofscience.com%2Fwos%2Fwoscc%2Ffull-record%2FWOS:001034427800001","View Full Record in Web of Science")</f>
        <v>View Full Record in Web of Science</v>
      </c>
    </row>
    <row r="29" spans="1:72" x14ac:dyDescent="0.15">
      <c r="A29" t="s">
        <v>72</v>
      </c>
      <c r="B29" t="s">
        <v>654</v>
      </c>
      <c r="C29" t="s">
        <v>74</v>
      </c>
      <c r="D29" t="s">
        <v>74</v>
      </c>
      <c r="E29" t="s">
        <v>74</v>
      </c>
      <c r="F29" t="s">
        <v>655</v>
      </c>
      <c r="G29" t="s">
        <v>74</v>
      </c>
      <c r="H29" t="s">
        <v>74</v>
      </c>
      <c r="I29" t="s">
        <v>656</v>
      </c>
      <c r="J29" t="s">
        <v>657</v>
      </c>
      <c r="K29" t="s">
        <v>74</v>
      </c>
      <c r="L29" t="s">
        <v>74</v>
      </c>
      <c r="M29" t="s">
        <v>78</v>
      </c>
      <c r="N29" t="s">
        <v>79</v>
      </c>
      <c r="O29" t="s">
        <v>74</v>
      </c>
      <c r="P29" t="s">
        <v>74</v>
      </c>
      <c r="Q29" t="s">
        <v>74</v>
      </c>
      <c r="R29" t="s">
        <v>74</v>
      </c>
      <c r="S29" t="s">
        <v>74</v>
      </c>
      <c r="T29" t="s">
        <v>658</v>
      </c>
      <c r="U29" t="s">
        <v>659</v>
      </c>
      <c r="V29" t="s">
        <v>660</v>
      </c>
      <c r="W29" t="s">
        <v>661</v>
      </c>
      <c r="X29" t="s">
        <v>662</v>
      </c>
      <c r="Y29" t="s">
        <v>663</v>
      </c>
      <c r="Z29" t="s">
        <v>664</v>
      </c>
      <c r="AA29" t="s">
        <v>74</v>
      </c>
      <c r="AB29" t="s">
        <v>665</v>
      </c>
      <c r="AC29" t="s">
        <v>74</v>
      </c>
      <c r="AD29" t="s">
        <v>74</v>
      </c>
      <c r="AE29" t="s">
        <v>74</v>
      </c>
      <c r="AF29" t="s">
        <v>74</v>
      </c>
      <c r="AG29">
        <v>57</v>
      </c>
      <c r="AH29">
        <v>1</v>
      </c>
      <c r="AI29">
        <v>1</v>
      </c>
      <c r="AJ29">
        <v>7</v>
      </c>
      <c r="AK29">
        <v>10</v>
      </c>
      <c r="AL29" t="s">
        <v>117</v>
      </c>
      <c r="AM29" t="s">
        <v>118</v>
      </c>
      <c r="AN29" t="s">
        <v>119</v>
      </c>
      <c r="AO29" t="s">
        <v>666</v>
      </c>
      <c r="AP29" t="s">
        <v>667</v>
      </c>
      <c r="AQ29" t="s">
        <v>74</v>
      </c>
      <c r="AR29" t="s">
        <v>668</v>
      </c>
      <c r="AS29" t="s">
        <v>669</v>
      </c>
      <c r="AT29" t="s">
        <v>94</v>
      </c>
      <c r="AU29">
        <v>2023</v>
      </c>
      <c r="AV29">
        <v>20</v>
      </c>
      <c r="AW29">
        <v>1</v>
      </c>
      <c r="AX29" t="s">
        <v>74</v>
      </c>
      <c r="AY29" t="s">
        <v>74</v>
      </c>
      <c r="AZ29" t="s">
        <v>74</v>
      </c>
      <c r="BA29" t="s">
        <v>74</v>
      </c>
      <c r="BB29" t="s">
        <v>74</v>
      </c>
      <c r="BC29" t="s">
        <v>74</v>
      </c>
      <c r="BD29">
        <v>4</v>
      </c>
      <c r="BE29" t="s">
        <v>670</v>
      </c>
      <c r="BF29" t="str">
        <f>HYPERLINK("http://dx.doi.org/10.1007/s10433-023-00753-2","http://dx.doi.org/10.1007/s10433-023-00753-2")</f>
        <v>http://dx.doi.org/10.1007/s10433-023-00753-2</v>
      </c>
      <c r="BG29" t="s">
        <v>74</v>
      </c>
      <c r="BH29" t="s">
        <v>74</v>
      </c>
      <c r="BI29">
        <v>10</v>
      </c>
      <c r="BJ29" t="s">
        <v>671</v>
      </c>
      <c r="BK29" t="s">
        <v>425</v>
      </c>
      <c r="BL29" t="s">
        <v>672</v>
      </c>
      <c r="BM29" t="s">
        <v>673</v>
      </c>
      <c r="BN29">
        <v>36853397</v>
      </c>
      <c r="BO29" t="s">
        <v>674</v>
      </c>
      <c r="BP29" t="s">
        <v>74</v>
      </c>
      <c r="BQ29" t="s">
        <v>74</v>
      </c>
      <c r="BR29" t="s">
        <v>99</v>
      </c>
      <c r="BS29" t="s">
        <v>675</v>
      </c>
      <c r="BT29" t="str">
        <f>HYPERLINK("https%3A%2F%2Fwww.webofscience.com%2Fwos%2Fwoscc%2Ffull-record%2FWOS:000941163800002","View Full Record in Web of Science")</f>
        <v>View Full Record in Web of Science</v>
      </c>
    </row>
    <row r="30" spans="1:72" x14ac:dyDescent="0.15">
      <c r="A30" t="s">
        <v>72</v>
      </c>
      <c r="B30" t="s">
        <v>676</v>
      </c>
      <c r="C30" t="s">
        <v>74</v>
      </c>
      <c r="D30" t="s">
        <v>74</v>
      </c>
      <c r="E30" t="s">
        <v>74</v>
      </c>
      <c r="F30" t="s">
        <v>677</v>
      </c>
      <c r="G30" t="s">
        <v>74</v>
      </c>
      <c r="H30" t="s">
        <v>74</v>
      </c>
      <c r="I30" t="s">
        <v>678</v>
      </c>
      <c r="J30" t="s">
        <v>657</v>
      </c>
      <c r="K30" t="s">
        <v>74</v>
      </c>
      <c r="L30" t="s">
        <v>74</v>
      </c>
      <c r="M30" t="s">
        <v>78</v>
      </c>
      <c r="N30" t="s">
        <v>79</v>
      </c>
      <c r="O30" t="s">
        <v>74</v>
      </c>
      <c r="P30" t="s">
        <v>74</v>
      </c>
      <c r="Q30" t="s">
        <v>74</v>
      </c>
      <c r="R30" t="s">
        <v>74</v>
      </c>
      <c r="S30" t="s">
        <v>74</v>
      </c>
      <c r="T30" t="s">
        <v>679</v>
      </c>
      <c r="U30" t="s">
        <v>680</v>
      </c>
      <c r="V30" t="s">
        <v>681</v>
      </c>
      <c r="W30" t="s">
        <v>682</v>
      </c>
      <c r="X30" t="s">
        <v>683</v>
      </c>
      <c r="Y30" t="s">
        <v>684</v>
      </c>
      <c r="Z30" t="s">
        <v>685</v>
      </c>
      <c r="AA30" t="s">
        <v>74</v>
      </c>
      <c r="AB30" t="s">
        <v>686</v>
      </c>
      <c r="AC30" t="s">
        <v>687</v>
      </c>
      <c r="AD30" t="s">
        <v>688</v>
      </c>
      <c r="AE30" t="s">
        <v>689</v>
      </c>
      <c r="AF30" t="s">
        <v>74</v>
      </c>
      <c r="AG30">
        <v>45</v>
      </c>
      <c r="AH30">
        <v>0</v>
      </c>
      <c r="AI30">
        <v>0</v>
      </c>
      <c r="AJ30">
        <v>5</v>
      </c>
      <c r="AK30">
        <v>5</v>
      </c>
      <c r="AL30" t="s">
        <v>117</v>
      </c>
      <c r="AM30" t="s">
        <v>118</v>
      </c>
      <c r="AN30" t="s">
        <v>119</v>
      </c>
      <c r="AO30" t="s">
        <v>666</v>
      </c>
      <c r="AP30" t="s">
        <v>667</v>
      </c>
      <c r="AQ30" t="s">
        <v>74</v>
      </c>
      <c r="AR30" t="s">
        <v>668</v>
      </c>
      <c r="AS30" t="s">
        <v>669</v>
      </c>
      <c r="AT30" t="s">
        <v>94</v>
      </c>
      <c r="AU30">
        <v>2023</v>
      </c>
      <c r="AV30">
        <v>20</v>
      </c>
      <c r="AW30">
        <v>1</v>
      </c>
      <c r="AX30" t="s">
        <v>74</v>
      </c>
      <c r="AY30" t="s">
        <v>74</v>
      </c>
      <c r="AZ30" t="s">
        <v>74</v>
      </c>
      <c r="BA30" t="s">
        <v>74</v>
      </c>
      <c r="BB30" t="s">
        <v>74</v>
      </c>
      <c r="BC30" t="s">
        <v>74</v>
      </c>
      <c r="BD30">
        <v>20</v>
      </c>
      <c r="BE30" t="s">
        <v>690</v>
      </c>
      <c r="BF30" t="str">
        <f>HYPERLINK("http://dx.doi.org/10.1007/s10433-023-00769-8","http://dx.doi.org/10.1007/s10433-023-00769-8")</f>
        <v>http://dx.doi.org/10.1007/s10433-023-00769-8</v>
      </c>
      <c r="BG30" t="s">
        <v>74</v>
      </c>
      <c r="BH30" t="s">
        <v>74</v>
      </c>
      <c r="BI30">
        <v>10</v>
      </c>
      <c r="BJ30" t="s">
        <v>671</v>
      </c>
      <c r="BK30" t="s">
        <v>425</v>
      </c>
      <c r="BL30" t="s">
        <v>672</v>
      </c>
      <c r="BM30" t="s">
        <v>691</v>
      </c>
      <c r="BN30">
        <v>37280371</v>
      </c>
      <c r="BO30" t="s">
        <v>674</v>
      </c>
      <c r="BP30" t="s">
        <v>74</v>
      </c>
      <c r="BQ30" t="s">
        <v>74</v>
      </c>
      <c r="BR30" t="s">
        <v>99</v>
      </c>
      <c r="BS30" t="s">
        <v>692</v>
      </c>
      <c r="BT30" t="str">
        <f>HYPERLINK("https%3A%2F%2Fwww.webofscience.com%2Fwos%2Fwoscc%2Ffull-record%2FWOS:001002660600001","View Full Record in Web of Science")</f>
        <v>View Full Record in Web of Science</v>
      </c>
    </row>
    <row r="31" spans="1:72" x14ac:dyDescent="0.15">
      <c r="A31" t="s">
        <v>72</v>
      </c>
      <c r="B31" t="s">
        <v>693</v>
      </c>
      <c r="C31" t="s">
        <v>74</v>
      </c>
      <c r="D31" t="s">
        <v>74</v>
      </c>
      <c r="E31" t="s">
        <v>74</v>
      </c>
      <c r="F31" t="s">
        <v>694</v>
      </c>
      <c r="G31" t="s">
        <v>74</v>
      </c>
      <c r="H31" t="s">
        <v>74</v>
      </c>
      <c r="I31" t="s">
        <v>695</v>
      </c>
      <c r="J31" t="s">
        <v>696</v>
      </c>
      <c r="K31" t="s">
        <v>74</v>
      </c>
      <c r="L31" t="s">
        <v>74</v>
      </c>
      <c r="M31" t="s">
        <v>78</v>
      </c>
      <c r="N31" t="s">
        <v>79</v>
      </c>
      <c r="O31" t="s">
        <v>74</v>
      </c>
      <c r="P31" t="s">
        <v>74</v>
      </c>
      <c r="Q31" t="s">
        <v>74</v>
      </c>
      <c r="R31" t="s">
        <v>74</v>
      </c>
      <c r="S31" t="s">
        <v>74</v>
      </c>
      <c r="T31" t="s">
        <v>697</v>
      </c>
      <c r="U31" t="s">
        <v>698</v>
      </c>
      <c r="V31" t="s">
        <v>699</v>
      </c>
      <c r="W31" t="s">
        <v>700</v>
      </c>
      <c r="X31" t="s">
        <v>701</v>
      </c>
      <c r="Y31" t="s">
        <v>702</v>
      </c>
      <c r="Z31" t="s">
        <v>703</v>
      </c>
      <c r="AA31" t="s">
        <v>74</v>
      </c>
      <c r="AB31" t="s">
        <v>704</v>
      </c>
      <c r="AC31" t="s">
        <v>74</v>
      </c>
      <c r="AD31" t="s">
        <v>74</v>
      </c>
      <c r="AE31" t="s">
        <v>74</v>
      </c>
      <c r="AF31" t="s">
        <v>74</v>
      </c>
      <c r="AG31">
        <v>38</v>
      </c>
      <c r="AH31">
        <v>0</v>
      </c>
      <c r="AI31">
        <v>0</v>
      </c>
      <c r="AJ31">
        <v>3</v>
      </c>
      <c r="AK31">
        <v>3</v>
      </c>
      <c r="AL31" t="s">
        <v>705</v>
      </c>
      <c r="AM31" t="s">
        <v>706</v>
      </c>
      <c r="AN31" t="s">
        <v>707</v>
      </c>
      <c r="AO31" t="s">
        <v>708</v>
      </c>
      <c r="AP31" t="s">
        <v>709</v>
      </c>
      <c r="AQ31" t="s">
        <v>74</v>
      </c>
      <c r="AR31" t="s">
        <v>710</v>
      </c>
      <c r="AS31" t="s">
        <v>711</v>
      </c>
      <c r="AT31" t="s">
        <v>94</v>
      </c>
      <c r="AU31">
        <v>2023</v>
      </c>
      <c r="AV31">
        <v>25</v>
      </c>
      <c r="AW31">
        <v>4</v>
      </c>
      <c r="AX31" t="s">
        <v>74</v>
      </c>
      <c r="AY31" t="s">
        <v>74</v>
      </c>
      <c r="AZ31" t="s">
        <v>74</v>
      </c>
      <c r="BA31" t="s">
        <v>74</v>
      </c>
      <c r="BB31" t="s">
        <v>74</v>
      </c>
      <c r="BC31" t="s">
        <v>74</v>
      </c>
      <c r="BD31">
        <v>23</v>
      </c>
      <c r="BE31" t="s">
        <v>712</v>
      </c>
      <c r="BF31" t="str">
        <f>HYPERLINK("http://dx.doi.org/10.1057/s41283-023-00128-y","http://dx.doi.org/10.1057/s41283-023-00128-y")</f>
        <v>http://dx.doi.org/10.1057/s41283-023-00128-y</v>
      </c>
      <c r="BG31" t="s">
        <v>74</v>
      </c>
      <c r="BH31" t="s">
        <v>74</v>
      </c>
      <c r="BI31">
        <v>37</v>
      </c>
      <c r="BJ31" t="s">
        <v>713</v>
      </c>
      <c r="BK31" t="s">
        <v>425</v>
      </c>
      <c r="BL31" t="s">
        <v>714</v>
      </c>
      <c r="BM31" t="s">
        <v>715</v>
      </c>
      <c r="BN31" t="s">
        <v>74</v>
      </c>
      <c r="BO31" t="s">
        <v>74</v>
      </c>
      <c r="BP31" t="s">
        <v>74</v>
      </c>
      <c r="BQ31" t="s">
        <v>74</v>
      </c>
      <c r="BR31" t="s">
        <v>99</v>
      </c>
      <c r="BS31" t="s">
        <v>716</v>
      </c>
      <c r="BT31" t="str">
        <f>HYPERLINK("https%3A%2F%2Fwww.webofscience.com%2Fwos%2Fwoscc%2Ffull-record%2FWOS:001050708000001","View Full Record in Web of Science")</f>
        <v>View Full Record in Web of Science</v>
      </c>
    </row>
    <row r="32" spans="1:72" x14ac:dyDescent="0.15">
      <c r="A32" t="s">
        <v>72</v>
      </c>
      <c r="B32" t="s">
        <v>717</v>
      </c>
      <c r="C32" t="s">
        <v>74</v>
      </c>
      <c r="D32" t="s">
        <v>74</v>
      </c>
      <c r="E32" t="s">
        <v>74</v>
      </c>
      <c r="F32" t="s">
        <v>718</v>
      </c>
      <c r="G32" t="s">
        <v>74</v>
      </c>
      <c r="H32" t="s">
        <v>74</v>
      </c>
      <c r="I32" t="s">
        <v>719</v>
      </c>
      <c r="J32" t="s">
        <v>720</v>
      </c>
      <c r="K32" t="s">
        <v>74</v>
      </c>
      <c r="L32" t="s">
        <v>74</v>
      </c>
      <c r="M32" t="s">
        <v>78</v>
      </c>
      <c r="N32" t="s">
        <v>79</v>
      </c>
      <c r="O32" t="s">
        <v>74</v>
      </c>
      <c r="P32" t="s">
        <v>74</v>
      </c>
      <c r="Q32" t="s">
        <v>74</v>
      </c>
      <c r="R32" t="s">
        <v>74</v>
      </c>
      <c r="S32" t="s">
        <v>74</v>
      </c>
      <c r="T32" t="s">
        <v>721</v>
      </c>
      <c r="U32" t="s">
        <v>722</v>
      </c>
      <c r="V32" t="s">
        <v>723</v>
      </c>
      <c r="W32" t="s">
        <v>724</v>
      </c>
      <c r="X32" t="s">
        <v>725</v>
      </c>
      <c r="Y32" t="s">
        <v>726</v>
      </c>
      <c r="Z32" t="s">
        <v>727</v>
      </c>
      <c r="AA32" t="s">
        <v>728</v>
      </c>
      <c r="AB32" t="s">
        <v>729</v>
      </c>
      <c r="AC32" t="s">
        <v>730</v>
      </c>
      <c r="AD32" t="s">
        <v>730</v>
      </c>
      <c r="AE32" t="s">
        <v>730</v>
      </c>
      <c r="AF32" t="s">
        <v>74</v>
      </c>
      <c r="AG32">
        <v>10</v>
      </c>
      <c r="AH32">
        <v>0</v>
      </c>
      <c r="AI32">
        <v>0</v>
      </c>
      <c r="AJ32">
        <v>0</v>
      </c>
      <c r="AK32">
        <v>0</v>
      </c>
      <c r="AL32" t="s">
        <v>219</v>
      </c>
      <c r="AM32" t="s">
        <v>220</v>
      </c>
      <c r="AN32" t="s">
        <v>221</v>
      </c>
      <c r="AO32" t="s">
        <v>731</v>
      </c>
      <c r="AP32" t="s">
        <v>732</v>
      </c>
      <c r="AQ32" t="s">
        <v>74</v>
      </c>
      <c r="AR32" t="s">
        <v>733</v>
      </c>
      <c r="AS32" t="s">
        <v>734</v>
      </c>
      <c r="AT32" t="s">
        <v>94</v>
      </c>
      <c r="AU32">
        <v>2023</v>
      </c>
      <c r="AV32">
        <v>20</v>
      </c>
      <c r="AW32">
        <v>6</v>
      </c>
      <c r="AX32" t="s">
        <v>74</v>
      </c>
      <c r="AY32" t="s">
        <v>74</v>
      </c>
      <c r="AZ32" t="s">
        <v>74</v>
      </c>
      <c r="BA32" t="s">
        <v>74</v>
      </c>
      <c r="BB32" t="s">
        <v>74</v>
      </c>
      <c r="BC32" t="s">
        <v>74</v>
      </c>
      <c r="BD32">
        <v>298</v>
      </c>
      <c r="BE32" t="s">
        <v>735</v>
      </c>
      <c r="BF32" t="str">
        <f>HYPERLINK("http://dx.doi.org/10.1007/s00009-023-02498-9","http://dx.doi.org/10.1007/s00009-023-02498-9")</f>
        <v>http://dx.doi.org/10.1007/s00009-023-02498-9</v>
      </c>
      <c r="BG32" t="s">
        <v>74</v>
      </c>
      <c r="BH32" t="s">
        <v>74</v>
      </c>
      <c r="BI32">
        <v>15</v>
      </c>
      <c r="BJ32" t="s">
        <v>227</v>
      </c>
      <c r="BK32" t="s">
        <v>126</v>
      </c>
      <c r="BL32" t="s">
        <v>228</v>
      </c>
      <c r="BM32" t="s">
        <v>736</v>
      </c>
      <c r="BN32" t="s">
        <v>74</v>
      </c>
      <c r="BO32" t="s">
        <v>74</v>
      </c>
      <c r="BP32" t="s">
        <v>74</v>
      </c>
      <c r="BQ32" t="s">
        <v>74</v>
      </c>
      <c r="BR32" t="s">
        <v>99</v>
      </c>
      <c r="BS32" t="s">
        <v>737</v>
      </c>
      <c r="BT32" t="str">
        <f>HYPERLINK("https%3A%2F%2Fwww.webofscience.com%2Fwos%2Fwoscc%2Ffull-record%2FWOS:001061013900001","View Full Record in Web of Science")</f>
        <v>View Full Record in Web of Science</v>
      </c>
    </row>
    <row r="33" spans="1:72" x14ac:dyDescent="0.15">
      <c r="A33" t="s">
        <v>72</v>
      </c>
      <c r="B33" t="s">
        <v>738</v>
      </c>
      <c r="C33" t="s">
        <v>74</v>
      </c>
      <c r="D33" t="s">
        <v>74</v>
      </c>
      <c r="E33" t="s">
        <v>74</v>
      </c>
      <c r="F33" t="s">
        <v>739</v>
      </c>
      <c r="G33" t="s">
        <v>74</v>
      </c>
      <c r="H33" t="s">
        <v>74</v>
      </c>
      <c r="I33" t="s">
        <v>740</v>
      </c>
      <c r="J33" t="s">
        <v>741</v>
      </c>
      <c r="K33" t="s">
        <v>74</v>
      </c>
      <c r="L33" t="s">
        <v>74</v>
      </c>
      <c r="M33" t="s">
        <v>78</v>
      </c>
      <c r="N33" t="s">
        <v>79</v>
      </c>
      <c r="O33" t="s">
        <v>74</v>
      </c>
      <c r="P33" t="s">
        <v>74</v>
      </c>
      <c r="Q33" t="s">
        <v>74</v>
      </c>
      <c r="R33" t="s">
        <v>74</v>
      </c>
      <c r="S33" t="s">
        <v>74</v>
      </c>
      <c r="T33" t="s">
        <v>742</v>
      </c>
      <c r="U33" t="s">
        <v>743</v>
      </c>
      <c r="V33" t="s">
        <v>744</v>
      </c>
      <c r="W33" t="s">
        <v>745</v>
      </c>
      <c r="X33" t="s">
        <v>746</v>
      </c>
      <c r="Y33" t="s">
        <v>747</v>
      </c>
      <c r="Z33" t="s">
        <v>748</v>
      </c>
      <c r="AA33" t="s">
        <v>749</v>
      </c>
      <c r="AB33" t="s">
        <v>750</v>
      </c>
      <c r="AC33" t="s">
        <v>751</v>
      </c>
      <c r="AD33" t="s">
        <v>752</v>
      </c>
      <c r="AE33" t="s">
        <v>753</v>
      </c>
      <c r="AF33" t="s">
        <v>74</v>
      </c>
      <c r="AG33">
        <v>56</v>
      </c>
      <c r="AH33">
        <v>1</v>
      </c>
      <c r="AI33">
        <v>1</v>
      </c>
      <c r="AJ33">
        <v>22</v>
      </c>
      <c r="AK33">
        <v>22</v>
      </c>
      <c r="AL33" t="s">
        <v>317</v>
      </c>
      <c r="AM33" t="s">
        <v>245</v>
      </c>
      <c r="AN33" t="s">
        <v>318</v>
      </c>
      <c r="AO33" t="s">
        <v>754</v>
      </c>
      <c r="AP33" t="s">
        <v>755</v>
      </c>
      <c r="AQ33" t="s">
        <v>74</v>
      </c>
      <c r="AR33" t="s">
        <v>756</v>
      </c>
      <c r="AS33" t="s">
        <v>757</v>
      </c>
      <c r="AT33" t="s">
        <v>94</v>
      </c>
      <c r="AU33">
        <v>2023</v>
      </c>
      <c r="AV33">
        <v>5</v>
      </c>
      <c r="AW33">
        <v>4</v>
      </c>
      <c r="AX33" t="s">
        <v>74</v>
      </c>
      <c r="AY33" t="s">
        <v>74</v>
      </c>
      <c r="AZ33" t="s">
        <v>74</v>
      </c>
      <c r="BA33" t="s">
        <v>74</v>
      </c>
      <c r="BB33" t="s">
        <v>74</v>
      </c>
      <c r="BC33" t="s">
        <v>74</v>
      </c>
      <c r="BD33">
        <v>230175</v>
      </c>
      <c r="BE33" t="s">
        <v>758</v>
      </c>
      <c r="BF33" t="str">
        <f>HYPERLINK("http://dx.doi.org/10.1007/s42832-023-0175-5","http://dx.doi.org/10.1007/s42832-023-0175-5")</f>
        <v>http://dx.doi.org/10.1007/s42832-023-0175-5</v>
      </c>
      <c r="BG33" t="s">
        <v>74</v>
      </c>
      <c r="BH33" t="s">
        <v>74</v>
      </c>
      <c r="BI33">
        <v>13</v>
      </c>
      <c r="BJ33" t="s">
        <v>759</v>
      </c>
      <c r="BK33" t="s">
        <v>97</v>
      </c>
      <c r="BL33" t="s">
        <v>760</v>
      </c>
      <c r="BM33" t="s">
        <v>761</v>
      </c>
      <c r="BN33" t="s">
        <v>74</v>
      </c>
      <c r="BO33" t="s">
        <v>762</v>
      </c>
      <c r="BP33" t="s">
        <v>74</v>
      </c>
      <c r="BQ33" t="s">
        <v>74</v>
      </c>
      <c r="BR33" t="s">
        <v>99</v>
      </c>
      <c r="BS33" t="s">
        <v>763</v>
      </c>
      <c r="BT33" t="str">
        <f>HYPERLINK("https%3A%2F%2Fwww.webofscience.com%2Fwos%2Fwoscc%2Ffull-record%2FWOS:000963555300001","View Full Record in Web of Science")</f>
        <v>View Full Record in Web of Science</v>
      </c>
    </row>
    <row r="34" spans="1:72" x14ac:dyDescent="0.15">
      <c r="A34" t="s">
        <v>72</v>
      </c>
      <c r="B34" t="s">
        <v>764</v>
      </c>
      <c r="C34" t="s">
        <v>74</v>
      </c>
      <c r="D34" t="s">
        <v>74</v>
      </c>
      <c r="E34" t="s">
        <v>74</v>
      </c>
      <c r="F34" t="s">
        <v>765</v>
      </c>
      <c r="G34" t="s">
        <v>74</v>
      </c>
      <c r="H34" t="s">
        <v>74</v>
      </c>
      <c r="I34" t="s">
        <v>766</v>
      </c>
      <c r="J34" t="s">
        <v>162</v>
      </c>
      <c r="K34" t="s">
        <v>74</v>
      </c>
      <c r="L34" t="s">
        <v>74</v>
      </c>
      <c r="M34" t="s">
        <v>78</v>
      </c>
      <c r="N34" t="s">
        <v>79</v>
      </c>
      <c r="O34" t="s">
        <v>74</v>
      </c>
      <c r="P34" t="s">
        <v>74</v>
      </c>
      <c r="Q34" t="s">
        <v>74</v>
      </c>
      <c r="R34" t="s">
        <v>74</v>
      </c>
      <c r="S34" t="s">
        <v>74</v>
      </c>
      <c r="T34" t="s">
        <v>767</v>
      </c>
      <c r="U34" t="s">
        <v>768</v>
      </c>
      <c r="V34" t="s">
        <v>769</v>
      </c>
      <c r="W34" t="s">
        <v>770</v>
      </c>
      <c r="X34" t="s">
        <v>771</v>
      </c>
      <c r="Y34" t="s">
        <v>772</v>
      </c>
      <c r="Z34" t="s">
        <v>773</v>
      </c>
      <c r="AA34" t="s">
        <v>74</v>
      </c>
      <c r="AB34" t="s">
        <v>74</v>
      </c>
      <c r="AC34" t="s">
        <v>774</v>
      </c>
      <c r="AD34" t="s">
        <v>775</v>
      </c>
      <c r="AE34" t="s">
        <v>776</v>
      </c>
      <c r="AF34" t="s">
        <v>74</v>
      </c>
      <c r="AG34">
        <v>75</v>
      </c>
      <c r="AH34">
        <v>0</v>
      </c>
      <c r="AI34">
        <v>0</v>
      </c>
      <c r="AJ34">
        <v>32</v>
      </c>
      <c r="AK34">
        <v>32</v>
      </c>
      <c r="AL34" t="s">
        <v>172</v>
      </c>
      <c r="AM34" t="s">
        <v>173</v>
      </c>
      <c r="AN34" t="s">
        <v>174</v>
      </c>
      <c r="AO34" t="s">
        <v>175</v>
      </c>
      <c r="AP34" t="s">
        <v>176</v>
      </c>
      <c r="AQ34" t="s">
        <v>74</v>
      </c>
      <c r="AR34" t="s">
        <v>177</v>
      </c>
      <c r="AS34" t="s">
        <v>178</v>
      </c>
      <c r="AT34" t="s">
        <v>94</v>
      </c>
      <c r="AU34">
        <v>2023</v>
      </c>
      <c r="AV34">
        <v>9</v>
      </c>
      <c r="AW34">
        <v>1</v>
      </c>
      <c r="AX34" t="s">
        <v>74</v>
      </c>
      <c r="AY34" t="s">
        <v>74</v>
      </c>
      <c r="AZ34" t="s">
        <v>74</v>
      </c>
      <c r="BA34" t="s">
        <v>74</v>
      </c>
      <c r="BB34" t="s">
        <v>74</v>
      </c>
      <c r="BC34" t="s">
        <v>74</v>
      </c>
      <c r="BD34">
        <v>42</v>
      </c>
      <c r="BE34" t="s">
        <v>777</v>
      </c>
      <c r="BF34" t="str">
        <f>HYPERLINK("http://dx.doi.org/10.1007/s40948-023-00576-6","http://dx.doi.org/10.1007/s40948-023-00576-6")</f>
        <v>http://dx.doi.org/10.1007/s40948-023-00576-6</v>
      </c>
      <c r="BG34" t="s">
        <v>74</v>
      </c>
      <c r="BH34" t="s">
        <v>74</v>
      </c>
      <c r="BI34">
        <v>21</v>
      </c>
      <c r="BJ34" t="s">
        <v>180</v>
      </c>
      <c r="BK34" t="s">
        <v>126</v>
      </c>
      <c r="BL34" t="s">
        <v>181</v>
      </c>
      <c r="BM34" t="s">
        <v>778</v>
      </c>
      <c r="BN34" t="s">
        <v>74</v>
      </c>
      <c r="BO34" t="s">
        <v>183</v>
      </c>
      <c r="BP34" t="s">
        <v>74</v>
      </c>
      <c r="BQ34" t="s">
        <v>74</v>
      </c>
      <c r="BR34" t="s">
        <v>99</v>
      </c>
      <c r="BS34" t="s">
        <v>779</v>
      </c>
      <c r="BT34" t="str">
        <f>HYPERLINK("https%3A%2F%2Fwww.webofscience.com%2Fwos%2Fwoscc%2Ffull-record%2FWOS:000962800800001","View Full Record in Web of Science")</f>
        <v>View Full Record in Web of Science</v>
      </c>
    </row>
    <row r="35" spans="1:72" x14ac:dyDescent="0.15">
      <c r="A35" t="s">
        <v>72</v>
      </c>
      <c r="B35" t="s">
        <v>780</v>
      </c>
      <c r="C35" t="s">
        <v>74</v>
      </c>
      <c r="D35" t="s">
        <v>74</v>
      </c>
      <c r="E35" t="s">
        <v>74</v>
      </c>
      <c r="F35" t="s">
        <v>781</v>
      </c>
      <c r="G35" t="s">
        <v>74</v>
      </c>
      <c r="H35" t="s">
        <v>74</v>
      </c>
      <c r="I35" t="s">
        <v>782</v>
      </c>
      <c r="J35" t="s">
        <v>545</v>
      </c>
      <c r="K35" t="s">
        <v>74</v>
      </c>
      <c r="L35" t="s">
        <v>74</v>
      </c>
      <c r="M35" t="s">
        <v>78</v>
      </c>
      <c r="N35" t="s">
        <v>79</v>
      </c>
      <c r="O35" t="s">
        <v>74</v>
      </c>
      <c r="P35" t="s">
        <v>74</v>
      </c>
      <c r="Q35" t="s">
        <v>74</v>
      </c>
      <c r="R35" t="s">
        <v>74</v>
      </c>
      <c r="S35" t="s">
        <v>74</v>
      </c>
      <c r="T35" t="s">
        <v>783</v>
      </c>
      <c r="U35" t="s">
        <v>784</v>
      </c>
      <c r="V35" t="s">
        <v>785</v>
      </c>
      <c r="W35" t="s">
        <v>786</v>
      </c>
      <c r="X35" t="s">
        <v>787</v>
      </c>
      <c r="Y35" t="s">
        <v>788</v>
      </c>
      <c r="Z35" t="s">
        <v>789</v>
      </c>
      <c r="AA35" t="s">
        <v>790</v>
      </c>
      <c r="AB35" t="s">
        <v>791</v>
      </c>
      <c r="AC35" t="s">
        <v>74</v>
      </c>
      <c r="AD35" t="s">
        <v>74</v>
      </c>
      <c r="AE35" t="s">
        <v>74</v>
      </c>
      <c r="AF35" t="s">
        <v>74</v>
      </c>
      <c r="AG35">
        <v>63</v>
      </c>
      <c r="AH35">
        <v>0</v>
      </c>
      <c r="AI35">
        <v>0</v>
      </c>
      <c r="AJ35">
        <v>2</v>
      </c>
      <c r="AK35">
        <v>2</v>
      </c>
      <c r="AL35" t="s">
        <v>172</v>
      </c>
      <c r="AM35" t="s">
        <v>173</v>
      </c>
      <c r="AN35" t="s">
        <v>174</v>
      </c>
      <c r="AO35" t="s">
        <v>553</v>
      </c>
      <c r="AP35" t="s">
        <v>554</v>
      </c>
      <c r="AQ35" t="s">
        <v>74</v>
      </c>
      <c r="AR35" t="s">
        <v>555</v>
      </c>
      <c r="AS35" t="s">
        <v>556</v>
      </c>
      <c r="AT35" t="s">
        <v>94</v>
      </c>
      <c r="AU35">
        <v>2023</v>
      </c>
      <c r="AV35">
        <v>16</v>
      </c>
      <c r="AW35">
        <v>1</v>
      </c>
      <c r="AX35" t="s">
        <v>74</v>
      </c>
      <c r="AY35" t="s">
        <v>74</v>
      </c>
      <c r="AZ35" t="s">
        <v>74</v>
      </c>
      <c r="BA35" t="s">
        <v>74</v>
      </c>
      <c r="BB35" t="s">
        <v>74</v>
      </c>
      <c r="BC35" t="s">
        <v>74</v>
      </c>
      <c r="BD35">
        <v>24</v>
      </c>
      <c r="BE35" t="s">
        <v>792</v>
      </c>
      <c r="BF35" t="str">
        <f>HYPERLINK("http://dx.doi.org/10.1007/s12076-023-00345-9","http://dx.doi.org/10.1007/s12076-023-00345-9")</f>
        <v>http://dx.doi.org/10.1007/s12076-023-00345-9</v>
      </c>
      <c r="BG35" t="s">
        <v>74</v>
      </c>
      <c r="BH35" t="s">
        <v>74</v>
      </c>
      <c r="BI35">
        <v>20</v>
      </c>
      <c r="BJ35" t="s">
        <v>558</v>
      </c>
      <c r="BK35" t="s">
        <v>97</v>
      </c>
      <c r="BL35" t="s">
        <v>558</v>
      </c>
      <c r="BM35" t="s">
        <v>793</v>
      </c>
      <c r="BN35" t="s">
        <v>74</v>
      </c>
      <c r="BO35" t="s">
        <v>74</v>
      </c>
      <c r="BP35" t="s">
        <v>74</v>
      </c>
      <c r="BQ35" t="s">
        <v>74</v>
      </c>
      <c r="BR35" t="s">
        <v>99</v>
      </c>
      <c r="BS35" t="s">
        <v>794</v>
      </c>
      <c r="BT35" t="str">
        <f>HYPERLINK("https%3A%2F%2Fwww.webofscience.com%2Fwos%2Fwoscc%2Ffull-record%2FWOS:000990304700002","View Full Record in Web of Science")</f>
        <v>View Full Record in Web of Science</v>
      </c>
    </row>
    <row r="36" spans="1:72" x14ac:dyDescent="0.15">
      <c r="A36" t="s">
        <v>72</v>
      </c>
      <c r="B36" t="s">
        <v>795</v>
      </c>
      <c r="C36" t="s">
        <v>74</v>
      </c>
      <c r="D36" t="s">
        <v>74</v>
      </c>
      <c r="E36" t="s">
        <v>74</v>
      </c>
      <c r="F36" t="s">
        <v>796</v>
      </c>
      <c r="G36" t="s">
        <v>74</v>
      </c>
      <c r="H36" t="s">
        <v>74</v>
      </c>
      <c r="I36" t="s">
        <v>797</v>
      </c>
      <c r="J36" t="s">
        <v>162</v>
      </c>
      <c r="K36" t="s">
        <v>74</v>
      </c>
      <c r="L36" t="s">
        <v>74</v>
      </c>
      <c r="M36" t="s">
        <v>78</v>
      </c>
      <c r="N36" t="s">
        <v>79</v>
      </c>
      <c r="O36" t="s">
        <v>74</v>
      </c>
      <c r="P36" t="s">
        <v>74</v>
      </c>
      <c r="Q36" t="s">
        <v>74</v>
      </c>
      <c r="R36" t="s">
        <v>74</v>
      </c>
      <c r="S36" t="s">
        <v>74</v>
      </c>
      <c r="T36" t="s">
        <v>798</v>
      </c>
      <c r="U36" t="s">
        <v>799</v>
      </c>
      <c r="V36" t="s">
        <v>800</v>
      </c>
      <c r="W36" t="s">
        <v>801</v>
      </c>
      <c r="X36" t="s">
        <v>802</v>
      </c>
      <c r="Y36" t="s">
        <v>803</v>
      </c>
      <c r="Z36" t="s">
        <v>804</v>
      </c>
      <c r="AA36" t="s">
        <v>74</v>
      </c>
      <c r="AB36" t="s">
        <v>74</v>
      </c>
      <c r="AC36" t="s">
        <v>805</v>
      </c>
      <c r="AD36" t="s">
        <v>806</v>
      </c>
      <c r="AE36" t="s">
        <v>807</v>
      </c>
      <c r="AF36" t="s">
        <v>74</v>
      </c>
      <c r="AG36">
        <v>52</v>
      </c>
      <c r="AH36">
        <v>0</v>
      </c>
      <c r="AI36">
        <v>0</v>
      </c>
      <c r="AJ36">
        <v>16</v>
      </c>
      <c r="AK36">
        <v>16</v>
      </c>
      <c r="AL36" t="s">
        <v>172</v>
      </c>
      <c r="AM36" t="s">
        <v>173</v>
      </c>
      <c r="AN36" t="s">
        <v>174</v>
      </c>
      <c r="AO36" t="s">
        <v>175</v>
      </c>
      <c r="AP36" t="s">
        <v>176</v>
      </c>
      <c r="AQ36" t="s">
        <v>74</v>
      </c>
      <c r="AR36" t="s">
        <v>177</v>
      </c>
      <c r="AS36" t="s">
        <v>178</v>
      </c>
      <c r="AT36" t="s">
        <v>94</v>
      </c>
      <c r="AU36">
        <v>2023</v>
      </c>
      <c r="AV36">
        <v>9</v>
      </c>
      <c r="AW36">
        <v>1</v>
      </c>
      <c r="AX36" t="s">
        <v>74</v>
      </c>
      <c r="AY36" t="s">
        <v>74</v>
      </c>
      <c r="AZ36" t="s">
        <v>74</v>
      </c>
      <c r="BA36" t="s">
        <v>74</v>
      </c>
      <c r="BB36" t="s">
        <v>74</v>
      </c>
      <c r="BC36" t="s">
        <v>74</v>
      </c>
      <c r="BD36">
        <v>76</v>
      </c>
      <c r="BE36" t="s">
        <v>808</v>
      </c>
      <c r="BF36" t="str">
        <f>HYPERLINK("http://dx.doi.org/10.1007/s40948-023-00623-2","http://dx.doi.org/10.1007/s40948-023-00623-2")</f>
        <v>http://dx.doi.org/10.1007/s40948-023-00623-2</v>
      </c>
      <c r="BG36" t="s">
        <v>74</v>
      </c>
      <c r="BH36" t="s">
        <v>74</v>
      </c>
      <c r="BI36">
        <v>21</v>
      </c>
      <c r="BJ36" t="s">
        <v>180</v>
      </c>
      <c r="BK36" t="s">
        <v>126</v>
      </c>
      <c r="BL36" t="s">
        <v>181</v>
      </c>
      <c r="BM36" t="s">
        <v>809</v>
      </c>
      <c r="BN36" t="s">
        <v>74</v>
      </c>
      <c r="BO36" t="s">
        <v>183</v>
      </c>
      <c r="BP36" t="s">
        <v>74</v>
      </c>
      <c r="BQ36" t="s">
        <v>74</v>
      </c>
      <c r="BR36" t="s">
        <v>99</v>
      </c>
      <c r="BS36" t="s">
        <v>810</v>
      </c>
      <c r="BT36" t="str">
        <f>HYPERLINK("https%3A%2F%2Fwww.webofscience.com%2Fwos%2Fwoscc%2Ffull-record%2FWOS:001000922500001","View Full Record in Web of Science")</f>
        <v>View Full Record in Web of Science</v>
      </c>
    </row>
    <row r="37" spans="1:72" x14ac:dyDescent="0.15">
      <c r="A37" t="s">
        <v>72</v>
      </c>
      <c r="B37" t="s">
        <v>811</v>
      </c>
      <c r="C37" t="s">
        <v>74</v>
      </c>
      <c r="D37" t="s">
        <v>74</v>
      </c>
      <c r="E37" t="s">
        <v>74</v>
      </c>
      <c r="F37" t="s">
        <v>812</v>
      </c>
      <c r="G37" t="s">
        <v>74</v>
      </c>
      <c r="H37" t="s">
        <v>74</v>
      </c>
      <c r="I37" t="s">
        <v>813</v>
      </c>
      <c r="J37" t="s">
        <v>814</v>
      </c>
      <c r="K37" t="s">
        <v>74</v>
      </c>
      <c r="L37" t="s">
        <v>74</v>
      </c>
      <c r="M37" t="s">
        <v>78</v>
      </c>
      <c r="N37" t="s">
        <v>79</v>
      </c>
      <c r="O37" t="s">
        <v>74</v>
      </c>
      <c r="P37" t="s">
        <v>74</v>
      </c>
      <c r="Q37" t="s">
        <v>74</v>
      </c>
      <c r="R37" t="s">
        <v>74</v>
      </c>
      <c r="S37" t="s">
        <v>74</v>
      </c>
      <c r="T37" t="s">
        <v>815</v>
      </c>
      <c r="U37" t="s">
        <v>816</v>
      </c>
      <c r="V37" t="s">
        <v>817</v>
      </c>
      <c r="W37" t="s">
        <v>818</v>
      </c>
      <c r="X37" t="s">
        <v>819</v>
      </c>
      <c r="Y37" t="s">
        <v>820</v>
      </c>
      <c r="Z37" t="s">
        <v>821</v>
      </c>
      <c r="AA37" t="s">
        <v>74</v>
      </c>
      <c r="AB37" t="s">
        <v>74</v>
      </c>
      <c r="AC37" t="s">
        <v>822</v>
      </c>
      <c r="AD37" t="s">
        <v>823</v>
      </c>
      <c r="AE37" t="s">
        <v>824</v>
      </c>
      <c r="AF37" t="s">
        <v>74</v>
      </c>
      <c r="AG37">
        <v>68</v>
      </c>
      <c r="AH37">
        <v>0</v>
      </c>
      <c r="AI37">
        <v>0</v>
      </c>
      <c r="AJ37">
        <v>1</v>
      </c>
      <c r="AK37">
        <v>1</v>
      </c>
      <c r="AL37" t="s">
        <v>117</v>
      </c>
      <c r="AM37" t="s">
        <v>118</v>
      </c>
      <c r="AN37" t="s">
        <v>119</v>
      </c>
      <c r="AO37" t="s">
        <v>825</v>
      </c>
      <c r="AP37" t="s">
        <v>826</v>
      </c>
      <c r="AQ37" t="s">
        <v>74</v>
      </c>
      <c r="AR37" t="s">
        <v>827</v>
      </c>
      <c r="AS37" t="s">
        <v>828</v>
      </c>
      <c r="AT37" t="s">
        <v>94</v>
      </c>
      <c r="AU37">
        <v>2023</v>
      </c>
      <c r="AV37">
        <v>88</v>
      </c>
      <c r="AW37">
        <v>3</v>
      </c>
      <c r="AX37" t="s">
        <v>74</v>
      </c>
      <c r="AY37" t="s">
        <v>74</v>
      </c>
      <c r="AZ37" t="s">
        <v>74</v>
      </c>
      <c r="BA37" t="s">
        <v>74</v>
      </c>
      <c r="BB37" t="s">
        <v>74</v>
      </c>
      <c r="BC37" t="s">
        <v>74</v>
      </c>
      <c r="BD37">
        <v>70</v>
      </c>
      <c r="BE37" t="s">
        <v>829</v>
      </c>
      <c r="BF37" t="str">
        <f>HYPERLINK("http://dx.doi.org/10.1007/s00245-023-10045-x","http://dx.doi.org/10.1007/s00245-023-10045-x")</f>
        <v>http://dx.doi.org/10.1007/s00245-023-10045-x</v>
      </c>
      <c r="BG37" t="s">
        <v>74</v>
      </c>
      <c r="BH37" t="s">
        <v>74</v>
      </c>
      <c r="BI37">
        <v>43</v>
      </c>
      <c r="BJ37" t="s">
        <v>830</v>
      </c>
      <c r="BK37" t="s">
        <v>126</v>
      </c>
      <c r="BL37" t="s">
        <v>228</v>
      </c>
      <c r="BM37" t="s">
        <v>831</v>
      </c>
      <c r="BN37" t="s">
        <v>74</v>
      </c>
      <c r="BO37" t="s">
        <v>327</v>
      </c>
      <c r="BP37" t="s">
        <v>74</v>
      </c>
      <c r="BQ37" t="s">
        <v>74</v>
      </c>
      <c r="BR37" t="s">
        <v>99</v>
      </c>
      <c r="BS37" t="s">
        <v>832</v>
      </c>
      <c r="BT37" t="str">
        <f>HYPERLINK("https%3A%2F%2Fwww.webofscience.com%2Fwos%2Fwoscc%2Ffull-record%2FWOS:001050460600001","View Full Record in Web of Science")</f>
        <v>View Full Record in Web of Science</v>
      </c>
    </row>
    <row r="38" spans="1:72" x14ac:dyDescent="0.15">
      <c r="A38" t="s">
        <v>72</v>
      </c>
      <c r="B38" t="s">
        <v>833</v>
      </c>
      <c r="C38" t="s">
        <v>74</v>
      </c>
      <c r="D38" t="s">
        <v>74</v>
      </c>
      <c r="E38" t="s">
        <v>74</v>
      </c>
      <c r="F38" t="s">
        <v>834</v>
      </c>
      <c r="G38" t="s">
        <v>74</v>
      </c>
      <c r="H38" t="s">
        <v>74</v>
      </c>
      <c r="I38" t="s">
        <v>835</v>
      </c>
      <c r="J38" t="s">
        <v>836</v>
      </c>
      <c r="K38" t="s">
        <v>74</v>
      </c>
      <c r="L38" t="s">
        <v>74</v>
      </c>
      <c r="M38" t="s">
        <v>78</v>
      </c>
      <c r="N38" t="s">
        <v>79</v>
      </c>
      <c r="O38" t="s">
        <v>74</v>
      </c>
      <c r="P38" t="s">
        <v>74</v>
      </c>
      <c r="Q38" t="s">
        <v>74</v>
      </c>
      <c r="R38" t="s">
        <v>74</v>
      </c>
      <c r="S38" t="s">
        <v>74</v>
      </c>
      <c r="T38" t="s">
        <v>837</v>
      </c>
      <c r="U38" t="s">
        <v>74</v>
      </c>
      <c r="V38" t="s">
        <v>838</v>
      </c>
      <c r="W38" t="s">
        <v>839</v>
      </c>
      <c r="X38" t="s">
        <v>840</v>
      </c>
      <c r="Y38" t="s">
        <v>841</v>
      </c>
      <c r="Z38" t="s">
        <v>842</v>
      </c>
      <c r="AA38" t="s">
        <v>74</v>
      </c>
      <c r="AB38" t="s">
        <v>843</v>
      </c>
      <c r="AC38" t="s">
        <v>74</v>
      </c>
      <c r="AD38" t="s">
        <v>74</v>
      </c>
      <c r="AE38" t="s">
        <v>74</v>
      </c>
      <c r="AF38" t="s">
        <v>74</v>
      </c>
      <c r="AG38">
        <v>24</v>
      </c>
      <c r="AH38">
        <v>1</v>
      </c>
      <c r="AI38">
        <v>1</v>
      </c>
      <c r="AJ38">
        <v>16</v>
      </c>
      <c r="AK38">
        <v>16</v>
      </c>
      <c r="AL38" t="s">
        <v>844</v>
      </c>
      <c r="AM38" t="s">
        <v>845</v>
      </c>
      <c r="AN38" t="s">
        <v>846</v>
      </c>
      <c r="AO38" t="s">
        <v>847</v>
      </c>
      <c r="AP38" t="s">
        <v>848</v>
      </c>
      <c r="AQ38" t="s">
        <v>74</v>
      </c>
      <c r="AR38" t="s">
        <v>849</v>
      </c>
      <c r="AS38" t="s">
        <v>850</v>
      </c>
      <c r="AT38" t="s">
        <v>94</v>
      </c>
      <c r="AU38">
        <v>2023</v>
      </c>
      <c r="AV38">
        <v>8</v>
      </c>
      <c r="AW38">
        <v>1</v>
      </c>
      <c r="AX38" t="s">
        <v>74</v>
      </c>
      <c r="AY38" t="s">
        <v>74</v>
      </c>
      <c r="AZ38" t="s">
        <v>74</v>
      </c>
      <c r="BA38" t="s">
        <v>74</v>
      </c>
      <c r="BB38" t="s">
        <v>74</v>
      </c>
      <c r="BC38" t="s">
        <v>74</v>
      </c>
      <c r="BD38">
        <v>18</v>
      </c>
      <c r="BE38" t="s">
        <v>851</v>
      </c>
      <c r="BF38" t="str">
        <f>HYPERLINK("http://dx.doi.org/10.1186/s41601-023-00292-z","http://dx.doi.org/10.1186/s41601-023-00292-z")</f>
        <v>http://dx.doi.org/10.1186/s41601-023-00292-z</v>
      </c>
      <c r="BG38" t="s">
        <v>74</v>
      </c>
      <c r="BH38" t="s">
        <v>74</v>
      </c>
      <c r="BI38">
        <v>18</v>
      </c>
      <c r="BJ38" t="s">
        <v>852</v>
      </c>
      <c r="BK38" t="s">
        <v>126</v>
      </c>
      <c r="BL38" t="s">
        <v>853</v>
      </c>
      <c r="BM38" t="s">
        <v>854</v>
      </c>
      <c r="BN38" t="s">
        <v>74</v>
      </c>
      <c r="BO38" t="s">
        <v>302</v>
      </c>
      <c r="BP38" t="s">
        <v>74</v>
      </c>
      <c r="BQ38" t="s">
        <v>74</v>
      </c>
      <c r="BR38" t="s">
        <v>99</v>
      </c>
      <c r="BS38" t="s">
        <v>855</v>
      </c>
      <c r="BT38" t="str">
        <f>HYPERLINK("https%3A%2F%2Fwww.webofscience.com%2Fwos%2Fwoscc%2Ffull-record%2FWOS:000971031600002","View Full Record in Web of Science")</f>
        <v>View Full Record in Web of Science</v>
      </c>
    </row>
    <row r="39" spans="1:72" x14ac:dyDescent="0.15">
      <c r="A39" t="s">
        <v>72</v>
      </c>
      <c r="B39" t="s">
        <v>856</v>
      </c>
      <c r="C39" t="s">
        <v>74</v>
      </c>
      <c r="D39" t="s">
        <v>74</v>
      </c>
      <c r="E39" t="s">
        <v>74</v>
      </c>
      <c r="F39" t="s">
        <v>857</v>
      </c>
      <c r="G39" t="s">
        <v>74</v>
      </c>
      <c r="H39" t="s">
        <v>74</v>
      </c>
      <c r="I39" t="s">
        <v>858</v>
      </c>
      <c r="J39" t="s">
        <v>234</v>
      </c>
      <c r="K39" t="s">
        <v>74</v>
      </c>
      <c r="L39" t="s">
        <v>74</v>
      </c>
      <c r="M39" t="s">
        <v>78</v>
      </c>
      <c r="N39" t="s">
        <v>79</v>
      </c>
      <c r="O39" t="s">
        <v>74</v>
      </c>
      <c r="P39" t="s">
        <v>74</v>
      </c>
      <c r="Q39" t="s">
        <v>74</v>
      </c>
      <c r="R39" t="s">
        <v>74</v>
      </c>
      <c r="S39" t="s">
        <v>74</v>
      </c>
      <c r="T39" t="s">
        <v>859</v>
      </c>
      <c r="U39" t="s">
        <v>74</v>
      </c>
      <c r="V39" t="s">
        <v>860</v>
      </c>
      <c r="W39" t="s">
        <v>861</v>
      </c>
      <c r="X39" t="s">
        <v>862</v>
      </c>
      <c r="Y39" t="s">
        <v>863</v>
      </c>
      <c r="Z39" t="s">
        <v>864</v>
      </c>
      <c r="AA39" t="s">
        <v>74</v>
      </c>
      <c r="AB39" t="s">
        <v>74</v>
      </c>
      <c r="AC39" t="s">
        <v>74</v>
      </c>
      <c r="AD39" t="s">
        <v>74</v>
      </c>
      <c r="AE39" t="s">
        <v>74</v>
      </c>
      <c r="AF39" t="s">
        <v>74</v>
      </c>
      <c r="AG39">
        <v>14</v>
      </c>
      <c r="AH39">
        <v>1</v>
      </c>
      <c r="AI39">
        <v>1</v>
      </c>
      <c r="AJ39">
        <v>0</v>
      </c>
      <c r="AK39">
        <v>0</v>
      </c>
      <c r="AL39" t="s">
        <v>244</v>
      </c>
      <c r="AM39" t="s">
        <v>245</v>
      </c>
      <c r="AN39" t="s">
        <v>246</v>
      </c>
      <c r="AO39" t="s">
        <v>247</v>
      </c>
      <c r="AP39" t="s">
        <v>248</v>
      </c>
      <c r="AQ39" t="s">
        <v>74</v>
      </c>
      <c r="AR39" t="s">
        <v>249</v>
      </c>
      <c r="AS39" t="s">
        <v>250</v>
      </c>
      <c r="AT39" t="s">
        <v>94</v>
      </c>
      <c r="AU39">
        <v>2023</v>
      </c>
      <c r="AV39">
        <v>26</v>
      </c>
      <c r="AW39">
        <v>1</v>
      </c>
      <c r="AX39" t="s">
        <v>74</v>
      </c>
      <c r="AY39" t="s">
        <v>74</v>
      </c>
      <c r="AZ39" t="s">
        <v>74</v>
      </c>
      <c r="BA39" t="s">
        <v>74</v>
      </c>
      <c r="BB39" t="s">
        <v>74</v>
      </c>
      <c r="BC39" t="s">
        <v>74</v>
      </c>
      <c r="BD39">
        <v>10</v>
      </c>
      <c r="BE39" t="s">
        <v>865</v>
      </c>
      <c r="BF39" t="str">
        <f>HYPERLINK("http://dx.doi.org/10.1007/s12283-023-00400-0","http://dx.doi.org/10.1007/s12283-023-00400-0")</f>
        <v>http://dx.doi.org/10.1007/s12283-023-00400-0</v>
      </c>
      <c r="BG39" t="s">
        <v>74</v>
      </c>
      <c r="BH39" t="s">
        <v>74</v>
      </c>
      <c r="BI39">
        <v>9</v>
      </c>
      <c r="BJ39" t="s">
        <v>252</v>
      </c>
      <c r="BK39" t="s">
        <v>97</v>
      </c>
      <c r="BL39" t="s">
        <v>252</v>
      </c>
      <c r="BM39" t="s">
        <v>866</v>
      </c>
      <c r="BN39" t="s">
        <v>74</v>
      </c>
      <c r="BO39" t="s">
        <v>327</v>
      </c>
      <c r="BP39" t="s">
        <v>74</v>
      </c>
      <c r="BQ39" t="s">
        <v>74</v>
      </c>
      <c r="BR39" t="s">
        <v>99</v>
      </c>
      <c r="BS39" t="s">
        <v>867</v>
      </c>
      <c r="BT39" t="str">
        <f>HYPERLINK("https%3A%2F%2Fwww.webofscience.com%2Fwos%2Fwoscc%2Ffull-record%2FWOS:000921912100001","View Full Record in Web of Science")</f>
        <v>View Full Record in Web of Science</v>
      </c>
    </row>
    <row r="40" spans="1:72" x14ac:dyDescent="0.15">
      <c r="A40" t="s">
        <v>72</v>
      </c>
      <c r="B40" t="s">
        <v>868</v>
      </c>
      <c r="C40" t="s">
        <v>74</v>
      </c>
      <c r="D40" t="s">
        <v>74</v>
      </c>
      <c r="E40" t="s">
        <v>74</v>
      </c>
      <c r="F40" t="s">
        <v>869</v>
      </c>
      <c r="G40" t="s">
        <v>74</v>
      </c>
      <c r="H40" t="s">
        <v>74</v>
      </c>
      <c r="I40" t="s">
        <v>870</v>
      </c>
      <c r="J40" t="s">
        <v>871</v>
      </c>
      <c r="K40" t="s">
        <v>74</v>
      </c>
      <c r="L40" t="s">
        <v>74</v>
      </c>
      <c r="M40" t="s">
        <v>78</v>
      </c>
      <c r="N40" t="s">
        <v>872</v>
      </c>
      <c r="O40" t="s">
        <v>74</v>
      </c>
      <c r="P40" t="s">
        <v>74</v>
      </c>
      <c r="Q40" t="s">
        <v>74</v>
      </c>
      <c r="R40" t="s">
        <v>74</v>
      </c>
      <c r="S40" t="s">
        <v>74</v>
      </c>
      <c r="T40" t="s">
        <v>74</v>
      </c>
      <c r="U40" t="s">
        <v>74</v>
      </c>
      <c r="V40" t="s">
        <v>74</v>
      </c>
      <c r="W40" t="s">
        <v>873</v>
      </c>
      <c r="X40" t="s">
        <v>874</v>
      </c>
      <c r="Y40" t="s">
        <v>875</v>
      </c>
      <c r="Z40" t="s">
        <v>876</v>
      </c>
      <c r="AA40" t="s">
        <v>877</v>
      </c>
      <c r="AB40" t="s">
        <v>878</v>
      </c>
      <c r="AC40" t="s">
        <v>879</v>
      </c>
      <c r="AD40" t="s">
        <v>880</v>
      </c>
      <c r="AE40" t="s">
        <v>881</v>
      </c>
      <c r="AF40" t="s">
        <v>74</v>
      </c>
      <c r="AG40">
        <v>1</v>
      </c>
      <c r="AH40">
        <v>0</v>
      </c>
      <c r="AI40">
        <v>0</v>
      </c>
      <c r="AJ40">
        <v>0</v>
      </c>
      <c r="AK40">
        <v>0</v>
      </c>
      <c r="AL40" t="s">
        <v>117</v>
      </c>
      <c r="AM40" t="s">
        <v>627</v>
      </c>
      <c r="AN40" t="s">
        <v>628</v>
      </c>
      <c r="AO40" t="s">
        <v>882</v>
      </c>
      <c r="AP40" t="s">
        <v>883</v>
      </c>
      <c r="AQ40" t="s">
        <v>74</v>
      </c>
      <c r="AR40" t="s">
        <v>884</v>
      </c>
      <c r="AS40" t="s">
        <v>885</v>
      </c>
      <c r="AT40" t="s">
        <v>94</v>
      </c>
      <c r="AU40">
        <v>2023</v>
      </c>
      <c r="AV40">
        <v>39</v>
      </c>
      <c r="AW40">
        <v>1</v>
      </c>
      <c r="AX40" t="s">
        <v>74</v>
      </c>
      <c r="AY40" t="s">
        <v>74</v>
      </c>
      <c r="AZ40" t="s">
        <v>74</v>
      </c>
      <c r="BA40" t="s">
        <v>74</v>
      </c>
      <c r="BB40" t="s">
        <v>74</v>
      </c>
      <c r="BC40" t="s">
        <v>74</v>
      </c>
      <c r="BD40" t="s">
        <v>74</v>
      </c>
      <c r="BE40" t="s">
        <v>886</v>
      </c>
      <c r="BF40" t="str">
        <f>HYPERLINK("http://dx.doi.org/10.1007/s10680-023-09648-5","http://dx.doi.org/10.1007/s10680-023-09648-5")</f>
        <v>http://dx.doi.org/10.1007/s10680-023-09648-5</v>
      </c>
      <c r="BG40" t="s">
        <v>74</v>
      </c>
      <c r="BH40" t="s">
        <v>74</v>
      </c>
      <c r="BI40">
        <v>1</v>
      </c>
      <c r="BJ40" t="s">
        <v>887</v>
      </c>
      <c r="BK40" t="s">
        <v>425</v>
      </c>
      <c r="BL40" t="s">
        <v>887</v>
      </c>
      <c r="BM40" t="s">
        <v>888</v>
      </c>
      <c r="BN40" t="s">
        <v>74</v>
      </c>
      <c r="BO40" t="s">
        <v>889</v>
      </c>
      <c r="BP40" t="s">
        <v>74</v>
      </c>
      <c r="BQ40" t="s">
        <v>74</v>
      </c>
      <c r="BR40" t="s">
        <v>99</v>
      </c>
      <c r="BS40" t="s">
        <v>890</v>
      </c>
      <c r="BT40" t="str">
        <f>HYPERLINK("https%3A%2F%2Fwww.webofscience.com%2Fwos%2Fwoscc%2Ffull-record%2FWOS:000941392300001","View Full Record in Web of Science")</f>
        <v>View Full Record in Web of Science</v>
      </c>
    </row>
    <row r="41" spans="1:72" x14ac:dyDescent="0.15">
      <c r="A41" t="s">
        <v>72</v>
      </c>
      <c r="B41" t="s">
        <v>891</v>
      </c>
      <c r="C41" t="s">
        <v>74</v>
      </c>
      <c r="D41" t="s">
        <v>74</v>
      </c>
      <c r="E41" t="s">
        <v>74</v>
      </c>
      <c r="F41" t="s">
        <v>892</v>
      </c>
      <c r="G41" t="s">
        <v>74</v>
      </c>
      <c r="H41" t="s">
        <v>74</v>
      </c>
      <c r="I41" t="s">
        <v>893</v>
      </c>
      <c r="J41" t="s">
        <v>894</v>
      </c>
      <c r="K41" t="s">
        <v>74</v>
      </c>
      <c r="L41" t="s">
        <v>74</v>
      </c>
      <c r="M41" t="s">
        <v>78</v>
      </c>
      <c r="N41" t="s">
        <v>79</v>
      </c>
      <c r="O41" t="s">
        <v>74</v>
      </c>
      <c r="P41" t="s">
        <v>74</v>
      </c>
      <c r="Q41" t="s">
        <v>74</v>
      </c>
      <c r="R41" t="s">
        <v>74</v>
      </c>
      <c r="S41" t="s">
        <v>74</v>
      </c>
      <c r="T41" t="s">
        <v>895</v>
      </c>
      <c r="U41" t="s">
        <v>74</v>
      </c>
      <c r="V41" t="s">
        <v>896</v>
      </c>
      <c r="W41" t="s">
        <v>897</v>
      </c>
      <c r="X41" t="s">
        <v>898</v>
      </c>
      <c r="Y41" t="s">
        <v>899</v>
      </c>
      <c r="Z41" t="s">
        <v>900</v>
      </c>
      <c r="AA41" t="s">
        <v>74</v>
      </c>
      <c r="AB41" t="s">
        <v>74</v>
      </c>
      <c r="AC41" t="s">
        <v>74</v>
      </c>
      <c r="AD41" t="s">
        <v>74</v>
      </c>
      <c r="AE41" t="s">
        <v>74</v>
      </c>
      <c r="AF41" t="s">
        <v>74</v>
      </c>
      <c r="AG41">
        <v>17</v>
      </c>
      <c r="AH41">
        <v>0</v>
      </c>
      <c r="AI41">
        <v>0</v>
      </c>
      <c r="AJ41">
        <v>1</v>
      </c>
      <c r="AK41">
        <v>1</v>
      </c>
      <c r="AL41" t="s">
        <v>172</v>
      </c>
      <c r="AM41" t="s">
        <v>173</v>
      </c>
      <c r="AN41" t="s">
        <v>174</v>
      </c>
      <c r="AO41" t="s">
        <v>901</v>
      </c>
      <c r="AP41" t="s">
        <v>902</v>
      </c>
      <c r="AQ41" t="s">
        <v>74</v>
      </c>
      <c r="AR41" t="s">
        <v>903</v>
      </c>
      <c r="AS41" t="s">
        <v>904</v>
      </c>
      <c r="AT41" t="s">
        <v>94</v>
      </c>
      <c r="AU41">
        <v>2023</v>
      </c>
      <c r="AV41">
        <v>14</v>
      </c>
      <c r="AW41">
        <v>1</v>
      </c>
      <c r="AX41" t="s">
        <v>74</v>
      </c>
      <c r="AY41" t="s">
        <v>74</v>
      </c>
      <c r="AZ41" t="s">
        <v>74</v>
      </c>
      <c r="BA41" t="s">
        <v>74</v>
      </c>
      <c r="BB41" t="s">
        <v>74</v>
      </c>
      <c r="BC41" t="s">
        <v>74</v>
      </c>
      <c r="BD41">
        <v>10</v>
      </c>
      <c r="BE41" t="s">
        <v>905</v>
      </c>
      <c r="BF41" t="str">
        <f>HYPERLINK("http://dx.doi.org/10.1007/s13137-023-00218-9","http://dx.doi.org/10.1007/s13137-023-00218-9")</f>
        <v>http://dx.doi.org/10.1007/s13137-023-00218-9</v>
      </c>
      <c r="BG41" t="s">
        <v>74</v>
      </c>
      <c r="BH41" t="s">
        <v>74</v>
      </c>
      <c r="BI41">
        <v>13</v>
      </c>
      <c r="BJ41" t="s">
        <v>906</v>
      </c>
      <c r="BK41" t="s">
        <v>97</v>
      </c>
      <c r="BL41" t="s">
        <v>228</v>
      </c>
      <c r="BM41" t="s">
        <v>907</v>
      </c>
      <c r="BN41" t="s">
        <v>74</v>
      </c>
      <c r="BO41" t="s">
        <v>183</v>
      </c>
      <c r="BP41" t="s">
        <v>74</v>
      </c>
      <c r="BQ41" t="s">
        <v>74</v>
      </c>
      <c r="BR41" t="s">
        <v>99</v>
      </c>
      <c r="BS41" t="s">
        <v>908</v>
      </c>
      <c r="BT41" t="str">
        <f>HYPERLINK("https%3A%2F%2Fwww.webofscience.com%2Fwos%2Fwoscc%2Ffull-record%2FWOS:000976058400001","View Full Record in Web of Science")</f>
        <v>View Full Record in Web of Science</v>
      </c>
    </row>
    <row r="42" spans="1:72" x14ac:dyDescent="0.15">
      <c r="A42" t="s">
        <v>72</v>
      </c>
      <c r="B42" t="s">
        <v>909</v>
      </c>
      <c r="C42" t="s">
        <v>74</v>
      </c>
      <c r="D42" t="s">
        <v>74</v>
      </c>
      <c r="E42" t="s">
        <v>74</v>
      </c>
      <c r="F42" t="s">
        <v>910</v>
      </c>
      <c r="G42" t="s">
        <v>74</v>
      </c>
      <c r="H42" t="s">
        <v>74</v>
      </c>
      <c r="I42" t="s">
        <v>911</v>
      </c>
      <c r="J42" t="s">
        <v>505</v>
      </c>
      <c r="K42" t="s">
        <v>74</v>
      </c>
      <c r="L42" t="s">
        <v>74</v>
      </c>
      <c r="M42" t="s">
        <v>78</v>
      </c>
      <c r="N42" t="s">
        <v>79</v>
      </c>
      <c r="O42" t="s">
        <v>74</v>
      </c>
      <c r="P42" t="s">
        <v>74</v>
      </c>
      <c r="Q42" t="s">
        <v>74</v>
      </c>
      <c r="R42" t="s">
        <v>74</v>
      </c>
      <c r="S42" t="s">
        <v>74</v>
      </c>
      <c r="T42" t="s">
        <v>912</v>
      </c>
      <c r="U42" t="s">
        <v>913</v>
      </c>
      <c r="V42" t="s">
        <v>914</v>
      </c>
      <c r="W42" t="s">
        <v>915</v>
      </c>
      <c r="X42" t="s">
        <v>916</v>
      </c>
      <c r="Y42" t="s">
        <v>917</v>
      </c>
      <c r="Z42" t="s">
        <v>918</v>
      </c>
      <c r="AA42" t="s">
        <v>74</v>
      </c>
      <c r="AB42" t="s">
        <v>74</v>
      </c>
      <c r="AC42" t="s">
        <v>74</v>
      </c>
      <c r="AD42" t="s">
        <v>74</v>
      </c>
      <c r="AE42" t="s">
        <v>74</v>
      </c>
      <c r="AF42" t="s">
        <v>74</v>
      </c>
      <c r="AG42">
        <v>15</v>
      </c>
      <c r="AH42">
        <v>0</v>
      </c>
      <c r="AI42">
        <v>0</v>
      </c>
      <c r="AJ42">
        <v>0</v>
      </c>
      <c r="AK42">
        <v>0</v>
      </c>
      <c r="AL42" t="s">
        <v>219</v>
      </c>
      <c r="AM42" t="s">
        <v>220</v>
      </c>
      <c r="AN42" t="s">
        <v>221</v>
      </c>
      <c r="AO42" t="s">
        <v>511</v>
      </c>
      <c r="AP42" t="s">
        <v>512</v>
      </c>
      <c r="AQ42" t="s">
        <v>74</v>
      </c>
      <c r="AR42" t="s">
        <v>513</v>
      </c>
      <c r="AS42" t="s">
        <v>514</v>
      </c>
      <c r="AT42" t="s">
        <v>94</v>
      </c>
      <c r="AU42">
        <v>2023</v>
      </c>
      <c r="AV42">
        <v>78</v>
      </c>
      <c r="AW42">
        <v>6</v>
      </c>
      <c r="AX42" t="s">
        <v>74</v>
      </c>
      <c r="AY42" t="s">
        <v>74</v>
      </c>
      <c r="AZ42" t="s">
        <v>74</v>
      </c>
      <c r="BA42" t="s">
        <v>74</v>
      </c>
      <c r="BB42" t="s">
        <v>74</v>
      </c>
      <c r="BC42" t="s">
        <v>74</v>
      </c>
      <c r="BD42">
        <v>227</v>
      </c>
      <c r="BE42" t="s">
        <v>919</v>
      </c>
      <c r="BF42" t="str">
        <f>HYPERLINK("http://dx.doi.org/10.1007/s00025-023-02006-1","http://dx.doi.org/10.1007/s00025-023-02006-1")</f>
        <v>http://dx.doi.org/10.1007/s00025-023-02006-1</v>
      </c>
      <c r="BG42" t="s">
        <v>74</v>
      </c>
      <c r="BH42" t="s">
        <v>74</v>
      </c>
      <c r="BI42">
        <v>10</v>
      </c>
      <c r="BJ42" t="s">
        <v>227</v>
      </c>
      <c r="BK42" t="s">
        <v>126</v>
      </c>
      <c r="BL42" t="s">
        <v>228</v>
      </c>
      <c r="BM42" t="s">
        <v>920</v>
      </c>
      <c r="BN42" t="s">
        <v>74</v>
      </c>
      <c r="BO42" t="s">
        <v>74</v>
      </c>
      <c r="BP42" t="s">
        <v>74</v>
      </c>
      <c r="BQ42" t="s">
        <v>74</v>
      </c>
      <c r="BR42" t="s">
        <v>99</v>
      </c>
      <c r="BS42" t="s">
        <v>921</v>
      </c>
      <c r="BT42" t="str">
        <f>HYPERLINK("https%3A%2F%2Fwww.webofscience.com%2Fwos%2Fwoscc%2Ffull-record%2FWOS:001064297900002","View Full Record in Web of Science")</f>
        <v>View Full Record in Web of Science</v>
      </c>
    </row>
    <row r="43" spans="1:72" x14ac:dyDescent="0.15">
      <c r="A43" t="s">
        <v>72</v>
      </c>
      <c r="B43" t="s">
        <v>922</v>
      </c>
      <c r="C43" t="s">
        <v>74</v>
      </c>
      <c r="D43" t="s">
        <v>74</v>
      </c>
      <c r="E43" t="s">
        <v>74</v>
      </c>
      <c r="F43" t="s">
        <v>923</v>
      </c>
      <c r="G43" t="s">
        <v>74</v>
      </c>
      <c r="H43" t="s">
        <v>74</v>
      </c>
      <c r="I43" t="s">
        <v>924</v>
      </c>
      <c r="J43" t="s">
        <v>836</v>
      </c>
      <c r="K43" t="s">
        <v>74</v>
      </c>
      <c r="L43" t="s">
        <v>74</v>
      </c>
      <c r="M43" t="s">
        <v>78</v>
      </c>
      <c r="N43" t="s">
        <v>79</v>
      </c>
      <c r="O43" t="s">
        <v>74</v>
      </c>
      <c r="P43" t="s">
        <v>74</v>
      </c>
      <c r="Q43" t="s">
        <v>74</v>
      </c>
      <c r="R43" t="s">
        <v>74</v>
      </c>
      <c r="S43" t="s">
        <v>74</v>
      </c>
      <c r="T43" t="s">
        <v>925</v>
      </c>
      <c r="U43" t="s">
        <v>926</v>
      </c>
      <c r="V43" t="s">
        <v>927</v>
      </c>
      <c r="W43" t="s">
        <v>928</v>
      </c>
      <c r="X43" t="s">
        <v>929</v>
      </c>
      <c r="Y43" t="s">
        <v>930</v>
      </c>
      <c r="Z43" t="s">
        <v>931</v>
      </c>
      <c r="AA43" t="s">
        <v>74</v>
      </c>
      <c r="AB43" t="s">
        <v>74</v>
      </c>
      <c r="AC43" t="s">
        <v>932</v>
      </c>
      <c r="AD43" t="s">
        <v>932</v>
      </c>
      <c r="AE43" t="s">
        <v>932</v>
      </c>
      <c r="AF43" t="s">
        <v>74</v>
      </c>
      <c r="AG43">
        <v>27</v>
      </c>
      <c r="AH43">
        <v>0</v>
      </c>
      <c r="AI43">
        <v>0</v>
      </c>
      <c r="AJ43">
        <v>0</v>
      </c>
      <c r="AK43">
        <v>0</v>
      </c>
      <c r="AL43" t="s">
        <v>844</v>
      </c>
      <c r="AM43" t="s">
        <v>845</v>
      </c>
      <c r="AN43" t="s">
        <v>933</v>
      </c>
      <c r="AO43" t="s">
        <v>847</v>
      </c>
      <c r="AP43" t="s">
        <v>848</v>
      </c>
      <c r="AQ43" t="s">
        <v>74</v>
      </c>
      <c r="AR43" t="s">
        <v>849</v>
      </c>
      <c r="AS43" t="s">
        <v>850</v>
      </c>
      <c r="AT43" t="s">
        <v>94</v>
      </c>
      <c r="AU43">
        <v>2023</v>
      </c>
      <c r="AV43">
        <v>8</v>
      </c>
      <c r="AW43">
        <v>1</v>
      </c>
      <c r="AX43" t="s">
        <v>74</v>
      </c>
      <c r="AY43" t="s">
        <v>74</v>
      </c>
      <c r="AZ43" t="s">
        <v>74</v>
      </c>
      <c r="BA43" t="s">
        <v>74</v>
      </c>
      <c r="BB43" t="s">
        <v>74</v>
      </c>
      <c r="BC43" t="s">
        <v>74</v>
      </c>
      <c r="BD43">
        <v>46</v>
      </c>
      <c r="BE43" t="s">
        <v>934</v>
      </c>
      <c r="BF43" t="str">
        <f>HYPERLINK("http://dx.doi.org/10.1186/s41601-023-00323-9","http://dx.doi.org/10.1186/s41601-023-00323-9")</f>
        <v>http://dx.doi.org/10.1186/s41601-023-00323-9</v>
      </c>
      <c r="BG43" t="s">
        <v>74</v>
      </c>
      <c r="BH43" t="s">
        <v>74</v>
      </c>
      <c r="BI43">
        <v>11</v>
      </c>
      <c r="BJ43" t="s">
        <v>852</v>
      </c>
      <c r="BK43" t="s">
        <v>126</v>
      </c>
      <c r="BL43" t="s">
        <v>853</v>
      </c>
      <c r="BM43" t="s">
        <v>935</v>
      </c>
      <c r="BN43" t="s">
        <v>74</v>
      </c>
      <c r="BO43" t="s">
        <v>302</v>
      </c>
      <c r="BP43" t="s">
        <v>74</v>
      </c>
      <c r="BQ43" t="s">
        <v>74</v>
      </c>
      <c r="BR43" t="s">
        <v>99</v>
      </c>
      <c r="BS43" t="s">
        <v>936</v>
      </c>
      <c r="BT43" t="str">
        <f>HYPERLINK("https%3A%2F%2Fwww.webofscience.com%2Fwos%2Fwoscc%2Ffull-record%2FWOS:001070859500001","View Full Record in Web of Science")</f>
        <v>View Full Record in Web of Science</v>
      </c>
    </row>
    <row r="44" spans="1:72" x14ac:dyDescent="0.15">
      <c r="A44" t="s">
        <v>72</v>
      </c>
      <c r="B44" t="s">
        <v>937</v>
      </c>
      <c r="C44" t="s">
        <v>74</v>
      </c>
      <c r="D44" t="s">
        <v>74</v>
      </c>
      <c r="E44" t="s">
        <v>74</v>
      </c>
      <c r="F44" t="s">
        <v>938</v>
      </c>
      <c r="G44" t="s">
        <v>74</v>
      </c>
      <c r="H44" t="s">
        <v>74</v>
      </c>
      <c r="I44" t="s">
        <v>939</v>
      </c>
      <c r="J44" t="s">
        <v>348</v>
      </c>
      <c r="K44" t="s">
        <v>74</v>
      </c>
      <c r="L44" t="s">
        <v>74</v>
      </c>
      <c r="M44" t="s">
        <v>78</v>
      </c>
      <c r="N44" t="s">
        <v>79</v>
      </c>
      <c r="O44" t="s">
        <v>74</v>
      </c>
      <c r="P44" t="s">
        <v>74</v>
      </c>
      <c r="Q44" t="s">
        <v>74</v>
      </c>
      <c r="R44" t="s">
        <v>74</v>
      </c>
      <c r="S44" t="s">
        <v>74</v>
      </c>
      <c r="T44" t="s">
        <v>940</v>
      </c>
      <c r="U44" t="s">
        <v>941</v>
      </c>
      <c r="V44" t="s">
        <v>942</v>
      </c>
      <c r="W44" t="s">
        <v>943</v>
      </c>
      <c r="X44" t="s">
        <v>74</v>
      </c>
      <c r="Y44" t="s">
        <v>944</v>
      </c>
      <c r="Z44" t="s">
        <v>945</v>
      </c>
      <c r="AA44" t="s">
        <v>74</v>
      </c>
      <c r="AB44" t="s">
        <v>74</v>
      </c>
      <c r="AC44" t="s">
        <v>74</v>
      </c>
      <c r="AD44" t="s">
        <v>74</v>
      </c>
      <c r="AE44" t="s">
        <v>74</v>
      </c>
      <c r="AF44" t="s">
        <v>74</v>
      </c>
      <c r="AG44">
        <v>24</v>
      </c>
      <c r="AH44">
        <v>0</v>
      </c>
      <c r="AI44">
        <v>0</v>
      </c>
      <c r="AJ44">
        <v>1</v>
      </c>
      <c r="AK44">
        <v>1</v>
      </c>
      <c r="AL44" t="s">
        <v>317</v>
      </c>
      <c r="AM44" t="s">
        <v>245</v>
      </c>
      <c r="AN44" t="s">
        <v>318</v>
      </c>
      <c r="AO44" t="s">
        <v>360</v>
      </c>
      <c r="AP44" t="s">
        <v>361</v>
      </c>
      <c r="AQ44" t="s">
        <v>74</v>
      </c>
      <c r="AR44" t="s">
        <v>362</v>
      </c>
      <c r="AS44" t="s">
        <v>363</v>
      </c>
      <c r="AT44" t="s">
        <v>94</v>
      </c>
      <c r="AU44">
        <v>2023</v>
      </c>
      <c r="AV44">
        <v>8</v>
      </c>
      <c r="AW44">
        <v>1</v>
      </c>
      <c r="AX44" t="s">
        <v>74</v>
      </c>
      <c r="AY44" t="s">
        <v>74</v>
      </c>
      <c r="AZ44" t="s">
        <v>74</v>
      </c>
      <c r="BA44" t="s">
        <v>74</v>
      </c>
      <c r="BB44" t="s">
        <v>74</v>
      </c>
      <c r="BC44" t="s">
        <v>74</v>
      </c>
      <c r="BD44">
        <v>23</v>
      </c>
      <c r="BE44" t="s">
        <v>946</v>
      </c>
      <c r="BF44" t="str">
        <f>HYPERLINK("http://dx.doi.org/10.1007/s41101-023-00198-9","http://dx.doi.org/10.1007/s41101-023-00198-9")</f>
        <v>http://dx.doi.org/10.1007/s41101-023-00198-9</v>
      </c>
      <c r="BG44" t="s">
        <v>74</v>
      </c>
      <c r="BH44" t="s">
        <v>74</v>
      </c>
      <c r="BI44">
        <v>9</v>
      </c>
      <c r="BJ44" t="s">
        <v>365</v>
      </c>
      <c r="BK44" t="s">
        <v>97</v>
      </c>
      <c r="BL44" t="s">
        <v>366</v>
      </c>
      <c r="BM44" t="s">
        <v>947</v>
      </c>
      <c r="BN44" t="s">
        <v>74</v>
      </c>
      <c r="BO44" t="s">
        <v>74</v>
      </c>
      <c r="BP44" t="s">
        <v>74</v>
      </c>
      <c r="BQ44" t="s">
        <v>74</v>
      </c>
      <c r="BR44" t="s">
        <v>99</v>
      </c>
      <c r="BS44" t="s">
        <v>948</v>
      </c>
      <c r="BT44" t="str">
        <f>HYPERLINK("https%3A%2F%2Fwww.webofscience.com%2Fwos%2Fwoscc%2Ffull-record%2FWOS:001004939300001","View Full Record in Web of Science")</f>
        <v>View Full Record in Web of Science</v>
      </c>
    </row>
    <row r="45" spans="1:72" x14ac:dyDescent="0.15">
      <c r="A45" t="s">
        <v>72</v>
      </c>
      <c r="B45" t="s">
        <v>949</v>
      </c>
      <c r="C45" t="s">
        <v>74</v>
      </c>
      <c r="D45" t="s">
        <v>74</v>
      </c>
      <c r="E45" t="s">
        <v>74</v>
      </c>
      <c r="F45" t="s">
        <v>950</v>
      </c>
      <c r="G45" t="s">
        <v>74</v>
      </c>
      <c r="H45" t="s">
        <v>74</v>
      </c>
      <c r="I45" t="s">
        <v>951</v>
      </c>
      <c r="J45" t="s">
        <v>741</v>
      </c>
      <c r="K45" t="s">
        <v>74</v>
      </c>
      <c r="L45" t="s">
        <v>74</v>
      </c>
      <c r="M45" t="s">
        <v>78</v>
      </c>
      <c r="N45" t="s">
        <v>952</v>
      </c>
      <c r="O45" t="s">
        <v>74</v>
      </c>
      <c r="P45" t="s">
        <v>74</v>
      </c>
      <c r="Q45" t="s">
        <v>74</v>
      </c>
      <c r="R45" t="s">
        <v>74</v>
      </c>
      <c r="S45" t="s">
        <v>74</v>
      </c>
      <c r="T45" t="s">
        <v>74</v>
      </c>
      <c r="U45" t="s">
        <v>953</v>
      </c>
      <c r="V45" t="s">
        <v>74</v>
      </c>
      <c r="W45" t="s">
        <v>954</v>
      </c>
      <c r="X45" t="s">
        <v>955</v>
      </c>
      <c r="Y45" t="s">
        <v>956</v>
      </c>
      <c r="Z45" t="s">
        <v>957</v>
      </c>
      <c r="AA45" t="s">
        <v>74</v>
      </c>
      <c r="AB45" t="s">
        <v>74</v>
      </c>
      <c r="AC45" t="s">
        <v>74</v>
      </c>
      <c r="AD45" t="s">
        <v>74</v>
      </c>
      <c r="AE45" t="s">
        <v>74</v>
      </c>
      <c r="AF45" t="s">
        <v>74</v>
      </c>
      <c r="AG45">
        <v>25</v>
      </c>
      <c r="AH45">
        <v>0</v>
      </c>
      <c r="AI45">
        <v>0</v>
      </c>
      <c r="AJ45">
        <v>9</v>
      </c>
      <c r="AK45">
        <v>9</v>
      </c>
      <c r="AL45" t="s">
        <v>317</v>
      </c>
      <c r="AM45" t="s">
        <v>245</v>
      </c>
      <c r="AN45" t="s">
        <v>318</v>
      </c>
      <c r="AO45" t="s">
        <v>754</v>
      </c>
      <c r="AP45" t="s">
        <v>755</v>
      </c>
      <c r="AQ45" t="s">
        <v>74</v>
      </c>
      <c r="AR45" t="s">
        <v>756</v>
      </c>
      <c r="AS45" t="s">
        <v>757</v>
      </c>
      <c r="AT45" t="s">
        <v>94</v>
      </c>
      <c r="AU45">
        <v>2023</v>
      </c>
      <c r="AV45">
        <v>5</v>
      </c>
      <c r="AW45">
        <v>4</v>
      </c>
      <c r="AX45" t="s">
        <v>74</v>
      </c>
      <c r="AY45" t="s">
        <v>74</v>
      </c>
      <c r="AZ45" t="s">
        <v>74</v>
      </c>
      <c r="BA45" t="s">
        <v>74</v>
      </c>
      <c r="BB45" t="s">
        <v>74</v>
      </c>
      <c r="BC45" t="s">
        <v>74</v>
      </c>
      <c r="BD45">
        <v>230180</v>
      </c>
      <c r="BE45" t="s">
        <v>958</v>
      </c>
      <c r="BF45" t="str">
        <f>HYPERLINK("http://dx.doi.org/10.1007/s42832-023-0180-8","http://dx.doi.org/10.1007/s42832-023-0180-8")</f>
        <v>http://dx.doi.org/10.1007/s42832-023-0180-8</v>
      </c>
      <c r="BG45" t="s">
        <v>74</v>
      </c>
      <c r="BH45" t="s">
        <v>74</v>
      </c>
      <c r="BI45">
        <v>3</v>
      </c>
      <c r="BJ45" t="s">
        <v>759</v>
      </c>
      <c r="BK45" t="s">
        <v>97</v>
      </c>
      <c r="BL45" t="s">
        <v>760</v>
      </c>
      <c r="BM45" t="s">
        <v>959</v>
      </c>
      <c r="BN45" t="s">
        <v>74</v>
      </c>
      <c r="BO45" t="s">
        <v>762</v>
      </c>
      <c r="BP45" t="s">
        <v>74</v>
      </c>
      <c r="BQ45" t="s">
        <v>74</v>
      </c>
      <c r="BR45" t="s">
        <v>99</v>
      </c>
      <c r="BS45" t="s">
        <v>960</v>
      </c>
      <c r="BT45" t="str">
        <f>HYPERLINK("https%3A%2F%2Fwww.webofscience.com%2Fwos%2Fwoscc%2Ffull-record%2FWOS:001006627100001","View Full Record in Web of Science")</f>
        <v>View Full Record in Web of Science</v>
      </c>
    </row>
    <row r="46" spans="1:72" x14ac:dyDescent="0.15">
      <c r="A46" t="s">
        <v>72</v>
      </c>
      <c r="B46" t="s">
        <v>961</v>
      </c>
      <c r="C46" t="s">
        <v>74</v>
      </c>
      <c r="D46" t="s">
        <v>74</v>
      </c>
      <c r="E46" t="s">
        <v>74</v>
      </c>
      <c r="F46" t="s">
        <v>962</v>
      </c>
      <c r="G46" t="s">
        <v>74</v>
      </c>
      <c r="H46" t="s">
        <v>74</v>
      </c>
      <c r="I46" t="s">
        <v>963</v>
      </c>
      <c r="J46" t="s">
        <v>964</v>
      </c>
      <c r="K46" t="s">
        <v>74</v>
      </c>
      <c r="L46" t="s">
        <v>74</v>
      </c>
      <c r="M46" t="s">
        <v>78</v>
      </c>
      <c r="N46" t="s">
        <v>79</v>
      </c>
      <c r="O46" t="s">
        <v>74</v>
      </c>
      <c r="P46" t="s">
        <v>74</v>
      </c>
      <c r="Q46" t="s">
        <v>74</v>
      </c>
      <c r="R46" t="s">
        <v>74</v>
      </c>
      <c r="S46" t="s">
        <v>74</v>
      </c>
      <c r="T46" t="s">
        <v>965</v>
      </c>
      <c r="U46" t="s">
        <v>966</v>
      </c>
      <c r="V46" t="s">
        <v>967</v>
      </c>
      <c r="W46" t="s">
        <v>968</v>
      </c>
      <c r="X46" t="s">
        <v>969</v>
      </c>
      <c r="Y46" t="s">
        <v>970</v>
      </c>
      <c r="Z46" t="s">
        <v>971</v>
      </c>
      <c r="AA46" t="s">
        <v>972</v>
      </c>
      <c r="AB46" t="s">
        <v>973</v>
      </c>
      <c r="AC46" t="s">
        <v>74</v>
      </c>
      <c r="AD46" t="s">
        <v>74</v>
      </c>
      <c r="AE46" t="s">
        <v>74</v>
      </c>
      <c r="AF46" t="s">
        <v>74</v>
      </c>
      <c r="AG46">
        <v>36</v>
      </c>
      <c r="AH46">
        <v>0</v>
      </c>
      <c r="AI46">
        <v>0</v>
      </c>
      <c r="AJ46">
        <v>6</v>
      </c>
      <c r="AK46">
        <v>8</v>
      </c>
      <c r="AL46" t="s">
        <v>443</v>
      </c>
      <c r="AM46" t="s">
        <v>245</v>
      </c>
      <c r="AN46" t="s">
        <v>444</v>
      </c>
      <c r="AO46" t="s">
        <v>974</v>
      </c>
      <c r="AP46" t="s">
        <v>975</v>
      </c>
      <c r="AQ46" t="s">
        <v>74</v>
      </c>
      <c r="AR46" t="s">
        <v>976</v>
      </c>
      <c r="AS46" t="s">
        <v>977</v>
      </c>
      <c r="AT46" t="s">
        <v>94</v>
      </c>
      <c r="AU46">
        <v>2023</v>
      </c>
      <c r="AV46">
        <v>18</v>
      </c>
      <c r="AW46">
        <v>1</v>
      </c>
      <c r="AX46" t="s">
        <v>74</v>
      </c>
      <c r="AY46" t="s">
        <v>74</v>
      </c>
      <c r="AZ46" t="s">
        <v>74</v>
      </c>
      <c r="BA46" t="s">
        <v>74</v>
      </c>
      <c r="BB46" t="s">
        <v>74</v>
      </c>
      <c r="BC46" t="s">
        <v>74</v>
      </c>
      <c r="BD46">
        <v>3</v>
      </c>
      <c r="BE46" t="s">
        <v>978</v>
      </c>
      <c r="BF46" t="str">
        <f>HYPERLINK("http://dx.doi.org/10.1186/s12263-023-00721-6","http://dx.doi.org/10.1186/s12263-023-00721-6")</f>
        <v>http://dx.doi.org/10.1186/s12263-023-00721-6</v>
      </c>
      <c r="BG46" t="s">
        <v>74</v>
      </c>
      <c r="BH46" t="s">
        <v>74</v>
      </c>
      <c r="BI46">
        <v>15</v>
      </c>
      <c r="BJ46" t="s">
        <v>979</v>
      </c>
      <c r="BK46" t="s">
        <v>126</v>
      </c>
      <c r="BL46" t="s">
        <v>979</v>
      </c>
      <c r="BM46" t="s">
        <v>980</v>
      </c>
      <c r="BN46">
        <v>36899329</v>
      </c>
      <c r="BO46" t="s">
        <v>981</v>
      </c>
      <c r="BP46" t="s">
        <v>74</v>
      </c>
      <c r="BQ46" t="s">
        <v>74</v>
      </c>
      <c r="BR46" t="s">
        <v>99</v>
      </c>
      <c r="BS46" t="s">
        <v>982</v>
      </c>
      <c r="BT46" t="str">
        <f>HYPERLINK("https%3A%2F%2Fwww.webofscience.com%2Fwos%2Fwoscc%2Ffull-record%2FWOS:000947741600001","View Full Record in Web of Science")</f>
        <v>View Full Record in Web of Science</v>
      </c>
    </row>
    <row r="47" spans="1:72" x14ac:dyDescent="0.15">
      <c r="A47" t="s">
        <v>72</v>
      </c>
      <c r="B47" t="s">
        <v>983</v>
      </c>
      <c r="C47" t="s">
        <v>74</v>
      </c>
      <c r="D47" t="s">
        <v>74</v>
      </c>
      <c r="E47" t="s">
        <v>74</v>
      </c>
      <c r="F47" t="s">
        <v>984</v>
      </c>
      <c r="G47" t="s">
        <v>74</v>
      </c>
      <c r="H47" t="s">
        <v>74</v>
      </c>
      <c r="I47" t="s">
        <v>985</v>
      </c>
      <c r="J47" t="s">
        <v>372</v>
      </c>
      <c r="K47" t="s">
        <v>74</v>
      </c>
      <c r="L47" t="s">
        <v>74</v>
      </c>
      <c r="M47" t="s">
        <v>78</v>
      </c>
      <c r="N47" t="s">
        <v>79</v>
      </c>
      <c r="O47" t="s">
        <v>74</v>
      </c>
      <c r="P47" t="s">
        <v>74</v>
      </c>
      <c r="Q47" t="s">
        <v>74</v>
      </c>
      <c r="R47" t="s">
        <v>74</v>
      </c>
      <c r="S47" t="s">
        <v>74</v>
      </c>
      <c r="T47" t="s">
        <v>986</v>
      </c>
      <c r="U47" t="s">
        <v>987</v>
      </c>
      <c r="V47" t="s">
        <v>988</v>
      </c>
      <c r="W47" t="s">
        <v>989</v>
      </c>
      <c r="X47" t="s">
        <v>990</v>
      </c>
      <c r="Y47" t="s">
        <v>991</v>
      </c>
      <c r="Z47" t="s">
        <v>992</v>
      </c>
      <c r="AA47" t="s">
        <v>74</v>
      </c>
      <c r="AB47" t="s">
        <v>74</v>
      </c>
      <c r="AC47" t="s">
        <v>993</v>
      </c>
      <c r="AD47" t="s">
        <v>74</v>
      </c>
      <c r="AE47" t="s">
        <v>994</v>
      </c>
      <c r="AF47" t="s">
        <v>74</v>
      </c>
      <c r="AG47">
        <v>36</v>
      </c>
      <c r="AH47">
        <v>0</v>
      </c>
      <c r="AI47">
        <v>0</v>
      </c>
      <c r="AJ47">
        <v>0</v>
      </c>
      <c r="AK47">
        <v>0</v>
      </c>
      <c r="AL47" t="s">
        <v>117</v>
      </c>
      <c r="AM47" t="s">
        <v>118</v>
      </c>
      <c r="AN47" t="s">
        <v>119</v>
      </c>
      <c r="AO47" t="s">
        <v>381</v>
      </c>
      <c r="AP47" t="s">
        <v>382</v>
      </c>
      <c r="AQ47" t="s">
        <v>74</v>
      </c>
      <c r="AR47" t="s">
        <v>383</v>
      </c>
      <c r="AS47" t="s">
        <v>384</v>
      </c>
      <c r="AT47" t="s">
        <v>94</v>
      </c>
      <c r="AU47">
        <v>2023</v>
      </c>
      <c r="AV47">
        <v>53</v>
      </c>
      <c r="AW47">
        <v>6</v>
      </c>
      <c r="AX47" t="s">
        <v>74</v>
      </c>
      <c r="AY47" t="s">
        <v>74</v>
      </c>
      <c r="AZ47" t="s">
        <v>74</v>
      </c>
      <c r="BA47" t="s">
        <v>74</v>
      </c>
      <c r="BB47" t="s">
        <v>74</v>
      </c>
      <c r="BC47" t="s">
        <v>74</v>
      </c>
      <c r="BD47">
        <v>147</v>
      </c>
      <c r="BE47" t="s">
        <v>995</v>
      </c>
      <c r="BF47" t="str">
        <f>HYPERLINK("http://dx.doi.org/10.1007/s13538-023-01363-0","http://dx.doi.org/10.1007/s13538-023-01363-0")</f>
        <v>http://dx.doi.org/10.1007/s13538-023-01363-0</v>
      </c>
      <c r="BG47" t="s">
        <v>74</v>
      </c>
      <c r="BH47" t="s">
        <v>74</v>
      </c>
      <c r="BI47">
        <v>7</v>
      </c>
      <c r="BJ47" t="s">
        <v>386</v>
      </c>
      <c r="BK47" t="s">
        <v>126</v>
      </c>
      <c r="BL47" t="s">
        <v>387</v>
      </c>
      <c r="BM47" t="s">
        <v>996</v>
      </c>
      <c r="BN47" t="s">
        <v>74</v>
      </c>
      <c r="BO47" t="s">
        <v>74</v>
      </c>
      <c r="BP47" t="s">
        <v>74</v>
      </c>
      <c r="BQ47" t="s">
        <v>74</v>
      </c>
      <c r="BR47" t="s">
        <v>99</v>
      </c>
      <c r="BS47" t="s">
        <v>997</v>
      </c>
      <c r="BT47" t="str">
        <f>HYPERLINK("https%3A%2F%2Fwww.webofscience.com%2Fwos%2Fwoscc%2Ffull-record%2FWOS:001066175600001","View Full Record in Web of Science")</f>
        <v>View Full Record in Web of Science</v>
      </c>
    </row>
    <row r="48" spans="1:72" x14ac:dyDescent="0.15">
      <c r="A48" t="s">
        <v>72</v>
      </c>
      <c r="B48" t="s">
        <v>998</v>
      </c>
      <c r="C48" t="s">
        <v>74</v>
      </c>
      <c r="D48" t="s">
        <v>74</v>
      </c>
      <c r="E48" t="s">
        <v>74</v>
      </c>
      <c r="F48" t="s">
        <v>999</v>
      </c>
      <c r="G48" t="s">
        <v>74</v>
      </c>
      <c r="H48" t="s">
        <v>74</v>
      </c>
      <c r="I48" t="s">
        <v>1000</v>
      </c>
      <c r="J48" t="s">
        <v>133</v>
      </c>
      <c r="K48" t="s">
        <v>74</v>
      </c>
      <c r="L48" t="s">
        <v>74</v>
      </c>
      <c r="M48" t="s">
        <v>78</v>
      </c>
      <c r="N48" t="s">
        <v>79</v>
      </c>
      <c r="O48" t="s">
        <v>74</v>
      </c>
      <c r="P48" t="s">
        <v>74</v>
      </c>
      <c r="Q48" t="s">
        <v>74</v>
      </c>
      <c r="R48" t="s">
        <v>74</v>
      </c>
      <c r="S48" t="s">
        <v>74</v>
      </c>
      <c r="T48" t="s">
        <v>1001</v>
      </c>
      <c r="U48" t="s">
        <v>1002</v>
      </c>
      <c r="V48" t="s">
        <v>1003</v>
      </c>
      <c r="W48" t="s">
        <v>1004</v>
      </c>
      <c r="X48" t="s">
        <v>1005</v>
      </c>
      <c r="Y48" t="s">
        <v>1006</v>
      </c>
      <c r="Z48" t="s">
        <v>1007</v>
      </c>
      <c r="AA48" t="s">
        <v>1008</v>
      </c>
      <c r="AB48" t="s">
        <v>1009</v>
      </c>
      <c r="AC48" t="s">
        <v>1010</v>
      </c>
      <c r="AD48" t="s">
        <v>1011</v>
      </c>
      <c r="AE48" t="s">
        <v>1012</v>
      </c>
      <c r="AF48" t="s">
        <v>74</v>
      </c>
      <c r="AG48">
        <v>72</v>
      </c>
      <c r="AH48">
        <v>0</v>
      </c>
      <c r="AI48">
        <v>0</v>
      </c>
      <c r="AJ48">
        <v>8</v>
      </c>
      <c r="AK48">
        <v>8</v>
      </c>
      <c r="AL48" t="s">
        <v>146</v>
      </c>
      <c r="AM48" t="s">
        <v>147</v>
      </c>
      <c r="AN48" t="s">
        <v>148</v>
      </c>
      <c r="AO48" t="s">
        <v>149</v>
      </c>
      <c r="AP48" t="s">
        <v>150</v>
      </c>
      <c r="AQ48" t="s">
        <v>74</v>
      </c>
      <c r="AR48" t="s">
        <v>151</v>
      </c>
      <c r="AS48" t="s">
        <v>152</v>
      </c>
      <c r="AT48" t="s">
        <v>94</v>
      </c>
      <c r="AU48">
        <v>2023</v>
      </c>
      <c r="AV48">
        <v>14</v>
      </c>
      <c r="AW48">
        <v>1</v>
      </c>
      <c r="AX48" t="s">
        <v>74</v>
      </c>
      <c r="AY48" t="s">
        <v>74</v>
      </c>
      <c r="AZ48" t="s">
        <v>74</v>
      </c>
      <c r="BA48" t="s">
        <v>74</v>
      </c>
      <c r="BB48" t="s">
        <v>74</v>
      </c>
      <c r="BC48" t="s">
        <v>74</v>
      </c>
      <c r="BD48">
        <v>70</v>
      </c>
      <c r="BE48" t="s">
        <v>1013</v>
      </c>
      <c r="BF48" t="str">
        <f>HYPERLINK("http://dx.doi.org/10.1186/s12645-023-00194-7","http://dx.doi.org/10.1186/s12645-023-00194-7")</f>
        <v>http://dx.doi.org/10.1186/s12645-023-00194-7</v>
      </c>
      <c r="BG48" t="s">
        <v>74</v>
      </c>
      <c r="BH48" t="s">
        <v>74</v>
      </c>
      <c r="BI48">
        <v>34</v>
      </c>
      <c r="BJ48" t="s">
        <v>154</v>
      </c>
      <c r="BK48" t="s">
        <v>126</v>
      </c>
      <c r="BL48" t="s">
        <v>155</v>
      </c>
      <c r="BM48" t="s">
        <v>1014</v>
      </c>
      <c r="BN48" t="s">
        <v>74</v>
      </c>
      <c r="BO48" t="s">
        <v>302</v>
      </c>
      <c r="BP48" t="s">
        <v>74</v>
      </c>
      <c r="BQ48" t="s">
        <v>74</v>
      </c>
      <c r="BR48" t="s">
        <v>99</v>
      </c>
      <c r="BS48" t="s">
        <v>1015</v>
      </c>
      <c r="BT48" t="str">
        <f>HYPERLINK("https%3A%2F%2Fwww.webofscience.com%2Fwos%2Fwoscc%2Ffull-record%2FWOS:001040023300001","View Full Record in Web of Science")</f>
        <v>View Full Record in Web of Science</v>
      </c>
    </row>
    <row r="49" spans="1:72" x14ac:dyDescent="0.15">
      <c r="A49" t="s">
        <v>72</v>
      </c>
      <c r="B49" t="s">
        <v>1016</v>
      </c>
      <c r="C49" t="s">
        <v>74</v>
      </c>
      <c r="D49" t="s">
        <v>74</v>
      </c>
      <c r="E49" t="s">
        <v>74</v>
      </c>
      <c r="F49" t="s">
        <v>1017</v>
      </c>
      <c r="G49" t="s">
        <v>74</v>
      </c>
      <c r="H49" t="s">
        <v>74</v>
      </c>
      <c r="I49" t="s">
        <v>1018</v>
      </c>
      <c r="J49" t="s">
        <v>1019</v>
      </c>
      <c r="K49" t="s">
        <v>74</v>
      </c>
      <c r="L49" t="s">
        <v>74</v>
      </c>
      <c r="M49" t="s">
        <v>78</v>
      </c>
      <c r="N49" t="s">
        <v>79</v>
      </c>
      <c r="O49" t="s">
        <v>74</v>
      </c>
      <c r="P49" t="s">
        <v>74</v>
      </c>
      <c r="Q49" t="s">
        <v>74</v>
      </c>
      <c r="R49" t="s">
        <v>74</v>
      </c>
      <c r="S49" t="s">
        <v>74</v>
      </c>
      <c r="T49" t="s">
        <v>1020</v>
      </c>
      <c r="U49" t="s">
        <v>1021</v>
      </c>
      <c r="V49" t="s">
        <v>1022</v>
      </c>
      <c r="W49" t="s">
        <v>1023</v>
      </c>
      <c r="X49" t="s">
        <v>1024</v>
      </c>
      <c r="Y49" t="s">
        <v>1025</v>
      </c>
      <c r="Z49" t="s">
        <v>1026</v>
      </c>
      <c r="AA49" t="s">
        <v>1027</v>
      </c>
      <c r="AB49" t="s">
        <v>1028</v>
      </c>
      <c r="AC49" t="s">
        <v>1029</v>
      </c>
      <c r="AD49" t="s">
        <v>1030</v>
      </c>
      <c r="AE49" t="s">
        <v>1031</v>
      </c>
      <c r="AF49" t="s">
        <v>74</v>
      </c>
      <c r="AG49">
        <v>36</v>
      </c>
      <c r="AH49">
        <v>0</v>
      </c>
      <c r="AI49">
        <v>0</v>
      </c>
      <c r="AJ49">
        <v>20</v>
      </c>
      <c r="AK49">
        <v>37</v>
      </c>
      <c r="AL49" t="s">
        <v>317</v>
      </c>
      <c r="AM49" t="s">
        <v>245</v>
      </c>
      <c r="AN49" t="s">
        <v>318</v>
      </c>
      <c r="AO49" t="s">
        <v>1032</v>
      </c>
      <c r="AP49" t="s">
        <v>1033</v>
      </c>
      <c r="AQ49" t="s">
        <v>74</v>
      </c>
      <c r="AR49" t="s">
        <v>1034</v>
      </c>
      <c r="AS49" t="s">
        <v>1035</v>
      </c>
      <c r="AT49" t="s">
        <v>94</v>
      </c>
      <c r="AU49">
        <v>2023</v>
      </c>
      <c r="AV49">
        <v>13</v>
      </c>
      <c r="AW49">
        <v>1</v>
      </c>
      <c r="AX49" t="s">
        <v>74</v>
      </c>
      <c r="AY49" t="s">
        <v>74</v>
      </c>
      <c r="AZ49" t="s">
        <v>74</v>
      </c>
      <c r="BA49" t="s">
        <v>74</v>
      </c>
      <c r="BB49" t="s">
        <v>74</v>
      </c>
      <c r="BC49" t="s">
        <v>74</v>
      </c>
      <c r="BD49">
        <v>1</v>
      </c>
      <c r="BE49" t="s">
        <v>1036</v>
      </c>
      <c r="BF49" t="str">
        <f>HYPERLINK("http://dx.doi.org/10.1007/s13659-022-00365-w","http://dx.doi.org/10.1007/s13659-022-00365-w")</f>
        <v>http://dx.doi.org/10.1007/s13659-022-00365-w</v>
      </c>
      <c r="BG49" t="s">
        <v>74</v>
      </c>
      <c r="BH49" t="s">
        <v>74</v>
      </c>
      <c r="BI49">
        <v>9</v>
      </c>
      <c r="BJ49" t="s">
        <v>1037</v>
      </c>
      <c r="BK49" t="s">
        <v>97</v>
      </c>
      <c r="BL49" t="s">
        <v>1038</v>
      </c>
      <c r="BM49" t="s">
        <v>1039</v>
      </c>
      <c r="BN49">
        <v>36595109</v>
      </c>
      <c r="BO49" t="s">
        <v>981</v>
      </c>
      <c r="BP49" t="s">
        <v>74</v>
      </c>
      <c r="BQ49" t="s">
        <v>74</v>
      </c>
      <c r="BR49" t="s">
        <v>99</v>
      </c>
      <c r="BS49" t="s">
        <v>1040</v>
      </c>
      <c r="BT49" t="str">
        <f>HYPERLINK("https%3A%2F%2Fwww.webofscience.com%2Fwos%2Fwoscc%2Ffull-record%2FWOS:000906911400001","View Full Record in Web of Science")</f>
        <v>View Full Record in Web of Science</v>
      </c>
    </row>
    <row r="50" spans="1:72" x14ac:dyDescent="0.15">
      <c r="A50" t="s">
        <v>72</v>
      </c>
      <c r="B50" t="s">
        <v>1041</v>
      </c>
      <c r="C50" t="s">
        <v>74</v>
      </c>
      <c r="D50" t="s">
        <v>74</v>
      </c>
      <c r="E50" t="s">
        <v>74</v>
      </c>
      <c r="F50" t="s">
        <v>1042</v>
      </c>
      <c r="G50" t="s">
        <v>74</v>
      </c>
      <c r="H50" t="s">
        <v>74</v>
      </c>
      <c r="I50" t="s">
        <v>1043</v>
      </c>
      <c r="J50" t="s">
        <v>836</v>
      </c>
      <c r="K50" t="s">
        <v>74</v>
      </c>
      <c r="L50" t="s">
        <v>74</v>
      </c>
      <c r="M50" t="s">
        <v>78</v>
      </c>
      <c r="N50" t="s">
        <v>79</v>
      </c>
      <c r="O50" t="s">
        <v>74</v>
      </c>
      <c r="P50" t="s">
        <v>74</v>
      </c>
      <c r="Q50" t="s">
        <v>74</v>
      </c>
      <c r="R50" t="s">
        <v>74</v>
      </c>
      <c r="S50" t="s">
        <v>74</v>
      </c>
      <c r="T50" t="s">
        <v>1044</v>
      </c>
      <c r="U50" t="s">
        <v>74</v>
      </c>
      <c r="V50" t="s">
        <v>1045</v>
      </c>
      <c r="W50" t="s">
        <v>1046</v>
      </c>
      <c r="X50" t="s">
        <v>1047</v>
      </c>
      <c r="Y50" t="s">
        <v>1048</v>
      </c>
      <c r="Z50" t="s">
        <v>1049</v>
      </c>
      <c r="AA50" t="s">
        <v>74</v>
      </c>
      <c r="AB50" t="s">
        <v>74</v>
      </c>
      <c r="AC50" t="s">
        <v>1050</v>
      </c>
      <c r="AD50" t="s">
        <v>1051</v>
      </c>
      <c r="AE50" t="s">
        <v>1052</v>
      </c>
      <c r="AF50" t="s">
        <v>74</v>
      </c>
      <c r="AG50">
        <v>20</v>
      </c>
      <c r="AH50">
        <v>0</v>
      </c>
      <c r="AI50">
        <v>0</v>
      </c>
      <c r="AJ50">
        <v>4</v>
      </c>
      <c r="AK50">
        <v>4</v>
      </c>
      <c r="AL50" t="s">
        <v>844</v>
      </c>
      <c r="AM50" t="s">
        <v>845</v>
      </c>
      <c r="AN50" t="s">
        <v>933</v>
      </c>
      <c r="AO50" t="s">
        <v>847</v>
      </c>
      <c r="AP50" t="s">
        <v>848</v>
      </c>
      <c r="AQ50" t="s">
        <v>74</v>
      </c>
      <c r="AR50" t="s">
        <v>849</v>
      </c>
      <c r="AS50" t="s">
        <v>850</v>
      </c>
      <c r="AT50" t="s">
        <v>94</v>
      </c>
      <c r="AU50">
        <v>2023</v>
      </c>
      <c r="AV50">
        <v>8</v>
      </c>
      <c r="AW50">
        <v>1</v>
      </c>
      <c r="AX50" t="s">
        <v>74</v>
      </c>
      <c r="AY50" t="s">
        <v>74</v>
      </c>
      <c r="AZ50" t="s">
        <v>74</v>
      </c>
      <c r="BA50" t="s">
        <v>74</v>
      </c>
      <c r="BB50" t="s">
        <v>74</v>
      </c>
      <c r="BC50" t="s">
        <v>74</v>
      </c>
      <c r="BD50">
        <v>29</v>
      </c>
      <c r="BE50" t="s">
        <v>1053</v>
      </c>
      <c r="BF50" t="str">
        <f>HYPERLINK("http://dx.doi.org/10.1186/s41601-023-00299-6","http://dx.doi.org/10.1186/s41601-023-00299-6")</f>
        <v>http://dx.doi.org/10.1186/s41601-023-00299-6</v>
      </c>
      <c r="BG50" t="s">
        <v>74</v>
      </c>
      <c r="BH50" t="s">
        <v>74</v>
      </c>
      <c r="BI50">
        <v>18</v>
      </c>
      <c r="BJ50" t="s">
        <v>852</v>
      </c>
      <c r="BK50" t="s">
        <v>126</v>
      </c>
      <c r="BL50" t="s">
        <v>853</v>
      </c>
      <c r="BM50" t="s">
        <v>1054</v>
      </c>
      <c r="BN50" t="s">
        <v>74</v>
      </c>
      <c r="BO50" t="s">
        <v>302</v>
      </c>
      <c r="BP50" t="s">
        <v>74</v>
      </c>
      <c r="BQ50" t="s">
        <v>74</v>
      </c>
      <c r="BR50" t="s">
        <v>99</v>
      </c>
      <c r="BS50" t="s">
        <v>1055</v>
      </c>
      <c r="BT50" t="str">
        <f>HYPERLINK("https%3A%2F%2Fwww.webofscience.com%2Fwos%2Fwoscc%2Ffull-record%2FWOS:001021479400001","View Full Record in Web of Science")</f>
        <v>View Full Record in Web of Science</v>
      </c>
    </row>
    <row r="51" spans="1:72" x14ac:dyDescent="0.15">
      <c r="A51" t="s">
        <v>72</v>
      </c>
      <c r="B51" t="s">
        <v>1056</v>
      </c>
      <c r="C51" t="s">
        <v>74</v>
      </c>
      <c r="D51" t="s">
        <v>74</v>
      </c>
      <c r="E51" t="s">
        <v>74</v>
      </c>
      <c r="F51" t="s">
        <v>1057</v>
      </c>
      <c r="G51" t="s">
        <v>74</v>
      </c>
      <c r="H51" t="s">
        <v>74</v>
      </c>
      <c r="I51" t="s">
        <v>1058</v>
      </c>
      <c r="J51" t="s">
        <v>964</v>
      </c>
      <c r="K51" t="s">
        <v>74</v>
      </c>
      <c r="L51" t="s">
        <v>74</v>
      </c>
      <c r="M51" t="s">
        <v>78</v>
      </c>
      <c r="N51" t="s">
        <v>79</v>
      </c>
      <c r="O51" t="s">
        <v>74</v>
      </c>
      <c r="P51" t="s">
        <v>74</v>
      </c>
      <c r="Q51" t="s">
        <v>74</v>
      </c>
      <c r="R51" t="s">
        <v>74</v>
      </c>
      <c r="S51" t="s">
        <v>74</v>
      </c>
      <c r="T51" t="s">
        <v>1059</v>
      </c>
      <c r="U51" t="s">
        <v>1060</v>
      </c>
      <c r="V51" t="s">
        <v>1061</v>
      </c>
      <c r="W51" t="s">
        <v>1062</v>
      </c>
      <c r="X51" t="s">
        <v>1063</v>
      </c>
      <c r="Y51" t="s">
        <v>1064</v>
      </c>
      <c r="Z51" t="s">
        <v>1065</v>
      </c>
      <c r="AA51" t="s">
        <v>74</v>
      </c>
      <c r="AB51" t="s">
        <v>74</v>
      </c>
      <c r="AC51" t="s">
        <v>1066</v>
      </c>
      <c r="AD51" t="s">
        <v>1066</v>
      </c>
      <c r="AE51" t="s">
        <v>1066</v>
      </c>
      <c r="AF51" t="s">
        <v>74</v>
      </c>
      <c r="AG51">
        <v>28</v>
      </c>
      <c r="AH51">
        <v>0</v>
      </c>
      <c r="AI51">
        <v>0</v>
      </c>
      <c r="AJ51">
        <v>4</v>
      </c>
      <c r="AK51">
        <v>4</v>
      </c>
      <c r="AL51" t="s">
        <v>443</v>
      </c>
      <c r="AM51" t="s">
        <v>245</v>
      </c>
      <c r="AN51" t="s">
        <v>444</v>
      </c>
      <c r="AO51" t="s">
        <v>974</v>
      </c>
      <c r="AP51" t="s">
        <v>975</v>
      </c>
      <c r="AQ51" t="s">
        <v>74</v>
      </c>
      <c r="AR51" t="s">
        <v>976</v>
      </c>
      <c r="AS51" t="s">
        <v>977</v>
      </c>
      <c r="AT51" t="s">
        <v>94</v>
      </c>
      <c r="AU51">
        <v>2023</v>
      </c>
      <c r="AV51">
        <v>18</v>
      </c>
      <c r="AW51">
        <v>1</v>
      </c>
      <c r="AX51" t="s">
        <v>74</v>
      </c>
      <c r="AY51" t="s">
        <v>74</v>
      </c>
      <c r="AZ51" t="s">
        <v>74</v>
      </c>
      <c r="BA51" t="s">
        <v>74</v>
      </c>
      <c r="BB51" t="s">
        <v>74</v>
      </c>
      <c r="BC51" t="s">
        <v>74</v>
      </c>
      <c r="BD51">
        <v>14</v>
      </c>
      <c r="BE51" t="s">
        <v>1067</v>
      </c>
      <c r="BF51" t="str">
        <f>HYPERLINK("http://dx.doi.org/10.1186/s12263-023-00734-1","http://dx.doi.org/10.1186/s12263-023-00734-1")</f>
        <v>http://dx.doi.org/10.1186/s12263-023-00734-1</v>
      </c>
      <c r="BG51" t="s">
        <v>74</v>
      </c>
      <c r="BH51" t="s">
        <v>74</v>
      </c>
      <c r="BI51">
        <v>12</v>
      </c>
      <c r="BJ51" t="s">
        <v>979</v>
      </c>
      <c r="BK51" t="s">
        <v>126</v>
      </c>
      <c r="BL51" t="s">
        <v>979</v>
      </c>
      <c r="BM51" t="s">
        <v>1068</v>
      </c>
      <c r="BN51">
        <v>37691106</v>
      </c>
      <c r="BO51" t="s">
        <v>302</v>
      </c>
      <c r="BP51" t="s">
        <v>74</v>
      </c>
      <c r="BQ51" t="s">
        <v>74</v>
      </c>
      <c r="BR51" t="s">
        <v>99</v>
      </c>
      <c r="BS51" t="s">
        <v>1069</v>
      </c>
      <c r="BT51" t="str">
        <f>HYPERLINK("https%3A%2F%2Fwww.webofscience.com%2Fwos%2Fwoscc%2Ffull-record%2FWOS:001061868800001","View Full Record in Web of Science")</f>
        <v>View Full Record in Web of Science</v>
      </c>
    </row>
    <row r="52" spans="1:72" x14ac:dyDescent="0.15">
      <c r="A52" t="s">
        <v>72</v>
      </c>
      <c r="B52" t="s">
        <v>1070</v>
      </c>
      <c r="C52" t="s">
        <v>74</v>
      </c>
      <c r="D52" t="s">
        <v>74</v>
      </c>
      <c r="E52" t="s">
        <v>74</v>
      </c>
      <c r="F52" t="s">
        <v>1071</v>
      </c>
      <c r="G52" t="s">
        <v>74</v>
      </c>
      <c r="H52" t="s">
        <v>74</v>
      </c>
      <c r="I52" t="s">
        <v>1072</v>
      </c>
      <c r="J52" t="s">
        <v>433</v>
      </c>
      <c r="K52" t="s">
        <v>74</v>
      </c>
      <c r="L52" t="s">
        <v>74</v>
      </c>
      <c r="M52" t="s">
        <v>78</v>
      </c>
      <c r="N52" t="s">
        <v>79</v>
      </c>
      <c r="O52" t="s">
        <v>74</v>
      </c>
      <c r="P52" t="s">
        <v>74</v>
      </c>
      <c r="Q52" t="s">
        <v>74</v>
      </c>
      <c r="R52" t="s">
        <v>74</v>
      </c>
      <c r="S52" t="s">
        <v>74</v>
      </c>
      <c r="T52" t="s">
        <v>1073</v>
      </c>
      <c r="U52" t="s">
        <v>1074</v>
      </c>
      <c r="V52" t="s">
        <v>1075</v>
      </c>
      <c r="W52" t="s">
        <v>1076</v>
      </c>
      <c r="X52" t="s">
        <v>1077</v>
      </c>
      <c r="Y52" t="s">
        <v>1078</v>
      </c>
      <c r="Z52" t="s">
        <v>1079</v>
      </c>
      <c r="AA52" t="s">
        <v>74</v>
      </c>
      <c r="AB52" t="s">
        <v>74</v>
      </c>
      <c r="AC52" t="s">
        <v>1080</v>
      </c>
      <c r="AD52" t="s">
        <v>1081</v>
      </c>
      <c r="AE52" t="s">
        <v>1082</v>
      </c>
      <c r="AF52" t="s">
        <v>74</v>
      </c>
      <c r="AG52">
        <v>52</v>
      </c>
      <c r="AH52">
        <v>0</v>
      </c>
      <c r="AI52">
        <v>0</v>
      </c>
      <c r="AJ52">
        <v>1</v>
      </c>
      <c r="AK52">
        <v>1</v>
      </c>
      <c r="AL52" t="s">
        <v>443</v>
      </c>
      <c r="AM52" t="s">
        <v>245</v>
      </c>
      <c r="AN52" t="s">
        <v>444</v>
      </c>
      <c r="AO52" t="s">
        <v>445</v>
      </c>
      <c r="AP52" t="s">
        <v>446</v>
      </c>
      <c r="AQ52" t="s">
        <v>74</v>
      </c>
      <c r="AR52" t="s">
        <v>447</v>
      </c>
      <c r="AS52" t="s">
        <v>448</v>
      </c>
      <c r="AT52" t="s">
        <v>94</v>
      </c>
      <c r="AU52">
        <v>2023</v>
      </c>
      <c r="AV52">
        <v>20</v>
      </c>
      <c r="AW52">
        <v>1</v>
      </c>
      <c r="AX52" t="s">
        <v>74</v>
      </c>
      <c r="AY52" t="s">
        <v>74</v>
      </c>
      <c r="AZ52" t="s">
        <v>74</v>
      </c>
      <c r="BA52" t="s">
        <v>74</v>
      </c>
      <c r="BB52" t="s">
        <v>74</v>
      </c>
      <c r="BC52" t="s">
        <v>74</v>
      </c>
      <c r="BD52">
        <v>24</v>
      </c>
      <c r="BE52" t="s">
        <v>1083</v>
      </c>
      <c r="BF52" t="str">
        <f>HYPERLINK("http://dx.doi.org/10.1186/s12014-023-09413-0","http://dx.doi.org/10.1186/s12014-023-09413-0")</f>
        <v>http://dx.doi.org/10.1186/s12014-023-09413-0</v>
      </c>
      <c r="BG52" t="s">
        <v>74</v>
      </c>
      <c r="BH52" t="s">
        <v>74</v>
      </c>
      <c r="BI52">
        <v>11</v>
      </c>
      <c r="BJ52" t="s">
        <v>450</v>
      </c>
      <c r="BK52" t="s">
        <v>126</v>
      </c>
      <c r="BL52" t="s">
        <v>451</v>
      </c>
      <c r="BM52" t="s">
        <v>1084</v>
      </c>
      <c r="BN52">
        <v>37355563</v>
      </c>
      <c r="BO52" t="s">
        <v>981</v>
      </c>
      <c r="BP52" t="s">
        <v>74</v>
      </c>
      <c r="BQ52" t="s">
        <v>74</v>
      </c>
      <c r="BR52" t="s">
        <v>99</v>
      </c>
      <c r="BS52" t="s">
        <v>1085</v>
      </c>
      <c r="BT52" t="str">
        <f>HYPERLINK("https%3A%2F%2Fwww.webofscience.com%2Fwos%2Fwoscc%2Ffull-record%2FWOS:001021016700001","View Full Record in Web of Science")</f>
        <v>View Full Record in Web of Science</v>
      </c>
    </row>
    <row r="53" spans="1:72" x14ac:dyDescent="0.15">
      <c r="A53" t="s">
        <v>72</v>
      </c>
      <c r="B53" t="s">
        <v>1086</v>
      </c>
      <c r="C53" t="s">
        <v>74</v>
      </c>
      <c r="D53" t="s">
        <v>74</v>
      </c>
      <c r="E53" t="s">
        <v>74</v>
      </c>
      <c r="F53" t="s">
        <v>1087</v>
      </c>
      <c r="G53" t="s">
        <v>74</v>
      </c>
      <c r="H53" t="s">
        <v>74</v>
      </c>
      <c r="I53" t="s">
        <v>1088</v>
      </c>
      <c r="J53" t="s">
        <v>598</v>
      </c>
      <c r="K53" t="s">
        <v>74</v>
      </c>
      <c r="L53" t="s">
        <v>74</v>
      </c>
      <c r="M53" t="s">
        <v>78</v>
      </c>
      <c r="N53" t="s">
        <v>79</v>
      </c>
      <c r="O53" t="s">
        <v>74</v>
      </c>
      <c r="P53" t="s">
        <v>74</v>
      </c>
      <c r="Q53" t="s">
        <v>74</v>
      </c>
      <c r="R53" t="s">
        <v>74</v>
      </c>
      <c r="S53" t="s">
        <v>74</v>
      </c>
      <c r="T53" t="s">
        <v>1089</v>
      </c>
      <c r="U53" t="s">
        <v>1090</v>
      </c>
      <c r="V53" t="s">
        <v>1091</v>
      </c>
      <c r="W53" t="s">
        <v>1092</v>
      </c>
      <c r="X53" t="s">
        <v>1093</v>
      </c>
      <c r="Y53" t="s">
        <v>1094</v>
      </c>
      <c r="Z53" t="s">
        <v>1095</v>
      </c>
      <c r="AA53" t="s">
        <v>74</v>
      </c>
      <c r="AB53" t="s">
        <v>74</v>
      </c>
      <c r="AC53" t="s">
        <v>1096</v>
      </c>
      <c r="AD53" t="s">
        <v>1097</v>
      </c>
      <c r="AE53" t="s">
        <v>1098</v>
      </c>
      <c r="AF53" t="s">
        <v>74</v>
      </c>
      <c r="AG53">
        <v>40</v>
      </c>
      <c r="AH53">
        <v>0</v>
      </c>
      <c r="AI53">
        <v>0</v>
      </c>
      <c r="AJ53">
        <v>1</v>
      </c>
      <c r="AK53">
        <v>1</v>
      </c>
      <c r="AL53" t="s">
        <v>219</v>
      </c>
      <c r="AM53" t="s">
        <v>220</v>
      </c>
      <c r="AN53" t="s">
        <v>221</v>
      </c>
      <c r="AO53" t="s">
        <v>608</v>
      </c>
      <c r="AP53" t="s">
        <v>609</v>
      </c>
      <c r="AQ53" t="s">
        <v>74</v>
      </c>
      <c r="AR53" t="s">
        <v>610</v>
      </c>
      <c r="AS53" t="s">
        <v>611</v>
      </c>
      <c r="AT53" t="s">
        <v>94</v>
      </c>
      <c r="AU53">
        <v>2023</v>
      </c>
      <c r="AV53">
        <v>22</v>
      </c>
      <c r="AW53">
        <v>4</v>
      </c>
      <c r="AX53" t="s">
        <v>74</v>
      </c>
      <c r="AY53" t="s">
        <v>74</v>
      </c>
      <c r="AZ53" t="s">
        <v>74</v>
      </c>
      <c r="BA53" t="s">
        <v>74</v>
      </c>
      <c r="BB53" t="s">
        <v>74</v>
      </c>
      <c r="BC53" t="s">
        <v>74</v>
      </c>
      <c r="BD53">
        <v>126</v>
      </c>
      <c r="BE53" t="s">
        <v>1099</v>
      </c>
      <c r="BF53" t="str">
        <f>HYPERLINK("http://dx.doi.org/10.1007/s12346-023-00825-9","http://dx.doi.org/10.1007/s12346-023-00825-9")</f>
        <v>http://dx.doi.org/10.1007/s12346-023-00825-9</v>
      </c>
      <c r="BG53" t="s">
        <v>74</v>
      </c>
      <c r="BH53" t="s">
        <v>74</v>
      </c>
      <c r="BI53">
        <v>25</v>
      </c>
      <c r="BJ53" t="s">
        <v>227</v>
      </c>
      <c r="BK53" t="s">
        <v>126</v>
      </c>
      <c r="BL53" t="s">
        <v>228</v>
      </c>
      <c r="BM53" t="s">
        <v>1100</v>
      </c>
      <c r="BN53" t="s">
        <v>74</v>
      </c>
      <c r="BO53" t="s">
        <v>74</v>
      </c>
      <c r="BP53" t="s">
        <v>74</v>
      </c>
      <c r="BQ53" t="s">
        <v>74</v>
      </c>
      <c r="BR53" t="s">
        <v>99</v>
      </c>
      <c r="BS53" t="s">
        <v>1101</v>
      </c>
      <c r="BT53" t="str">
        <f>HYPERLINK("https%3A%2F%2Fwww.webofscience.com%2Fwos%2Fwoscc%2Ffull-record%2FWOS:001023974200001","View Full Record in Web of Science")</f>
        <v>View Full Record in Web of Science</v>
      </c>
    </row>
    <row r="54" spans="1:72" x14ac:dyDescent="0.15">
      <c r="A54" t="s">
        <v>72</v>
      </c>
      <c r="B54" t="s">
        <v>1102</v>
      </c>
      <c r="C54" t="s">
        <v>74</v>
      </c>
      <c r="D54" t="s">
        <v>74</v>
      </c>
      <c r="E54" t="s">
        <v>74</v>
      </c>
      <c r="F54" t="s">
        <v>1103</v>
      </c>
      <c r="G54" t="s">
        <v>74</v>
      </c>
      <c r="H54" t="s">
        <v>74</v>
      </c>
      <c r="I54" t="s">
        <v>1104</v>
      </c>
      <c r="J54" t="s">
        <v>1105</v>
      </c>
      <c r="K54" t="s">
        <v>74</v>
      </c>
      <c r="L54" t="s">
        <v>74</v>
      </c>
      <c r="M54" t="s">
        <v>78</v>
      </c>
      <c r="N54" t="s">
        <v>79</v>
      </c>
      <c r="O54" t="s">
        <v>74</v>
      </c>
      <c r="P54" t="s">
        <v>74</v>
      </c>
      <c r="Q54" t="s">
        <v>74</v>
      </c>
      <c r="R54" t="s">
        <v>74</v>
      </c>
      <c r="S54" t="s">
        <v>74</v>
      </c>
      <c r="T54" t="s">
        <v>1106</v>
      </c>
      <c r="U54" t="s">
        <v>1107</v>
      </c>
      <c r="V54" t="s">
        <v>1108</v>
      </c>
      <c r="W54" t="s">
        <v>1109</v>
      </c>
      <c r="X54" t="s">
        <v>1110</v>
      </c>
      <c r="Y54" t="s">
        <v>1111</v>
      </c>
      <c r="Z54" t="s">
        <v>1112</v>
      </c>
      <c r="AA54" t="s">
        <v>74</v>
      </c>
      <c r="AB54" t="s">
        <v>74</v>
      </c>
      <c r="AC54" t="s">
        <v>74</v>
      </c>
      <c r="AD54" t="s">
        <v>74</v>
      </c>
      <c r="AE54" t="s">
        <v>74</v>
      </c>
      <c r="AF54" t="s">
        <v>74</v>
      </c>
      <c r="AG54">
        <v>61</v>
      </c>
      <c r="AH54">
        <v>0</v>
      </c>
      <c r="AI54">
        <v>0</v>
      </c>
      <c r="AJ54">
        <v>36</v>
      </c>
      <c r="AK54">
        <v>36</v>
      </c>
      <c r="AL54" t="s">
        <v>117</v>
      </c>
      <c r="AM54" t="s">
        <v>118</v>
      </c>
      <c r="AN54" t="s">
        <v>119</v>
      </c>
      <c r="AO54" t="s">
        <v>1113</v>
      </c>
      <c r="AP54" t="s">
        <v>1114</v>
      </c>
      <c r="AQ54" t="s">
        <v>74</v>
      </c>
      <c r="AR54" t="s">
        <v>1105</v>
      </c>
      <c r="AS54" t="s">
        <v>1115</v>
      </c>
      <c r="AT54" t="s">
        <v>94</v>
      </c>
      <c r="AU54">
        <v>2023</v>
      </c>
      <c r="AV54">
        <v>16</v>
      </c>
      <c r="AW54">
        <v>1</v>
      </c>
      <c r="AX54" t="s">
        <v>74</v>
      </c>
      <c r="AY54" t="s">
        <v>74</v>
      </c>
      <c r="AZ54" t="s">
        <v>74</v>
      </c>
      <c r="BA54" t="s">
        <v>74</v>
      </c>
      <c r="BB54" t="s">
        <v>74</v>
      </c>
      <c r="BC54" t="s">
        <v>74</v>
      </c>
      <c r="BD54">
        <v>21</v>
      </c>
      <c r="BE54" t="s">
        <v>1116</v>
      </c>
      <c r="BF54" t="str">
        <f>HYPERLINK("http://dx.doi.org/10.1186/s12284-023-00637-0","http://dx.doi.org/10.1186/s12284-023-00637-0")</f>
        <v>http://dx.doi.org/10.1186/s12284-023-00637-0</v>
      </c>
      <c r="BG54" t="s">
        <v>74</v>
      </c>
      <c r="BH54" t="s">
        <v>74</v>
      </c>
      <c r="BI54">
        <v>15</v>
      </c>
      <c r="BJ54" t="s">
        <v>1117</v>
      </c>
      <c r="BK54" t="s">
        <v>126</v>
      </c>
      <c r="BL54" t="s">
        <v>1118</v>
      </c>
      <c r="BM54" t="s">
        <v>1119</v>
      </c>
      <c r="BN54">
        <v>37084146</v>
      </c>
      <c r="BO54" t="s">
        <v>540</v>
      </c>
      <c r="BP54" t="s">
        <v>74</v>
      </c>
      <c r="BQ54" t="s">
        <v>74</v>
      </c>
      <c r="BR54" t="s">
        <v>99</v>
      </c>
      <c r="BS54" t="s">
        <v>1120</v>
      </c>
      <c r="BT54" t="str">
        <f>HYPERLINK("https%3A%2F%2Fwww.webofscience.com%2Fwos%2Fwoscc%2Ffull-record%2FWOS:000974155900001","View Full Record in Web of Science")</f>
        <v>View Full Record in Web of Science</v>
      </c>
    </row>
    <row r="55" spans="1:72" x14ac:dyDescent="0.15">
      <c r="A55" t="s">
        <v>72</v>
      </c>
      <c r="B55" t="s">
        <v>1121</v>
      </c>
      <c r="C55" t="s">
        <v>74</v>
      </c>
      <c r="D55" t="s">
        <v>74</v>
      </c>
      <c r="E55" t="s">
        <v>74</v>
      </c>
      <c r="F55" t="s">
        <v>1122</v>
      </c>
      <c r="G55" t="s">
        <v>74</v>
      </c>
      <c r="H55" t="s">
        <v>74</v>
      </c>
      <c r="I55" t="s">
        <v>1123</v>
      </c>
      <c r="J55" t="s">
        <v>1124</v>
      </c>
      <c r="K55" t="s">
        <v>74</v>
      </c>
      <c r="L55" t="s">
        <v>74</v>
      </c>
      <c r="M55" t="s">
        <v>78</v>
      </c>
      <c r="N55" t="s">
        <v>79</v>
      </c>
      <c r="O55" t="s">
        <v>74</v>
      </c>
      <c r="P55" t="s">
        <v>74</v>
      </c>
      <c r="Q55" t="s">
        <v>74</v>
      </c>
      <c r="R55" t="s">
        <v>74</v>
      </c>
      <c r="S55" t="s">
        <v>74</v>
      </c>
      <c r="T55" t="s">
        <v>1125</v>
      </c>
      <c r="U55" t="s">
        <v>1126</v>
      </c>
      <c r="V55" t="s">
        <v>1127</v>
      </c>
      <c r="W55" t="s">
        <v>1128</v>
      </c>
      <c r="X55" t="s">
        <v>1129</v>
      </c>
      <c r="Y55" t="s">
        <v>1130</v>
      </c>
      <c r="Z55" t="s">
        <v>1131</v>
      </c>
      <c r="AA55" t="s">
        <v>74</v>
      </c>
      <c r="AB55" t="s">
        <v>74</v>
      </c>
      <c r="AC55" t="s">
        <v>74</v>
      </c>
      <c r="AD55" t="s">
        <v>74</v>
      </c>
      <c r="AE55" t="s">
        <v>74</v>
      </c>
      <c r="AF55" t="s">
        <v>74</v>
      </c>
      <c r="AG55">
        <v>38</v>
      </c>
      <c r="AH55">
        <v>0</v>
      </c>
      <c r="AI55">
        <v>0</v>
      </c>
      <c r="AJ55">
        <v>1</v>
      </c>
      <c r="AK55">
        <v>1</v>
      </c>
      <c r="AL55" t="s">
        <v>117</v>
      </c>
      <c r="AM55" t="s">
        <v>118</v>
      </c>
      <c r="AN55" t="s">
        <v>119</v>
      </c>
      <c r="AO55" t="s">
        <v>1132</v>
      </c>
      <c r="AP55" t="s">
        <v>1133</v>
      </c>
      <c r="AQ55" t="s">
        <v>74</v>
      </c>
      <c r="AR55" t="s">
        <v>1134</v>
      </c>
      <c r="AS55" t="s">
        <v>1135</v>
      </c>
      <c r="AT55" t="s">
        <v>1136</v>
      </c>
      <c r="AU55">
        <v>2023</v>
      </c>
      <c r="AV55">
        <v>30</v>
      </c>
      <c r="AW55">
        <v>2</v>
      </c>
      <c r="AX55" t="s">
        <v>74</v>
      </c>
      <c r="AY55" t="s">
        <v>74</v>
      </c>
      <c r="AZ55" t="s">
        <v>74</v>
      </c>
      <c r="BA55" t="s">
        <v>74</v>
      </c>
      <c r="BB55" t="s">
        <v>74</v>
      </c>
      <c r="BC55" t="s">
        <v>74</v>
      </c>
      <c r="BD55">
        <v>23</v>
      </c>
      <c r="BE55" t="s">
        <v>1137</v>
      </c>
      <c r="BF55" t="str">
        <f>HYPERLINK("http://dx.doi.org/10.1007/s10515-023-00390-0","http://dx.doi.org/10.1007/s10515-023-00390-0")</f>
        <v>http://dx.doi.org/10.1007/s10515-023-00390-0</v>
      </c>
      <c r="BG55" t="s">
        <v>74</v>
      </c>
      <c r="BH55" t="s">
        <v>74</v>
      </c>
      <c r="BI55">
        <v>36</v>
      </c>
      <c r="BJ55" t="s">
        <v>1138</v>
      </c>
      <c r="BK55" t="s">
        <v>126</v>
      </c>
      <c r="BL55" t="s">
        <v>1139</v>
      </c>
      <c r="BM55" t="s">
        <v>1140</v>
      </c>
      <c r="BN55" t="s">
        <v>74</v>
      </c>
      <c r="BO55" t="s">
        <v>74</v>
      </c>
      <c r="BP55" t="s">
        <v>74</v>
      </c>
      <c r="BQ55" t="s">
        <v>74</v>
      </c>
      <c r="BR55" t="s">
        <v>99</v>
      </c>
      <c r="BS55" t="s">
        <v>1141</v>
      </c>
      <c r="BT55" t="str">
        <f>HYPERLINK("https%3A%2F%2Fwww.webofscience.com%2Fwos%2Fwoscc%2Ffull-record%2FWOS:001039540300002","View Full Record in Web of Science")</f>
        <v>View Full Record in Web of Science</v>
      </c>
    </row>
    <row r="56" spans="1:72" x14ac:dyDescent="0.15">
      <c r="A56" t="s">
        <v>72</v>
      </c>
      <c r="B56" t="s">
        <v>1142</v>
      </c>
      <c r="C56" t="s">
        <v>74</v>
      </c>
      <c r="D56" t="s">
        <v>74</v>
      </c>
      <c r="E56" t="s">
        <v>74</v>
      </c>
      <c r="F56" t="s">
        <v>1143</v>
      </c>
      <c r="G56" t="s">
        <v>74</v>
      </c>
      <c r="H56" t="s">
        <v>74</v>
      </c>
      <c r="I56" t="s">
        <v>1144</v>
      </c>
      <c r="J56" t="s">
        <v>1145</v>
      </c>
      <c r="K56" t="s">
        <v>74</v>
      </c>
      <c r="L56" t="s">
        <v>74</v>
      </c>
      <c r="M56" t="s">
        <v>78</v>
      </c>
      <c r="N56" t="s">
        <v>79</v>
      </c>
      <c r="O56" t="s">
        <v>74</v>
      </c>
      <c r="P56" t="s">
        <v>74</v>
      </c>
      <c r="Q56" t="s">
        <v>74</v>
      </c>
      <c r="R56" t="s">
        <v>74</v>
      </c>
      <c r="S56" t="s">
        <v>74</v>
      </c>
      <c r="T56" t="s">
        <v>1146</v>
      </c>
      <c r="U56" t="s">
        <v>74</v>
      </c>
      <c r="V56" t="s">
        <v>1147</v>
      </c>
      <c r="W56" t="s">
        <v>1148</v>
      </c>
      <c r="X56" t="s">
        <v>1149</v>
      </c>
      <c r="Y56" t="s">
        <v>1150</v>
      </c>
      <c r="Z56" t="s">
        <v>1151</v>
      </c>
      <c r="AA56" t="s">
        <v>1152</v>
      </c>
      <c r="AB56" t="s">
        <v>1153</v>
      </c>
      <c r="AC56" t="s">
        <v>1154</v>
      </c>
      <c r="AD56" t="s">
        <v>1155</v>
      </c>
      <c r="AE56" t="s">
        <v>1156</v>
      </c>
      <c r="AF56" t="s">
        <v>74</v>
      </c>
      <c r="AG56">
        <v>41</v>
      </c>
      <c r="AH56">
        <v>0</v>
      </c>
      <c r="AI56">
        <v>0</v>
      </c>
      <c r="AJ56">
        <v>2</v>
      </c>
      <c r="AK56">
        <v>2</v>
      </c>
      <c r="AL56" t="s">
        <v>117</v>
      </c>
      <c r="AM56" t="s">
        <v>627</v>
      </c>
      <c r="AN56" t="s">
        <v>628</v>
      </c>
      <c r="AO56" t="s">
        <v>1157</v>
      </c>
      <c r="AP56" t="s">
        <v>1158</v>
      </c>
      <c r="AQ56" t="s">
        <v>74</v>
      </c>
      <c r="AR56" t="s">
        <v>1159</v>
      </c>
      <c r="AS56" t="s">
        <v>1160</v>
      </c>
      <c r="AT56" t="s">
        <v>1136</v>
      </c>
      <c r="AU56">
        <v>2023</v>
      </c>
      <c r="AV56">
        <v>55</v>
      </c>
      <c r="AW56">
        <v>11</v>
      </c>
      <c r="AX56" t="s">
        <v>74</v>
      </c>
      <c r="AY56" t="s">
        <v>74</v>
      </c>
      <c r="AZ56" t="s">
        <v>74</v>
      </c>
      <c r="BA56" t="s">
        <v>74</v>
      </c>
      <c r="BB56" t="s">
        <v>74</v>
      </c>
      <c r="BC56" t="s">
        <v>74</v>
      </c>
      <c r="BD56">
        <v>947</v>
      </c>
      <c r="BE56" t="s">
        <v>1161</v>
      </c>
      <c r="BF56" t="str">
        <f>HYPERLINK("http://dx.doi.org/10.1007/s11082-023-05002-5","http://dx.doi.org/10.1007/s11082-023-05002-5")</f>
        <v>http://dx.doi.org/10.1007/s11082-023-05002-5</v>
      </c>
      <c r="BG56" t="s">
        <v>74</v>
      </c>
      <c r="BH56" t="s">
        <v>74</v>
      </c>
      <c r="BI56">
        <v>18</v>
      </c>
      <c r="BJ56" t="s">
        <v>1162</v>
      </c>
      <c r="BK56" t="s">
        <v>126</v>
      </c>
      <c r="BL56" t="s">
        <v>1163</v>
      </c>
      <c r="BM56" t="s">
        <v>1164</v>
      </c>
      <c r="BN56" t="s">
        <v>74</v>
      </c>
      <c r="BO56" t="s">
        <v>74</v>
      </c>
      <c r="BP56" t="s">
        <v>74</v>
      </c>
      <c r="BQ56" t="s">
        <v>74</v>
      </c>
      <c r="BR56" t="s">
        <v>99</v>
      </c>
      <c r="BS56" t="s">
        <v>1165</v>
      </c>
      <c r="BT56" t="str">
        <f>HYPERLINK("https%3A%2F%2Fwww.webofscience.com%2Fwos%2Fwoscc%2Ffull-record%2FWOS:001051155600007","View Full Record in Web of Science")</f>
        <v>View Full Record in Web of Science</v>
      </c>
    </row>
    <row r="57" spans="1:72" x14ac:dyDescent="0.15">
      <c r="A57" t="s">
        <v>72</v>
      </c>
      <c r="B57" t="s">
        <v>1166</v>
      </c>
      <c r="C57" t="s">
        <v>74</v>
      </c>
      <c r="D57" t="s">
        <v>74</v>
      </c>
      <c r="E57" t="s">
        <v>74</v>
      </c>
      <c r="F57" t="s">
        <v>1167</v>
      </c>
      <c r="G57" t="s">
        <v>74</v>
      </c>
      <c r="H57" t="s">
        <v>74</v>
      </c>
      <c r="I57" t="s">
        <v>1168</v>
      </c>
      <c r="J57" t="s">
        <v>1169</v>
      </c>
      <c r="K57" t="s">
        <v>74</v>
      </c>
      <c r="L57" t="s">
        <v>74</v>
      </c>
      <c r="M57" t="s">
        <v>78</v>
      </c>
      <c r="N57" t="s">
        <v>79</v>
      </c>
      <c r="O57" t="s">
        <v>74</v>
      </c>
      <c r="P57" t="s">
        <v>74</v>
      </c>
      <c r="Q57" t="s">
        <v>74</v>
      </c>
      <c r="R57" t="s">
        <v>74</v>
      </c>
      <c r="S57" t="s">
        <v>74</v>
      </c>
      <c r="T57" t="s">
        <v>1170</v>
      </c>
      <c r="U57" t="s">
        <v>1171</v>
      </c>
      <c r="V57" t="s">
        <v>1172</v>
      </c>
      <c r="W57" t="s">
        <v>1173</v>
      </c>
      <c r="X57" t="s">
        <v>1174</v>
      </c>
      <c r="Y57" t="s">
        <v>1175</v>
      </c>
      <c r="Z57" t="s">
        <v>1176</v>
      </c>
      <c r="AA57" t="s">
        <v>74</v>
      </c>
      <c r="AB57" t="s">
        <v>74</v>
      </c>
      <c r="AC57" t="s">
        <v>74</v>
      </c>
      <c r="AD57" t="s">
        <v>74</v>
      </c>
      <c r="AE57" t="s">
        <v>74</v>
      </c>
      <c r="AF57" t="s">
        <v>74</v>
      </c>
      <c r="AG57">
        <v>37</v>
      </c>
      <c r="AH57">
        <v>0</v>
      </c>
      <c r="AI57">
        <v>0</v>
      </c>
      <c r="AJ57">
        <v>0</v>
      </c>
      <c r="AK57">
        <v>0</v>
      </c>
      <c r="AL57" t="s">
        <v>117</v>
      </c>
      <c r="AM57" t="s">
        <v>118</v>
      </c>
      <c r="AN57" t="s">
        <v>119</v>
      </c>
      <c r="AO57" t="s">
        <v>1177</v>
      </c>
      <c r="AP57" t="s">
        <v>1178</v>
      </c>
      <c r="AQ57" t="s">
        <v>74</v>
      </c>
      <c r="AR57" t="s">
        <v>1179</v>
      </c>
      <c r="AS57" t="s">
        <v>1180</v>
      </c>
      <c r="AT57" t="s">
        <v>1136</v>
      </c>
      <c r="AU57">
        <v>2023</v>
      </c>
      <c r="AV57">
        <v>33</v>
      </c>
      <c r="AW57">
        <v>11</v>
      </c>
      <c r="AX57" t="s">
        <v>74</v>
      </c>
      <c r="AY57" t="s">
        <v>74</v>
      </c>
      <c r="AZ57" t="s">
        <v>74</v>
      </c>
      <c r="BA57" t="s">
        <v>74</v>
      </c>
      <c r="BB57" t="s">
        <v>74</v>
      </c>
      <c r="BC57" t="s">
        <v>74</v>
      </c>
      <c r="BD57">
        <v>344</v>
      </c>
      <c r="BE57" t="s">
        <v>1181</v>
      </c>
      <c r="BF57" t="str">
        <f>HYPERLINK("http://dx.doi.org/10.1007/s12220-023-01402-x","http://dx.doi.org/10.1007/s12220-023-01402-x")</f>
        <v>http://dx.doi.org/10.1007/s12220-023-01402-x</v>
      </c>
      <c r="BG57" t="s">
        <v>74</v>
      </c>
      <c r="BH57" t="s">
        <v>74</v>
      </c>
      <c r="BI57">
        <v>78</v>
      </c>
      <c r="BJ57" t="s">
        <v>228</v>
      </c>
      <c r="BK57" t="s">
        <v>126</v>
      </c>
      <c r="BL57" t="s">
        <v>228</v>
      </c>
      <c r="BM57" t="s">
        <v>1182</v>
      </c>
      <c r="BN57" t="s">
        <v>74</v>
      </c>
      <c r="BO57" t="s">
        <v>1183</v>
      </c>
      <c r="BP57" t="s">
        <v>74</v>
      </c>
      <c r="BQ57" t="s">
        <v>74</v>
      </c>
      <c r="BR57" t="s">
        <v>99</v>
      </c>
      <c r="BS57" t="s">
        <v>1184</v>
      </c>
      <c r="BT57" t="str">
        <f>HYPERLINK("https%3A%2F%2Fwww.webofscience.com%2Fwos%2Fwoscc%2Ffull-record%2FWOS:001049178300002","View Full Record in Web of Science")</f>
        <v>View Full Record in Web of Science</v>
      </c>
    </row>
    <row r="58" spans="1:72" x14ac:dyDescent="0.15">
      <c r="A58" t="s">
        <v>72</v>
      </c>
      <c r="B58" t="s">
        <v>1185</v>
      </c>
      <c r="C58" t="s">
        <v>74</v>
      </c>
      <c r="D58" t="s">
        <v>74</v>
      </c>
      <c r="E58" t="s">
        <v>74</v>
      </c>
      <c r="F58" t="s">
        <v>1186</v>
      </c>
      <c r="G58" t="s">
        <v>74</v>
      </c>
      <c r="H58" t="s">
        <v>74</v>
      </c>
      <c r="I58" t="s">
        <v>1187</v>
      </c>
      <c r="J58" t="s">
        <v>1145</v>
      </c>
      <c r="K58" t="s">
        <v>74</v>
      </c>
      <c r="L58" t="s">
        <v>74</v>
      </c>
      <c r="M58" t="s">
        <v>78</v>
      </c>
      <c r="N58" t="s">
        <v>79</v>
      </c>
      <c r="O58" t="s">
        <v>74</v>
      </c>
      <c r="P58" t="s">
        <v>74</v>
      </c>
      <c r="Q58" t="s">
        <v>74</v>
      </c>
      <c r="R58" t="s">
        <v>74</v>
      </c>
      <c r="S58" t="s">
        <v>74</v>
      </c>
      <c r="T58" t="s">
        <v>1188</v>
      </c>
      <c r="U58" t="s">
        <v>74</v>
      </c>
      <c r="V58" t="s">
        <v>1189</v>
      </c>
      <c r="W58" t="s">
        <v>1190</v>
      </c>
      <c r="X58" t="s">
        <v>1191</v>
      </c>
      <c r="Y58" t="s">
        <v>1192</v>
      </c>
      <c r="Z58" t="s">
        <v>1193</v>
      </c>
      <c r="AA58" t="s">
        <v>1194</v>
      </c>
      <c r="AB58" t="s">
        <v>1195</v>
      </c>
      <c r="AC58" t="s">
        <v>74</v>
      </c>
      <c r="AD58" t="s">
        <v>74</v>
      </c>
      <c r="AE58" t="s">
        <v>74</v>
      </c>
      <c r="AF58" t="s">
        <v>74</v>
      </c>
      <c r="AG58">
        <v>31</v>
      </c>
      <c r="AH58">
        <v>0</v>
      </c>
      <c r="AI58">
        <v>0</v>
      </c>
      <c r="AJ58">
        <v>1</v>
      </c>
      <c r="AK58">
        <v>1</v>
      </c>
      <c r="AL58" t="s">
        <v>117</v>
      </c>
      <c r="AM58" t="s">
        <v>627</v>
      </c>
      <c r="AN58" t="s">
        <v>628</v>
      </c>
      <c r="AO58" t="s">
        <v>1157</v>
      </c>
      <c r="AP58" t="s">
        <v>1158</v>
      </c>
      <c r="AQ58" t="s">
        <v>74</v>
      </c>
      <c r="AR58" t="s">
        <v>1159</v>
      </c>
      <c r="AS58" t="s">
        <v>1160</v>
      </c>
      <c r="AT58" t="s">
        <v>1136</v>
      </c>
      <c r="AU58">
        <v>2023</v>
      </c>
      <c r="AV58">
        <v>55</v>
      </c>
      <c r="AW58">
        <v>11</v>
      </c>
      <c r="AX58" t="s">
        <v>74</v>
      </c>
      <c r="AY58" t="s">
        <v>74</v>
      </c>
      <c r="AZ58" t="s">
        <v>74</v>
      </c>
      <c r="BA58" t="s">
        <v>74</v>
      </c>
      <c r="BB58" t="s">
        <v>74</v>
      </c>
      <c r="BC58" t="s">
        <v>74</v>
      </c>
      <c r="BD58">
        <v>976</v>
      </c>
      <c r="BE58" t="s">
        <v>1196</v>
      </c>
      <c r="BF58" t="str">
        <f>HYPERLINK("http://dx.doi.org/10.1007/s11082-023-05211-y","http://dx.doi.org/10.1007/s11082-023-05211-y")</f>
        <v>http://dx.doi.org/10.1007/s11082-023-05211-y</v>
      </c>
      <c r="BG58" t="s">
        <v>74</v>
      </c>
      <c r="BH58" t="s">
        <v>74</v>
      </c>
      <c r="BI58">
        <v>18</v>
      </c>
      <c r="BJ58" t="s">
        <v>1162</v>
      </c>
      <c r="BK58" t="s">
        <v>126</v>
      </c>
      <c r="BL58" t="s">
        <v>1163</v>
      </c>
      <c r="BM58" t="s">
        <v>1197</v>
      </c>
      <c r="BN58" t="s">
        <v>74</v>
      </c>
      <c r="BO58" t="s">
        <v>74</v>
      </c>
      <c r="BP58" t="s">
        <v>74</v>
      </c>
      <c r="BQ58" t="s">
        <v>74</v>
      </c>
      <c r="BR58" t="s">
        <v>99</v>
      </c>
      <c r="BS58" t="s">
        <v>1198</v>
      </c>
      <c r="BT58" t="str">
        <f>HYPERLINK("https%3A%2F%2Fwww.webofscience.com%2Fwos%2Fwoscc%2Ffull-record%2FWOS:001059085800001","View Full Record in Web of Science")</f>
        <v>View Full Record in Web of Science</v>
      </c>
    </row>
    <row r="59" spans="1:72" x14ac:dyDescent="0.15">
      <c r="A59" t="s">
        <v>72</v>
      </c>
      <c r="B59" t="s">
        <v>1199</v>
      </c>
      <c r="C59" t="s">
        <v>74</v>
      </c>
      <c r="D59" t="s">
        <v>74</v>
      </c>
      <c r="E59" t="s">
        <v>74</v>
      </c>
      <c r="F59" t="s">
        <v>1200</v>
      </c>
      <c r="G59" t="s">
        <v>74</v>
      </c>
      <c r="H59" t="s">
        <v>74</v>
      </c>
      <c r="I59" t="s">
        <v>1201</v>
      </c>
      <c r="J59" t="s">
        <v>1202</v>
      </c>
      <c r="K59" t="s">
        <v>74</v>
      </c>
      <c r="L59" t="s">
        <v>74</v>
      </c>
      <c r="M59" t="s">
        <v>78</v>
      </c>
      <c r="N59" t="s">
        <v>79</v>
      </c>
      <c r="O59" t="s">
        <v>74</v>
      </c>
      <c r="P59" t="s">
        <v>74</v>
      </c>
      <c r="Q59" t="s">
        <v>74</v>
      </c>
      <c r="R59" t="s">
        <v>74</v>
      </c>
      <c r="S59" t="s">
        <v>74</v>
      </c>
      <c r="T59" t="s">
        <v>1203</v>
      </c>
      <c r="U59" t="s">
        <v>1204</v>
      </c>
      <c r="V59" t="s">
        <v>1205</v>
      </c>
      <c r="W59" t="s">
        <v>1206</v>
      </c>
      <c r="X59" t="s">
        <v>1207</v>
      </c>
      <c r="Y59" t="s">
        <v>1208</v>
      </c>
      <c r="Z59" t="s">
        <v>1209</v>
      </c>
      <c r="AA59" t="s">
        <v>74</v>
      </c>
      <c r="AB59" t="s">
        <v>1210</v>
      </c>
      <c r="AC59" t="s">
        <v>1211</v>
      </c>
      <c r="AD59" t="s">
        <v>1212</v>
      </c>
      <c r="AE59" t="s">
        <v>1213</v>
      </c>
      <c r="AF59" t="s">
        <v>74</v>
      </c>
      <c r="AG59">
        <v>42</v>
      </c>
      <c r="AH59">
        <v>0</v>
      </c>
      <c r="AI59">
        <v>0</v>
      </c>
      <c r="AJ59">
        <v>14</v>
      </c>
      <c r="AK59">
        <v>14</v>
      </c>
      <c r="AL59" t="s">
        <v>117</v>
      </c>
      <c r="AM59" t="s">
        <v>118</v>
      </c>
      <c r="AN59" t="s">
        <v>119</v>
      </c>
      <c r="AO59" t="s">
        <v>1214</v>
      </c>
      <c r="AP59" t="s">
        <v>1215</v>
      </c>
      <c r="AQ59" t="s">
        <v>74</v>
      </c>
      <c r="AR59" t="s">
        <v>1216</v>
      </c>
      <c r="AS59" t="s">
        <v>1217</v>
      </c>
      <c r="AT59" t="s">
        <v>1136</v>
      </c>
      <c r="AU59">
        <v>2023</v>
      </c>
      <c r="AV59">
        <v>25</v>
      </c>
      <c r="AW59">
        <v>4</v>
      </c>
      <c r="AX59" t="s">
        <v>74</v>
      </c>
      <c r="AY59" t="s">
        <v>74</v>
      </c>
      <c r="AZ59" t="s">
        <v>74</v>
      </c>
      <c r="BA59" t="s">
        <v>74</v>
      </c>
      <c r="BB59" t="s">
        <v>74</v>
      </c>
      <c r="BC59" t="s">
        <v>74</v>
      </c>
      <c r="BD59">
        <v>62</v>
      </c>
      <c r="BE59" t="s">
        <v>1218</v>
      </c>
      <c r="BF59" t="str">
        <f>HYPERLINK("http://dx.doi.org/10.1007/s10035-023-01347-6","http://dx.doi.org/10.1007/s10035-023-01347-6")</f>
        <v>http://dx.doi.org/10.1007/s10035-023-01347-6</v>
      </c>
      <c r="BG59" t="s">
        <v>74</v>
      </c>
      <c r="BH59" t="s">
        <v>74</v>
      </c>
      <c r="BI59">
        <v>16</v>
      </c>
      <c r="BJ59" t="s">
        <v>1219</v>
      </c>
      <c r="BK59" t="s">
        <v>126</v>
      </c>
      <c r="BL59" t="s">
        <v>1220</v>
      </c>
      <c r="BM59" t="s">
        <v>1221</v>
      </c>
      <c r="BN59" t="s">
        <v>74</v>
      </c>
      <c r="BO59" t="s">
        <v>74</v>
      </c>
      <c r="BP59" t="s">
        <v>74</v>
      </c>
      <c r="BQ59" t="s">
        <v>74</v>
      </c>
      <c r="BR59" t="s">
        <v>99</v>
      </c>
      <c r="BS59" t="s">
        <v>1222</v>
      </c>
      <c r="BT59" t="str">
        <f>HYPERLINK("https%3A%2F%2Fwww.webofscience.com%2Fwos%2Fwoscc%2Ffull-record%2FWOS:001035790200001","View Full Record in Web of Science")</f>
        <v>View Full Record in Web of Science</v>
      </c>
    </row>
    <row r="60" spans="1:72" x14ac:dyDescent="0.15">
      <c r="A60" t="s">
        <v>72</v>
      </c>
      <c r="B60" t="s">
        <v>1223</v>
      </c>
      <c r="C60" t="s">
        <v>74</v>
      </c>
      <c r="D60" t="s">
        <v>74</v>
      </c>
      <c r="E60" t="s">
        <v>74</v>
      </c>
      <c r="F60" t="s">
        <v>1224</v>
      </c>
      <c r="G60" t="s">
        <v>74</v>
      </c>
      <c r="H60" t="s">
        <v>74</v>
      </c>
      <c r="I60" t="s">
        <v>1225</v>
      </c>
      <c r="J60" t="s">
        <v>1226</v>
      </c>
      <c r="K60" t="s">
        <v>74</v>
      </c>
      <c r="L60" t="s">
        <v>74</v>
      </c>
      <c r="M60" t="s">
        <v>78</v>
      </c>
      <c r="N60" t="s">
        <v>79</v>
      </c>
      <c r="O60" t="s">
        <v>74</v>
      </c>
      <c r="P60" t="s">
        <v>74</v>
      </c>
      <c r="Q60" t="s">
        <v>74</v>
      </c>
      <c r="R60" t="s">
        <v>74</v>
      </c>
      <c r="S60" t="s">
        <v>74</v>
      </c>
      <c r="T60" t="s">
        <v>1227</v>
      </c>
      <c r="U60" t="s">
        <v>74</v>
      </c>
      <c r="V60" t="s">
        <v>1228</v>
      </c>
      <c r="W60" t="s">
        <v>1229</v>
      </c>
      <c r="X60" t="s">
        <v>74</v>
      </c>
      <c r="Y60" t="s">
        <v>1230</v>
      </c>
      <c r="Z60" t="s">
        <v>1231</v>
      </c>
      <c r="AA60" t="s">
        <v>74</v>
      </c>
      <c r="AB60" t="s">
        <v>74</v>
      </c>
      <c r="AC60" t="s">
        <v>74</v>
      </c>
      <c r="AD60" t="s">
        <v>74</v>
      </c>
      <c r="AE60" t="s">
        <v>74</v>
      </c>
      <c r="AF60" t="s">
        <v>74</v>
      </c>
      <c r="AG60">
        <v>7</v>
      </c>
      <c r="AH60">
        <v>0</v>
      </c>
      <c r="AI60">
        <v>0</v>
      </c>
      <c r="AJ60">
        <v>1</v>
      </c>
      <c r="AK60">
        <v>1</v>
      </c>
      <c r="AL60" t="s">
        <v>317</v>
      </c>
      <c r="AM60" t="s">
        <v>245</v>
      </c>
      <c r="AN60" t="s">
        <v>318</v>
      </c>
      <c r="AO60" t="s">
        <v>74</v>
      </c>
      <c r="AP60" t="s">
        <v>1232</v>
      </c>
      <c r="AQ60" t="s">
        <v>74</v>
      </c>
      <c r="AR60" t="s">
        <v>1233</v>
      </c>
      <c r="AS60" t="s">
        <v>1234</v>
      </c>
      <c r="AT60" t="s">
        <v>1235</v>
      </c>
      <c r="AU60">
        <v>2023</v>
      </c>
      <c r="AV60">
        <v>15</v>
      </c>
      <c r="AW60">
        <v>4</v>
      </c>
      <c r="AX60" t="s">
        <v>74</v>
      </c>
      <c r="AY60" t="s">
        <v>74</v>
      </c>
      <c r="AZ60" t="s">
        <v>74</v>
      </c>
      <c r="BA60" t="s">
        <v>74</v>
      </c>
      <c r="BB60" t="s">
        <v>74</v>
      </c>
      <c r="BC60" t="s">
        <v>74</v>
      </c>
      <c r="BD60" t="s">
        <v>1236</v>
      </c>
      <c r="BE60" t="s">
        <v>1237</v>
      </c>
      <c r="BF60" t="str">
        <f>HYPERLINK("http://dx.doi.org/10.7759/cureus.37373","http://dx.doi.org/10.7759/cureus.37373")</f>
        <v>http://dx.doi.org/10.7759/cureus.37373</v>
      </c>
      <c r="BG60" t="s">
        <v>74</v>
      </c>
      <c r="BH60" t="s">
        <v>74</v>
      </c>
      <c r="BI60">
        <v>3</v>
      </c>
      <c r="BJ60" t="s">
        <v>1238</v>
      </c>
      <c r="BK60" t="s">
        <v>97</v>
      </c>
      <c r="BL60" t="s">
        <v>1239</v>
      </c>
      <c r="BM60" t="s">
        <v>1240</v>
      </c>
      <c r="BN60">
        <v>37182039</v>
      </c>
      <c r="BO60" t="s">
        <v>157</v>
      </c>
      <c r="BP60" t="s">
        <v>74</v>
      </c>
      <c r="BQ60" t="s">
        <v>74</v>
      </c>
      <c r="BR60" t="s">
        <v>99</v>
      </c>
      <c r="BS60" t="s">
        <v>1241</v>
      </c>
      <c r="BT60" t="str">
        <f>HYPERLINK("https%3A%2F%2Fwww.webofscience.com%2Fwos%2Fwoscc%2Ffull-record%2FWOS:001032288000009","View Full Record in Web of Science")</f>
        <v>View Full Record in Web of Science</v>
      </c>
    </row>
    <row r="61" spans="1:72" x14ac:dyDescent="0.15">
      <c r="A61" t="s">
        <v>72</v>
      </c>
      <c r="B61" t="s">
        <v>1242</v>
      </c>
      <c r="C61" t="s">
        <v>74</v>
      </c>
      <c r="D61" t="s">
        <v>74</v>
      </c>
      <c r="E61" t="s">
        <v>74</v>
      </c>
      <c r="F61" t="s">
        <v>1243</v>
      </c>
      <c r="G61" t="s">
        <v>74</v>
      </c>
      <c r="H61" t="s">
        <v>74</v>
      </c>
      <c r="I61" t="s">
        <v>1244</v>
      </c>
      <c r="J61" t="s">
        <v>1245</v>
      </c>
      <c r="K61" t="s">
        <v>74</v>
      </c>
      <c r="L61" t="s">
        <v>74</v>
      </c>
      <c r="M61" t="s">
        <v>78</v>
      </c>
      <c r="N61" t="s">
        <v>1246</v>
      </c>
      <c r="O61" t="s">
        <v>74</v>
      </c>
      <c r="P61" t="s">
        <v>74</v>
      </c>
      <c r="Q61" t="s">
        <v>74</v>
      </c>
      <c r="R61" t="s">
        <v>74</v>
      </c>
      <c r="S61" t="s">
        <v>74</v>
      </c>
      <c r="T61" t="s">
        <v>1247</v>
      </c>
      <c r="U61" t="s">
        <v>1248</v>
      </c>
      <c r="V61" t="s">
        <v>1249</v>
      </c>
      <c r="W61" t="s">
        <v>1250</v>
      </c>
      <c r="X61" t="s">
        <v>1251</v>
      </c>
      <c r="Y61" t="s">
        <v>1252</v>
      </c>
      <c r="Z61" t="s">
        <v>1253</v>
      </c>
      <c r="AA61" t="s">
        <v>74</v>
      </c>
      <c r="AB61" t="s">
        <v>74</v>
      </c>
      <c r="AC61" t="s">
        <v>1254</v>
      </c>
      <c r="AD61" t="s">
        <v>1254</v>
      </c>
      <c r="AE61" t="s">
        <v>1255</v>
      </c>
      <c r="AF61" t="s">
        <v>74</v>
      </c>
      <c r="AG61">
        <v>35</v>
      </c>
      <c r="AH61">
        <v>0</v>
      </c>
      <c r="AI61">
        <v>0</v>
      </c>
      <c r="AJ61">
        <v>0</v>
      </c>
      <c r="AK61">
        <v>0</v>
      </c>
      <c r="AL61" t="s">
        <v>269</v>
      </c>
      <c r="AM61" t="s">
        <v>118</v>
      </c>
      <c r="AN61" t="s">
        <v>270</v>
      </c>
      <c r="AO61" t="s">
        <v>1256</v>
      </c>
      <c r="AP61" t="s">
        <v>1257</v>
      </c>
      <c r="AQ61" t="s">
        <v>74</v>
      </c>
      <c r="AR61" t="s">
        <v>1245</v>
      </c>
      <c r="AS61" t="s">
        <v>1258</v>
      </c>
      <c r="AT61" t="s">
        <v>1259</v>
      </c>
      <c r="AU61">
        <v>2023</v>
      </c>
      <c r="AV61" t="s">
        <v>74</v>
      </c>
      <c r="AW61" t="s">
        <v>74</v>
      </c>
      <c r="AX61" t="s">
        <v>74</v>
      </c>
      <c r="AY61" t="s">
        <v>74</v>
      </c>
      <c r="AZ61" t="s">
        <v>74</v>
      </c>
      <c r="BA61" t="s">
        <v>74</v>
      </c>
      <c r="BB61" t="s">
        <v>74</v>
      </c>
      <c r="BC61" t="s">
        <v>74</v>
      </c>
      <c r="BD61" t="s">
        <v>74</v>
      </c>
      <c r="BE61" t="s">
        <v>1260</v>
      </c>
      <c r="BF61" t="str">
        <f>HYPERLINK("http://dx.doi.org/10.1007/s10753-023-01910-6","http://dx.doi.org/10.1007/s10753-023-01910-6")</f>
        <v>http://dx.doi.org/10.1007/s10753-023-01910-6</v>
      </c>
      <c r="BG61" t="s">
        <v>74</v>
      </c>
      <c r="BH61" t="s">
        <v>1261</v>
      </c>
      <c r="BI61">
        <v>16</v>
      </c>
      <c r="BJ61" t="s">
        <v>1262</v>
      </c>
      <c r="BK61" t="s">
        <v>126</v>
      </c>
      <c r="BL61" t="s">
        <v>1262</v>
      </c>
      <c r="BM61" t="s">
        <v>1263</v>
      </c>
      <c r="BN61">
        <v>37782452</v>
      </c>
      <c r="BO61" t="s">
        <v>74</v>
      </c>
      <c r="BP61" t="s">
        <v>74</v>
      </c>
      <c r="BQ61" t="s">
        <v>74</v>
      </c>
      <c r="BR61" t="s">
        <v>99</v>
      </c>
      <c r="BS61" t="s">
        <v>1264</v>
      </c>
      <c r="BT61" t="str">
        <f>HYPERLINK("https%3A%2F%2Fwww.webofscience.com%2Fwos%2Fwoscc%2Ffull-record%2FWOS:001073667400001","View Full Record in Web of Science")</f>
        <v>View Full Record in Web of Science</v>
      </c>
    </row>
    <row r="62" spans="1:72" x14ac:dyDescent="0.15">
      <c r="A62" t="s">
        <v>72</v>
      </c>
      <c r="B62" t="s">
        <v>1265</v>
      </c>
      <c r="C62" t="s">
        <v>74</v>
      </c>
      <c r="D62" t="s">
        <v>74</v>
      </c>
      <c r="E62" t="s">
        <v>74</v>
      </c>
      <c r="F62" t="s">
        <v>1266</v>
      </c>
      <c r="G62" t="s">
        <v>74</v>
      </c>
      <c r="H62" t="s">
        <v>74</v>
      </c>
      <c r="I62" t="s">
        <v>1267</v>
      </c>
      <c r="J62" t="s">
        <v>1145</v>
      </c>
      <c r="K62" t="s">
        <v>74</v>
      </c>
      <c r="L62" t="s">
        <v>74</v>
      </c>
      <c r="M62" t="s">
        <v>78</v>
      </c>
      <c r="N62" t="s">
        <v>79</v>
      </c>
      <c r="O62" t="s">
        <v>74</v>
      </c>
      <c r="P62" t="s">
        <v>74</v>
      </c>
      <c r="Q62" t="s">
        <v>74</v>
      </c>
      <c r="R62" t="s">
        <v>74</v>
      </c>
      <c r="S62" t="s">
        <v>74</v>
      </c>
      <c r="T62" t="s">
        <v>1268</v>
      </c>
      <c r="U62" t="s">
        <v>1269</v>
      </c>
      <c r="V62" t="s">
        <v>1270</v>
      </c>
      <c r="W62" t="s">
        <v>1271</v>
      </c>
      <c r="X62" t="s">
        <v>1272</v>
      </c>
      <c r="Y62" t="s">
        <v>1273</v>
      </c>
      <c r="Z62" t="s">
        <v>1274</v>
      </c>
      <c r="AA62" t="s">
        <v>74</v>
      </c>
      <c r="AB62" t="s">
        <v>74</v>
      </c>
      <c r="AC62" t="s">
        <v>74</v>
      </c>
      <c r="AD62" t="s">
        <v>74</v>
      </c>
      <c r="AE62" t="s">
        <v>74</v>
      </c>
      <c r="AF62" t="s">
        <v>74</v>
      </c>
      <c r="AG62">
        <v>25</v>
      </c>
      <c r="AH62">
        <v>0</v>
      </c>
      <c r="AI62">
        <v>0</v>
      </c>
      <c r="AJ62">
        <v>6</v>
      </c>
      <c r="AK62">
        <v>6</v>
      </c>
      <c r="AL62" t="s">
        <v>117</v>
      </c>
      <c r="AM62" t="s">
        <v>627</v>
      </c>
      <c r="AN62" t="s">
        <v>628</v>
      </c>
      <c r="AO62" t="s">
        <v>1157</v>
      </c>
      <c r="AP62" t="s">
        <v>1158</v>
      </c>
      <c r="AQ62" t="s">
        <v>74</v>
      </c>
      <c r="AR62" t="s">
        <v>1159</v>
      </c>
      <c r="AS62" t="s">
        <v>1160</v>
      </c>
      <c r="AT62" t="s">
        <v>1275</v>
      </c>
      <c r="AU62">
        <v>2023</v>
      </c>
      <c r="AV62">
        <v>55</v>
      </c>
      <c r="AW62">
        <v>10</v>
      </c>
      <c r="AX62" t="s">
        <v>74</v>
      </c>
      <c r="AY62" t="s">
        <v>74</v>
      </c>
      <c r="AZ62" t="s">
        <v>74</v>
      </c>
      <c r="BA62" t="s">
        <v>74</v>
      </c>
      <c r="BB62" t="s">
        <v>74</v>
      </c>
      <c r="BC62" t="s">
        <v>74</v>
      </c>
      <c r="BD62">
        <v>899</v>
      </c>
      <c r="BE62" t="s">
        <v>1276</v>
      </c>
      <c r="BF62" t="str">
        <f>HYPERLINK("http://dx.doi.org/10.1007/s11082-023-05163-3","http://dx.doi.org/10.1007/s11082-023-05163-3")</f>
        <v>http://dx.doi.org/10.1007/s11082-023-05163-3</v>
      </c>
      <c r="BG62" t="s">
        <v>74</v>
      </c>
      <c r="BH62" t="s">
        <v>74</v>
      </c>
      <c r="BI62">
        <v>11</v>
      </c>
      <c r="BJ62" t="s">
        <v>1162</v>
      </c>
      <c r="BK62" t="s">
        <v>126</v>
      </c>
      <c r="BL62" t="s">
        <v>1163</v>
      </c>
      <c r="BM62" t="s">
        <v>1277</v>
      </c>
      <c r="BN62" t="s">
        <v>74</v>
      </c>
      <c r="BO62" t="s">
        <v>327</v>
      </c>
      <c r="BP62" t="s">
        <v>74</v>
      </c>
      <c r="BQ62" t="s">
        <v>74</v>
      </c>
      <c r="BR62" t="s">
        <v>99</v>
      </c>
      <c r="BS62" t="s">
        <v>1278</v>
      </c>
      <c r="BT62" t="str">
        <f>HYPERLINK("https%3A%2F%2Fwww.webofscience.com%2Fwos%2Fwoscc%2Ffull-record%2FWOS:001041967300003","View Full Record in Web of Science")</f>
        <v>View Full Record in Web of Science</v>
      </c>
    </row>
    <row r="63" spans="1:72" x14ac:dyDescent="0.15">
      <c r="A63" t="s">
        <v>72</v>
      </c>
      <c r="B63" t="s">
        <v>1279</v>
      </c>
      <c r="C63" t="s">
        <v>74</v>
      </c>
      <c r="D63" t="s">
        <v>74</v>
      </c>
      <c r="E63" t="s">
        <v>74</v>
      </c>
      <c r="F63" t="s">
        <v>1280</v>
      </c>
      <c r="G63" t="s">
        <v>74</v>
      </c>
      <c r="H63" t="s">
        <v>74</v>
      </c>
      <c r="I63" t="s">
        <v>1281</v>
      </c>
      <c r="J63" t="s">
        <v>1282</v>
      </c>
      <c r="K63" t="s">
        <v>74</v>
      </c>
      <c r="L63" t="s">
        <v>74</v>
      </c>
      <c r="M63" t="s">
        <v>78</v>
      </c>
      <c r="N63" t="s">
        <v>79</v>
      </c>
      <c r="O63" t="s">
        <v>74</v>
      </c>
      <c r="P63" t="s">
        <v>74</v>
      </c>
      <c r="Q63" t="s">
        <v>74</v>
      </c>
      <c r="R63" t="s">
        <v>74</v>
      </c>
      <c r="S63" t="s">
        <v>74</v>
      </c>
      <c r="T63" t="s">
        <v>1283</v>
      </c>
      <c r="U63" t="s">
        <v>1284</v>
      </c>
      <c r="V63" t="s">
        <v>1285</v>
      </c>
      <c r="W63" t="s">
        <v>1286</v>
      </c>
      <c r="X63" t="s">
        <v>1287</v>
      </c>
      <c r="Y63" t="s">
        <v>1288</v>
      </c>
      <c r="Z63" t="s">
        <v>1289</v>
      </c>
      <c r="AA63" t="s">
        <v>1290</v>
      </c>
      <c r="AB63" t="s">
        <v>1291</v>
      </c>
      <c r="AC63" t="s">
        <v>1292</v>
      </c>
      <c r="AD63" t="s">
        <v>1293</v>
      </c>
      <c r="AE63" t="s">
        <v>1294</v>
      </c>
      <c r="AF63" t="s">
        <v>74</v>
      </c>
      <c r="AG63">
        <v>60</v>
      </c>
      <c r="AH63">
        <v>0</v>
      </c>
      <c r="AI63">
        <v>0</v>
      </c>
      <c r="AJ63">
        <v>0</v>
      </c>
      <c r="AK63">
        <v>0</v>
      </c>
      <c r="AL63" t="s">
        <v>1295</v>
      </c>
      <c r="AM63" t="s">
        <v>1296</v>
      </c>
      <c r="AN63" t="s">
        <v>1297</v>
      </c>
      <c r="AO63" t="s">
        <v>1298</v>
      </c>
      <c r="AP63" t="s">
        <v>1299</v>
      </c>
      <c r="AQ63" t="s">
        <v>74</v>
      </c>
      <c r="AR63" t="s">
        <v>1300</v>
      </c>
      <c r="AS63" t="s">
        <v>1301</v>
      </c>
      <c r="AT63" t="s">
        <v>1275</v>
      </c>
      <c r="AU63">
        <v>2023</v>
      </c>
      <c r="AV63">
        <v>117</v>
      </c>
      <c r="AW63">
        <v>4</v>
      </c>
      <c r="AX63" t="s">
        <v>74</v>
      </c>
      <c r="AY63" t="s">
        <v>74</v>
      </c>
      <c r="AZ63" t="s">
        <v>74</v>
      </c>
      <c r="BA63" t="s">
        <v>74</v>
      </c>
      <c r="BB63" t="s">
        <v>74</v>
      </c>
      <c r="BC63" t="s">
        <v>74</v>
      </c>
      <c r="BD63">
        <v>140</v>
      </c>
      <c r="BE63" t="s">
        <v>1302</v>
      </c>
      <c r="BF63" t="str">
        <f>HYPERLINK("http://dx.doi.org/10.1007/s13398-023-01470-2","http://dx.doi.org/10.1007/s13398-023-01470-2")</f>
        <v>http://dx.doi.org/10.1007/s13398-023-01470-2</v>
      </c>
      <c r="BG63" t="s">
        <v>74</v>
      </c>
      <c r="BH63" t="s">
        <v>74</v>
      </c>
      <c r="BI63">
        <v>33</v>
      </c>
      <c r="BJ63" t="s">
        <v>1303</v>
      </c>
      <c r="BK63" t="s">
        <v>126</v>
      </c>
      <c r="BL63" t="s">
        <v>1304</v>
      </c>
      <c r="BM63" t="s">
        <v>1305</v>
      </c>
      <c r="BN63" t="s">
        <v>74</v>
      </c>
      <c r="BO63" t="s">
        <v>1306</v>
      </c>
      <c r="BP63" t="s">
        <v>74</v>
      </c>
      <c r="BQ63" t="s">
        <v>74</v>
      </c>
      <c r="BR63" t="s">
        <v>99</v>
      </c>
      <c r="BS63" t="s">
        <v>1307</v>
      </c>
      <c r="BT63" t="str">
        <f>HYPERLINK("https%3A%2F%2Fwww.webofscience.com%2Fwos%2Fwoscc%2Ffull-record%2FWOS:001022474100001","View Full Record in Web of Science")</f>
        <v>View Full Record in Web of Science</v>
      </c>
    </row>
    <row r="64" spans="1:72" x14ac:dyDescent="0.15">
      <c r="A64" t="s">
        <v>72</v>
      </c>
      <c r="B64" t="s">
        <v>1308</v>
      </c>
      <c r="C64" t="s">
        <v>74</v>
      </c>
      <c r="D64" t="s">
        <v>74</v>
      </c>
      <c r="E64" t="s">
        <v>74</v>
      </c>
      <c r="F64" t="s">
        <v>1309</v>
      </c>
      <c r="G64" t="s">
        <v>74</v>
      </c>
      <c r="H64" t="s">
        <v>74</v>
      </c>
      <c r="I64" t="s">
        <v>1310</v>
      </c>
      <c r="J64" t="s">
        <v>1311</v>
      </c>
      <c r="K64" t="s">
        <v>74</v>
      </c>
      <c r="L64" t="s">
        <v>74</v>
      </c>
      <c r="M64" t="s">
        <v>78</v>
      </c>
      <c r="N64" t="s">
        <v>79</v>
      </c>
      <c r="O64" t="s">
        <v>74</v>
      </c>
      <c r="P64" t="s">
        <v>74</v>
      </c>
      <c r="Q64" t="s">
        <v>74</v>
      </c>
      <c r="R64" t="s">
        <v>74</v>
      </c>
      <c r="S64" t="s">
        <v>74</v>
      </c>
      <c r="T64" t="s">
        <v>1312</v>
      </c>
      <c r="U64" t="s">
        <v>74</v>
      </c>
      <c r="V64" t="s">
        <v>1313</v>
      </c>
      <c r="W64" t="s">
        <v>1314</v>
      </c>
      <c r="X64" t="s">
        <v>1315</v>
      </c>
      <c r="Y64" t="s">
        <v>1316</v>
      </c>
      <c r="Z64" t="s">
        <v>1317</v>
      </c>
      <c r="AA64" t="s">
        <v>74</v>
      </c>
      <c r="AB64" t="s">
        <v>74</v>
      </c>
      <c r="AC64" t="s">
        <v>1318</v>
      </c>
      <c r="AD64" t="s">
        <v>1318</v>
      </c>
      <c r="AE64" t="s">
        <v>1319</v>
      </c>
      <c r="AF64" t="s">
        <v>74</v>
      </c>
      <c r="AG64">
        <v>36</v>
      </c>
      <c r="AH64">
        <v>0</v>
      </c>
      <c r="AI64">
        <v>0</v>
      </c>
      <c r="AJ64">
        <v>0</v>
      </c>
      <c r="AK64">
        <v>0</v>
      </c>
      <c r="AL64" t="s">
        <v>117</v>
      </c>
      <c r="AM64" t="s">
        <v>118</v>
      </c>
      <c r="AN64" t="s">
        <v>119</v>
      </c>
      <c r="AO64" t="s">
        <v>1320</v>
      </c>
      <c r="AP64" t="s">
        <v>1321</v>
      </c>
      <c r="AQ64" t="s">
        <v>74</v>
      </c>
      <c r="AR64" t="s">
        <v>1322</v>
      </c>
      <c r="AS64" t="s">
        <v>1323</v>
      </c>
      <c r="AT64" t="s">
        <v>1275</v>
      </c>
      <c r="AU64">
        <v>2023</v>
      </c>
      <c r="AV64">
        <v>31</v>
      </c>
      <c r="AW64">
        <v>4</v>
      </c>
      <c r="AX64" t="s">
        <v>74</v>
      </c>
      <c r="AY64" t="s">
        <v>74</v>
      </c>
      <c r="AZ64" t="s">
        <v>74</v>
      </c>
      <c r="BA64" t="s">
        <v>74</v>
      </c>
      <c r="BB64" t="s">
        <v>74</v>
      </c>
      <c r="BC64" t="s">
        <v>74</v>
      </c>
      <c r="BD64">
        <v>78</v>
      </c>
      <c r="BE64" t="s">
        <v>1324</v>
      </c>
      <c r="BF64" t="str">
        <f>HYPERLINK("http://dx.doi.org/10.1007/s10922-023-09765-w","http://dx.doi.org/10.1007/s10922-023-09765-w")</f>
        <v>http://dx.doi.org/10.1007/s10922-023-09765-w</v>
      </c>
      <c r="BG64" t="s">
        <v>74</v>
      </c>
      <c r="BH64" t="s">
        <v>74</v>
      </c>
      <c r="BI64">
        <v>30</v>
      </c>
      <c r="BJ64" t="s">
        <v>1325</v>
      </c>
      <c r="BK64" t="s">
        <v>126</v>
      </c>
      <c r="BL64" t="s">
        <v>1326</v>
      </c>
      <c r="BM64" t="s">
        <v>1327</v>
      </c>
      <c r="BN64" t="s">
        <v>74</v>
      </c>
      <c r="BO64" t="s">
        <v>1328</v>
      </c>
      <c r="BP64" t="s">
        <v>74</v>
      </c>
      <c r="BQ64" t="s">
        <v>74</v>
      </c>
      <c r="BR64" t="s">
        <v>99</v>
      </c>
      <c r="BS64" t="s">
        <v>1329</v>
      </c>
      <c r="BT64" t="str">
        <f>HYPERLINK("https%3A%2F%2Fwww.webofscience.com%2Fwos%2Fwoscc%2Ffull-record%2FWOS:001052525800001","View Full Record in Web of Science")</f>
        <v>View Full Record in Web of Science</v>
      </c>
    </row>
    <row r="65" spans="1:72" x14ac:dyDescent="0.15">
      <c r="A65" t="s">
        <v>72</v>
      </c>
      <c r="B65" t="s">
        <v>1330</v>
      </c>
      <c r="C65" t="s">
        <v>74</v>
      </c>
      <c r="D65" t="s">
        <v>74</v>
      </c>
      <c r="E65" t="s">
        <v>74</v>
      </c>
      <c r="F65" t="s">
        <v>1331</v>
      </c>
      <c r="G65" t="s">
        <v>74</v>
      </c>
      <c r="H65" t="s">
        <v>74</v>
      </c>
      <c r="I65" t="s">
        <v>1332</v>
      </c>
      <c r="J65" t="s">
        <v>1333</v>
      </c>
      <c r="K65" t="s">
        <v>74</v>
      </c>
      <c r="L65" t="s">
        <v>74</v>
      </c>
      <c r="M65" t="s">
        <v>78</v>
      </c>
      <c r="N65" t="s">
        <v>79</v>
      </c>
      <c r="O65" t="s">
        <v>74</v>
      </c>
      <c r="P65" t="s">
        <v>74</v>
      </c>
      <c r="Q65" t="s">
        <v>74</v>
      </c>
      <c r="R65" t="s">
        <v>74</v>
      </c>
      <c r="S65" t="s">
        <v>74</v>
      </c>
      <c r="T65" t="s">
        <v>1334</v>
      </c>
      <c r="U65" t="s">
        <v>1335</v>
      </c>
      <c r="V65" t="s">
        <v>1336</v>
      </c>
      <c r="W65" t="s">
        <v>1337</v>
      </c>
      <c r="X65" t="s">
        <v>74</v>
      </c>
      <c r="Y65" t="s">
        <v>1338</v>
      </c>
      <c r="Z65" t="s">
        <v>1339</v>
      </c>
      <c r="AA65" t="s">
        <v>74</v>
      </c>
      <c r="AB65" t="s">
        <v>74</v>
      </c>
      <c r="AC65" t="s">
        <v>74</v>
      </c>
      <c r="AD65" t="s">
        <v>74</v>
      </c>
      <c r="AE65" t="s">
        <v>74</v>
      </c>
      <c r="AF65" t="s">
        <v>74</v>
      </c>
      <c r="AG65">
        <v>39</v>
      </c>
      <c r="AH65">
        <v>1</v>
      </c>
      <c r="AI65">
        <v>1</v>
      </c>
      <c r="AJ65">
        <v>0</v>
      </c>
      <c r="AK65">
        <v>0</v>
      </c>
      <c r="AL65" t="s">
        <v>117</v>
      </c>
      <c r="AM65" t="s">
        <v>627</v>
      </c>
      <c r="AN65" t="s">
        <v>628</v>
      </c>
      <c r="AO65" t="s">
        <v>1340</v>
      </c>
      <c r="AP65" t="s">
        <v>1341</v>
      </c>
      <c r="AQ65" t="s">
        <v>74</v>
      </c>
      <c r="AR65" t="s">
        <v>1342</v>
      </c>
      <c r="AS65" t="s">
        <v>1343</v>
      </c>
      <c r="AT65" t="s">
        <v>1275</v>
      </c>
      <c r="AU65">
        <v>2023</v>
      </c>
      <c r="AV65">
        <v>28</v>
      </c>
      <c r="AW65" t="s">
        <v>1344</v>
      </c>
      <c r="AX65" t="s">
        <v>74</v>
      </c>
      <c r="AY65">
        <v>1</v>
      </c>
      <c r="AZ65" t="s">
        <v>74</v>
      </c>
      <c r="BA65" t="s">
        <v>74</v>
      </c>
      <c r="BB65" t="s">
        <v>74</v>
      </c>
      <c r="BC65" t="s">
        <v>74</v>
      </c>
      <c r="BD65" t="s">
        <v>74</v>
      </c>
      <c r="BE65" t="s">
        <v>1345</v>
      </c>
      <c r="BF65" t="str">
        <f>HYPERLINK("http://dx.doi.org/10.1007/s11027-006-2948-4","http://dx.doi.org/10.1007/s11027-006-2948-4")</f>
        <v>http://dx.doi.org/10.1007/s11027-006-2948-4</v>
      </c>
      <c r="BG65" t="s">
        <v>74</v>
      </c>
      <c r="BH65" t="s">
        <v>74</v>
      </c>
      <c r="BI65">
        <v>18</v>
      </c>
      <c r="BJ65" t="s">
        <v>1346</v>
      </c>
      <c r="BK65" t="s">
        <v>126</v>
      </c>
      <c r="BL65" t="s">
        <v>1347</v>
      </c>
      <c r="BM65" t="s">
        <v>1348</v>
      </c>
      <c r="BN65" t="s">
        <v>74</v>
      </c>
      <c r="BO65" t="s">
        <v>74</v>
      </c>
      <c r="BP65" t="s">
        <v>74</v>
      </c>
      <c r="BQ65" t="s">
        <v>74</v>
      </c>
      <c r="BR65" t="s">
        <v>99</v>
      </c>
      <c r="BS65" t="s">
        <v>1349</v>
      </c>
      <c r="BT65" t="str">
        <f>HYPERLINK("https%3A%2F%2Fwww.webofscience.com%2Fwos%2Fwoscc%2Ffull-record%2FWOS:001050946000001","View Full Record in Web of Science")</f>
        <v>View Full Record in Web of Science</v>
      </c>
    </row>
    <row r="66" spans="1:72" x14ac:dyDescent="0.15">
      <c r="A66" t="s">
        <v>72</v>
      </c>
      <c r="B66" t="s">
        <v>1350</v>
      </c>
      <c r="C66" t="s">
        <v>74</v>
      </c>
      <c r="D66" t="s">
        <v>74</v>
      </c>
      <c r="E66" t="s">
        <v>74</v>
      </c>
      <c r="F66" t="s">
        <v>1351</v>
      </c>
      <c r="G66" t="s">
        <v>74</v>
      </c>
      <c r="H66" t="s">
        <v>74</v>
      </c>
      <c r="I66" t="s">
        <v>1352</v>
      </c>
      <c r="J66" t="s">
        <v>1353</v>
      </c>
      <c r="K66" t="s">
        <v>74</v>
      </c>
      <c r="L66" t="s">
        <v>74</v>
      </c>
      <c r="M66" t="s">
        <v>78</v>
      </c>
      <c r="N66" t="s">
        <v>79</v>
      </c>
      <c r="O66" t="s">
        <v>74</v>
      </c>
      <c r="P66" t="s">
        <v>74</v>
      </c>
      <c r="Q66" t="s">
        <v>74</v>
      </c>
      <c r="R66" t="s">
        <v>74</v>
      </c>
      <c r="S66" t="s">
        <v>74</v>
      </c>
      <c r="T66" t="s">
        <v>1354</v>
      </c>
      <c r="U66" t="s">
        <v>1355</v>
      </c>
      <c r="V66" t="s">
        <v>1356</v>
      </c>
      <c r="W66" t="s">
        <v>1357</v>
      </c>
      <c r="X66" t="s">
        <v>1358</v>
      </c>
      <c r="Y66" t="s">
        <v>1359</v>
      </c>
      <c r="Z66" t="s">
        <v>1360</v>
      </c>
      <c r="AA66" t="s">
        <v>74</v>
      </c>
      <c r="AB66" t="s">
        <v>1361</v>
      </c>
      <c r="AC66" t="s">
        <v>1362</v>
      </c>
      <c r="AD66" t="s">
        <v>1362</v>
      </c>
      <c r="AE66" t="s">
        <v>1363</v>
      </c>
      <c r="AF66" t="s">
        <v>74</v>
      </c>
      <c r="AG66">
        <v>66</v>
      </c>
      <c r="AH66">
        <v>0</v>
      </c>
      <c r="AI66">
        <v>0</v>
      </c>
      <c r="AJ66">
        <v>1</v>
      </c>
      <c r="AK66">
        <v>1</v>
      </c>
      <c r="AL66" t="s">
        <v>117</v>
      </c>
      <c r="AM66" t="s">
        <v>627</v>
      </c>
      <c r="AN66" t="s">
        <v>628</v>
      </c>
      <c r="AO66" t="s">
        <v>1364</v>
      </c>
      <c r="AP66" t="s">
        <v>1365</v>
      </c>
      <c r="AQ66" t="s">
        <v>74</v>
      </c>
      <c r="AR66" t="s">
        <v>1353</v>
      </c>
      <c r="AS66" t="s">
        <v>1366</v>
      </c>
      <c r="AT66" t="s">
        <v>1275</v>
      </c>
      <c r="AU66">
        <v>2023</v>
      </c>
      <c r="AV66">
        <v>43</v>
      </c>
      <c r="AW66">
        <v>7</v>
      </c>
      <c r="AX66" t="s">
        <v>74</v>
      </c>
      <c r="AY66" t="s">
        <v>74</v>
      </c>
      <c r="AZ66" t="s">
        <v>74</v>
      </c>
      <c r="BA66" t="s">
        <v>74</v>
      </c>
      <c r="BB66" t="s">
        <v>74</v>
      </c>
      <c r="BC66" t="s">
        <v>74</v>
      </c>
      <c r="BD66">
        <v>77</v>
      </c>
      <c r="BE66" t="s">
        <v>1367</v>
      </c>
      <c r="BF66" t="str">
        <f>HYPERLINK("http://dx.doi.org/10.1007/s13157-023-01724-0","http://dx.doi.org/10.1007/s13157-023-01724-0")</f>
        <v>http://dx.doi.org/10.1007/s13157-023-01724-0</v>
      </c>
      <c r="BG66" t="s">
        <v>74</v>
      </c>
      <c r="BH66" t="s">
        <v>74</v>
      </c>
      <c r="BI66">
        <v>13</v>
      </c>
      <c r="BJ66" t="s">
        <v>1368</v>
      </c>
      <c r="BK66" t="s">
        <v>126</v>
      </c>
      <c r="BL66" t="s">
        <v>1347</v>
      </c>
      <c r="BM66" t="s">
        <v>1369</v>
      </c>
      <c r="BN66" t="s">
        <v>74</v>
      </c>
      <c r="BO66" t="s">
        <v>74</v>
      </c>
      <c r="BP66" t="s">
        <v>74</v>
      </c>
      <c r="BQ66" t="s">
        <v>74</v>
      </c>
      <c r="BR66" t="s">
        <v>99</v>
      </c>
      <c r="BS66" t="s">
        <v>1370</v>
      </c>
      <c r="BT66" t="str">
        <f>HYPERLINK("https%3A%2F%2Fwww.webofscience.com%2Fwos%2Fwoscc%2Ffull-record%2FWOS:001052598500001","View Full Record in Web of Science")</f>
        <v>View Full Record in Web of Science</v>
      </c>
    </row>
    <row r="67" spans="1:72" x14ac:dyDescent="0.15">
      <c r="A67" t="s">
        <v>72</v>
      </c>
      <c r="B67" t="s">
        <v>1371</v>
      </c>
      <c r="C67" t="s">
        <v>74</v>
      </c>
      <c r="D67" t="s">
        <v>74</v>
      </c>
      <c r="E67" t="s">
        <v>74</v>
      </c>
      <c r="F67" t="s">
        <v>1372</v>
      </c>
      <c r="G67" t="s">
        <v>74</v>
      </c>
      <c r="H67" t="s">
        <v>74</v>
      </c>
      <c r="I67" t="s">
        <v>1373</v>
      </c>
      <c r="J67" t="s">
        <v>720</v>
      </c>
      <c r="K67" t="s">
        <v>74</v>
      </c>
      <c r="L67" t="s">
        <v>74</v>
      </c>
      <c r="M67" t="s">
        <v>78</v>
      </c>
      <c r="N67" t="s">
        <v>79</v>
      </c>
      <c r="O67" t="s">
        <v>74</v>
      </c>
      <c r="P67" t="s">
        <v>74</v>
      </c>
      <c r="Q67" t="s">
        <v>74</v>
      </c>
      <c r="R67" t="s">
        <v>74</v>
      </c>
      <c r="S67" t="s">
        <v>74</v>
      </c>
      <c r="T67" t="s">
        <v>1374</v>
      </c>
      <c r="U67" t="s">
        <v>1375</v>
      </c>
      <c r="V67" t="s">
        <v>1376</v>
      </c>
      <c r="W67" t="s">
        <v>1377</v>
      </c>
      <c r="X67" t="s">
        <v>1378</v>
      </c>
      <c r="Y67" t="s">
        <v>1379</v>
      </c>
      <c r="Z67" t="s">
        <v>1380</v>
      </c>
      <c r="AA67" t="s">
        <v>74</v>
      </c>
      <c r="AB67" t="s">
        <v>74</v>
      </c>
      <c r="AC67" t="s">
        <v>1381</v>
      </c>
      <c r="AD67" t="s">
        <v>1381</v>
      </c>
      <c r="AE67" t="s">
        <v>1382</v>
      </c>
      <c r="AF67" t="s">
        <v>74</v>
      </c>
      <c r="AG67">
        <v>17</v>
      </c>
      <c r="AH67">
        <v>0</v>
      </c>
      <c r="AI67">
        <v>0</v>
      </c>
      <c r="AJ67">
        <v>0</v>
      </c>
      <c r="AK67">
        <v>0</v>
      </c>
      <c r="AL67" t="s">
        <v>219</v>
      </c>
      <c r="AM67" t="s">
        <v>220</v>
      </c>
      <c r="AN67" t="s">
        <v>221</v>
      </c>
      <c r="AO67" t="s">
        <v>731</v>
      </c>
      <c r="AP67" t="s">
        <v>732</v>
      </c>
      <c r="AQ67" t="s">
        <v>74</v>
      </c>
      <c r="AR67" t="s">
        <v>733</v>
      </c>
      <c r="AS67" t="s">
        <v>734</v>
      </c>
      <c r="AT67" t="s">
        <v>1275</v>
      </c>
      <c r="AU67">
        <v>2023</v>
      </c>
      <c r="AV67">
        <v>20</v>
      </c>
      <c r="AW67">
        <v>5</v>
      </c>
      <c r="AX67" t="s">
        <v>74</v>
      </c>
      <c r="AY67" t="s">
        <v>74</v>
      </c>
      <c r="AZ67" t="s">
        <v>74</v>
      </c>
      <c r="BA67" t="s">
        <v>74</v>
      </c>
      <c r="BB67" t="s">
        <v>74</v>
      </c>
      <c r="BC67" t="s">
        <v>74</v>
      </c>
      <c r="BD67">
        <v>268</v>
      </c>
      <c r="BE67" t="s">
        <v>1383</v>
      </c>
      <c r="BF67" t="str">
        <f>HYPERLINK("http://dx.doi.org/10.1007/s00009-023-02467-2","http://dx.doi.org/10.1007/s00009-023-02467-2")</f>
        <v>http://dx.doi.org/10.1007/s00009-023-02467-2</v>
      </c>
      <c r="BG67" t="s">
        <v>74</v>
      </c>
      <c r="BH67" t="s">
        <v>74</v>
      </c>
      <c r="BI67">
        <v>19</v>
      </c>
      <c r="BJ67" t="s">
        <v>227</v>
      </c>
      <c r="BK67" t="s">
        <v>126</v>
      </c>
      <c r="BL67" t="s">
        <v>228</v>
      </c>
      <c r="BM67" t="s">
        <v>1384</v>
      </c>
      <c r="BN67" t="s">
        <v>74</v>
      </c>
      <c r="BO67" t="s">
        <v>183</v>
      </c>
      <c r="BP67" t="s">
        <v>74</v>
      </c>
      <c r="BQ67" t="s">
        <v>74</v>
      </c>
      <c r="BR67" t="s">
        <v>99</v>
      </c>
      <c r="BS67" t="s">
        <v>1385</v>
      </c>
      <c r="BT67" t="str">
        <f>HYPERLINK("https%3A%2F%2Fwww.webofscience.com%2Fwos%2Fwoscc%2Ffull-record%2FWOS:001032509900002","View Full Record in Web of Science")</f>
        <v>View Full Record in Web of Science</v>
      </c>
    </row>
    <row r="68" spans="1:72" x14ac:dyDescent="0.15">
      <c r="A68" t="s">
        <v>72</v>
      </c>
      <c r="B68" t="s">
        <v>1386</v>
      </c>
      <c r="C68" t="s">
        <v>74</v>
      </c>
      <c r="D68" t="s">
        <v>74</v>
      </c>
      <c r="E68" t="s">
        <v>74</v>
      </c>
      <c r="F68" t="s">
        <v>1387</v>
      </c>
      <c r="G68" t="s">
        <v>74</v>
      </c>
      <c r="H68" t="s">
        <v>74</v>
      </c>
      <c r="I68" t="s">
        <v>1388</v>
      </c>
      <c r="J68" t="s">
        <v>1145</v>
      </c>
      <c r="K68" t="s">
        <v>74</v>
      </c>
      <c r="L68" t="s">
        <v>74</v>
      </c>
      <c r="M68" t="s">
        <v>78</v>
      </c>
      <c r="N68" t="s">
        <v>79</v>
      </c>
      <c r="O68" t="s">
        <v>74</v>
      </c>
      <c r="P68" t="s">
        <v>74</v>
      </c>
      <c r="Q68" t="s">
        <v>74</v>
      </c>
      <c r="R68" t="s">
        <v>74</v>
      </c>
      <c r="S68" t="s">
        <v>74</v>
      </c>
      <c r="T68" t="s">
        <v>1389</v>
      </c>
      <c r="U68" t="s">
        <v>1390</v>
      </c>
      <c r="V68" t="s">
        <v>1391</v>
      </c>
      <c r="W68" t="s">
        <v>1392</v>
      </c>
      <c r="X68" t="s">
        <v>1393</v>
      </c>
      <c r="Y68" t="s">
        <v>1394</v>
      </c>
      <c r="Z68" t="s">
        <v>1395</v>
      </c>
      <c r="AA68" t="s">
        <v>1396</v>
      </c>
      <c r="AB68" t="s">
        <v>1397</v>
      </c>
      <c r="AC68" t="s">
        <v>1398</v>
      </c>
      <c r="AD68" t="s">
        <v>1399</v>
      </c>
      <c r="AE68" t="s">
        <v>1400</v>
      </c>
      <c r="AF68" t="s">
        <v>74</v>
      </c>
      <c r="AG68">
        <v>46</v>
      </c>
      <c r="AH68">
        <v>0</v>
      </c>
      <c r="AI68">
        <v>0</v>
      </c>
      <c r="AJ68">
        <v>1</v>
      </c>
      <c r="AK68">
        <v>1</v>
      </c>
      <c r="AL68" t="s">
        <v>117</v>
      </c>
      <c r="AM68" t="s">
        <v>627</v>
      </c>
      <c r="AN68" t="s">
        <v>628</v>
      </c>
      <c r="AO68" t="s">
        <v>1157</v>
      </c>
      <c r="AP68" t="s">
        <v>1158</v>
      </c>
      <c r="AQ68" t="s">
        <v>74</v>
      </c>
      <c r="AR68" t="s">
        <v>1159</v>
      </c>
      <c r="AS68" t="s">
        <v>1160</v>
      </c>
      <c r="AT68" t="s">
        <v>1275</v>
      </c>
      <c r="AU68">
        <v>2023</v>
      </c>
      <c r="AV68">
        <v>55</v>
      </c>
      <c r="AW68">
        <v>10</v>
      </c>
      <c r="AX68" t="s">
        <v>74</v>
      </c>
      <c r="AY68" t="s">
        <v>74</v>
      </c>
      <c r="AZ68" t="s">
        <v>74</v>
      </c>
      <c r="BA68" t="s">
        <v>74</v>
      </c>
      <c r="BB68" t="s">
        <v>74</v>
      </c>
      <c r="BC68" t="s">
        <v>74</v>
      </c>
      <c r="BD68">
        <v>869</v>
      </c>
      <c r="BE68" t="s">
        <v>1401</v>
      </c>
      <c r="BF68" t="str">
        <f>HYPERLINK("http://dx.doi.org/10.1007/s11082-023-05160-6","http://dx.doi.org/10.1007/s11082-023-05160-6")</f>
        <v>http://dx.doi.org/10.1007/s11082-023-05160-6</v>
      </c>
      <c r="BG68" t="s">
        <v>74</v>
      </c>
      <c r="BH68" t="s">
        <v>74</v>
      </c>
      <c r="BI68">
        <v>15</v>
      </c>
      <c r="BJ68" t="s">
        <v>1162</v>
      </c>
      <c r="BK68" t="s">
        <v>126</v>
      </c>
      <c r="BL68" t="s">
        <v>1163</v>
      </c>
      <c r="BM68" t="s">
        <v>1402</v>
      </c>
      <c r="BN68" t="s">
        <v>74</v>
      </c>
      <c r="BO68" t="s">
        <v>74</v>
      </c>
      <c r="BP68" t="s">
        <v>74</v>
      </c>
      <c r="BQ68" t="s">
        <v>74</v>
      </c>
      <c r="BR68" t="s">
        <v>99</v>
      </c>
      <c r="BS68" t="s">
        <v>1403</v>
      </c>
      <c r="BT68" t="str">
        <f>HYPERLINK("https%3A%2F%2Fwww.webofscience.com%2Fwos%2Fwoscc%2Ffull-record%2FWOS:001043240400006","View Full Record in Web of Science")</f>
        <v>View Full Record in Web of Science</v>
      </c>
    </row>
    <row r="69" spans="1:72" x14ac:dyDescent="0.15">
      <c r="A69" t="s">
        <v>72</v>
      </c>
      <c r="B69" t="s">
        <v>1404</v>
      </c>
      <c r="C69" t="s">
        <v>74</v>
      </c>
      <c r="D69" t="s">
        <v>74</v>
      </c>
      <c r="E69" t="s">
        <v>74</v>
      </c>
      <c r="F69" t="s">
        <v>1405</v>
      </c>
      <c r="G69" t="s">
        <v>74</v>
      </c>
      <c r="H69" t="s">
        <v>74</v>
      </c>
      <c r="I69" t="s">
        <v>1406</v>
      </c>
      <c r="J69" t="s">
        <v>1407</v>
      </c>
      <c r="K69" t="s">
        <v>74</v>
      </c>
      <c r="L69" t="s">
        <v>74</v>
      </c>
      <c r="M69" t="s">
        <v>78</v>
      </c>
      <c r="N69" t="s">
        <v>79</v>
      </c>
      <c r="O69" t="s">
        <v>74</v>
      </c>
      <c r="P69" t="s">
        <v>74</v>
      </c>
      <c r="Q69" t="s">
        <v>74</v>
      </c>
      <c r="R69" t="s">
        <v>74</v>
      </c>
      <c r="S69" t="s">
        <v>74</v>
      </c>
      <c r="T69" t="s">
        <v>1408</v>
      </c>
      <c r="U69" t="s">
        <v>1409</v>
      </c>
      <c r="V69" t="s">
        <v>1410</v>
      </c>
      <c r="W69" t="s">
        <v>1411</v>
      </c>
      <c r="X69" t="s">
        <v>1412</v>
      </c>
      <c r="Y69" t="s">
        <v>1413</v>
      </c>
      <c r="Z69" t="s">
        <v>1414</v>
      </c>
      <c r="AA69" t="s">
        <v>74</v>
      </c>
      <c r="AB69" t="s">
        <v>74</v>
      </c>
      <c r="AC69" t="s">
        <v>1415</v>
      </c>
      <c r="AD69" t="s">
        <v>1416</v>
      </c>
      <c r="AE69" t="s">
        <v>1417</v>
      </c>
      <c r="AF69" t="s">
        <v>74</v>
      </c>
      <c r="AG69">
        <v>88</v>
      </c>
      <c r="AH69">
        <v>0</v>
      </c>
      <c r="AI69">
        <v>0</v>
      </c>
      <c r="AJ69">
        <v>0</v>
      </c>
      <c r="AK69">
        <v>0</v>
      </c>
      <c r="AL69" t="s">
        <v>117</v>
      </c>
      <c r="AM69" t="s">
        <v>118</v>
      </c>
      <c r="AN69" t="s">
        <v>119</v>
      </c>
      <c r="AO69" t="s">
        <v>1418</v>
      </c>
      <c r="AP69" t="s">
        <v>1419</v>
      </c>
      <c r="AQ69" t="s">
        <v>74</v>
      </c>
      <c r="AR69" t="s">
        <v>1420</v>
      </c>
      <c r="AS69" t="s">
        <v>1421</v>
      </c>
      <c r="AT69" t="s">
        <v>1275</v>
      </c>
      <c r="AU69">
        <v>2023</v>
      </c>
      <c r="AV69">
        <v>69</v>
      </c>
      <c r="AW69">
        <v>5</v>
      </c>
      <c r="AX69" t="s">
        <v>74</v>
      </c>
      <c r="AY69" t="s">
        <v>74</v>
      </c>
      <c r="AZ69" t="s">
        <v>74</v>
      </c>
      <c r="BA69" t="s">
        <v>74</v>
      </c>
      <c r="BB69" t="s">
        <v>74</v>
      </c>
      <c r="BC69" t="s">
        <v>74</v>
      </c>
      <c r="BD69">
        <v>95</v>
      </c>
      <c r="BE69" t="s">
        <v>1422</v>
      </c>
      <c r="BF69" t="str">
        <f>HYPERLINK("http://dx.doi.org/10.1007/s10344-023-01726-7","http://dx.doi.org/10.1007/s10344-023-01726-7")</f>
        <v>http://dx.doi.org/10.1007/s10344-023-01726-7</v>
      </c>
      <c r="BG69" t="s">
        <v>74</v>
      </c>
      <c r="BH69" t="s">
        <v>74</v>
      </c>
      <c r="BI69">
        <v>10</v>
      </c>
      <c r="BJ69" t="s">
        <v>1423</v>
      </c>
      <c r="BK69" t="s">
        <v>126</v>
      </c>
      <c r="BL69" t="s">
        <v>1424</v>
      </c>
      <c r="BM69" t="s">
        <v>1425</v>
      </c>
      <c r="BN69" t="s">
        <v>74</v>
      </c>
      <c r="BO69" t="s">
        <v>74</v>
      </c>
      <c r="BP69" t="s">
        <v>74</v>
      </c>
      <c r="BQ69" t="s">
        <v>74</v>
      </c>
      <c r="BR69" t="s">
        <v>99</v>
      </c>
      <c r="BS69" t="s">
        <v>1426</v>
      </c>
      <c r="BT69" t="str">
        <f>HYPERLINK("https%3A%2F%2Fwww.webofscience.com%2Fwos%2Fwoscc%2Ffull-record%2FWOS:001066500100001","View Full Record in Web of Science")</f>
        <v>View Full Record in Web of Science</v>
      </c>
    </row>
    <row r="70" spans="1:72" x14ac:dyDescent="0.15">
      <c r="A70" t="s">
        <v>72</v>
      </c>
      <c r="B70" t="s">
        <v>1427</v>
      </c>
      <c r="C70" t="s">
        <v>74</v>
      </c>
      <c r="D70" t="s">
        <v>74</v>
      </c>
      <c r="E70" t="s">
        <v>74</v>
      </c>
      <c r="F70" t="s">
        <v>1428</v>
      </c>
      <c r="G70" t="s">
        <v>74</v>
      </c>
      <c r="H70" t="s">
        <v>74</v>
      </c>
      <c r="I70" t="s">
        <v>1429</v>
      </c>
      <c r="J70" t="s">
        <v>1430</v>
      </c>
      <c r="K70" t="s">
        <v>74</v>
      </c>
      <c r="L70" t="s">
        <v>74</v>
      </c>
      <c r="M70" t="s">
        <v>78</v>
      </c>
      <c r="N70" t="s">
        <v>79</v>
      </c>
      <c r="O70" t="s">
        <v>74</v>
      </c>
      <c r="P70" t="s">
        <v>74</v>
      </c>
      <c r="Q70" t="s">
        <v>74</v>
      </c>
      <c r="R70" t="s">
        <v>74</v>
      </c>
      <c r="S70" t="s">
        <v>74</v>
      </c>
      <c r="T70" t="s">
        <v>1431</v>
      </c>
      <c r="U70" t="s">
        <v>1432</v>
      </c>
      <c r="V70" t="s">
        <v>1433</v>
      </c>
      <c r="W70" t="s">
        <v>1434</v>
      </c>
      <c r="X70" t="s">
        <v>1435</v>
      </c>
      <c r="Y70" t="s">
        <v>1436</v>
      </c>
      <c r="Z70" t="s">
        <v>1437</v>
      </c>
      <c r="AA70" t="s">
        <v>74</v>
      </c>
      <c r="AB70" t="s">
        <v>74</v>
      </c>
      <c r="AC70" t="s">
        <v>74</v>
      </c>
      <c r="AD70" t="s">
        <v>74</v>
      </c>
      <c r="AE70" t="s">
        <v>74</v>
      </c>
      <c r="AF70" t="s">
        <v>74</v>
      </c>
      <c r="AG70">
        <v>47</v>
      </c>
      <c r="AH70">
        <v>0</v>
      </c>
      <c r="AI70">
        <v>0</v>
      </c>
      <c r="AJ70">
        <v>0</v>
      </c>
      <c r="AK70">
        <v>0</v>
      </c>
      <c r="AL70" t="s">
        <v>172</v>
      </c>
      <c r="AM70" t="s">
        <v>173</v>
      </c>
      <c r="AN70" t="s">
        <v>174</v>
      </c>
      <c r="AO70" t="s">
        <v>1438</v>
      </c>
      <c r="AP70" t="s">
        <v>1439</v>
      </c>
      <c r="AQ70" t="s">
        <v>74</v>
      </c>
      <c r="AR70" t="s">
        <v>1440</v>
      </c>
      <c r="AS70" t="s">
        <v>1441</v>
      </c>
      <c r="AT70" t="s">
        <v>1275</v>
      </c>
      <c r="AU70">
        <v>2023</v>
      </c>
      <c r="AV70">
        <v>129</v>
      </c>
      <c r="AW70">
        <v>10</v>
      </c>
      <c r="AX70" t="s">
        <v>74</v>
      </c>
      <c r="AY70" t="s">
        <v>74</v>
      </c>
      <c r="AZ70" t="s">
        <v>74</v>
      </c>
      <c r="BA70" t="s">
        <v>74</v>
      </c>
      <c r="BB70" t="s">
        <v>74</v>
      </c>
      <c r="BC70" t="s">
        <v>74</v>
      </c>
      <c r="BD70">
        <v>670</v>
      </c>
      <c r="BE70" t="s">
        <v>1442</v>
      </c>
      <c r="BF70" t="str">
        <f>HYPERLINK("http://dx.doi.org/10.1007/s00339-023-06943-0","http://dx.doi.org/10.1007/s00339-023-06943-0")</f>
        <v>http://dx.doi.org/10.1007/s00339-023-06943-0</v>
      </c>
      <c r="BG70" t="s">
        <v>74</v>
      </c>
      <c r="BH70" t="s">
        <v>74</v>
      </c>
      <c r="BI70">
        <v>10</v>
      </c>
      <c r="BJ70" t="s">
        <v>1443</v>
      </c>
      <c r="BK70" t="s">
        <v>126</v>
      </c>
      <c r="BL70" t="s">
        <v>1444</v>
      </c>
      <c r="BM70" t="s">
        <v>1445</v>
      </c>
      <c r="BN70" t="s">
        <v>74</v>
      </c>
      <c r="BO70" t="s">
        <v>74</v>
      </c>
      <c r="BP70" t="s">
        <v>74</v>
      </c>
      <c r="BQ70" t="s">
        <v>74</v>
      </c>
      <c r="BR70" t="s">
        <v>99</v>
      </c>
      <c r="BS70" t="s">
        <v>1446</v>
      </c>
      <c r="BT70" t="str">
        <f>HYPERLINK("https%3A%2F%2Fwww.webofscience.com%2Fwos%2Fwoscc%2Ffull-record%2FWOS:001061458300004","View Full Record in Web of Science")</f>
        <v>View Full Record in Web of Science</v>
      </c>
    </row>
    <row r="71" spans="1:72" x14ac:dyDescent="0.15">
      <c r="A71" t="s">
        <v>72</v>
      </c>
      <c r="B71" t="s">
        <v>1447</v>
      </c>
      <c r="C71" t="s">
        <v>74</v>
      </c>
      <c r="D71" t="s">
        <v>74</v>
      </c>
      <c r="E71" t="s">
        <v>74</v>
      </c>
      <c r="F71" t="s">
        <v>1448</v>
      </c>
      <c r="G71" t="s">
        <v>74</v>
      </c>
      <c r="H71" t="s">
        <v>74</v>
      </c>
      <c r="I71" t="s">
        <v>1449</v>
      </c>
      <c r="J71" t="s">
        <v>1450</v>
      </c>
      <c r="K71" t="s">
        <v>74</v>
      </c>
      <c r="L71" t="s">
        <v>74</v>
      </c>
      <c r="M71" t="s">
        <v>78</v>
      </c>
      <c r="N71" t="s">
        <v>79</v>
      </c>
      <c r="O71" t="s">
        <v>74</v>
      </c>
      <c r="P71" t="s">
        <v>74</v>
      </c>
      <c r="Q71" t="s">
        <v>74</v>
      </c>
      <c r="R71" t="s">
        <v>74</v>
      </c>
      <c r="S71" t="s">
        <v>74</v>
      </c>
      <c r="T71" t="s">
        <v>1451</v>
      </c>
      <c r="U71" t="s">
        <v>1452</v>
      </c>
      <c r="V71" t="s">
        <v>1453</v>
      </c>
      <c r="W71" t="s">
        <v>1454</v>
      </c>
      <c r="X71" t="s">
        <v>1455</v>
      </c>
      <c r="Y71" t="s">
        <v>1456</v>
      </c>
      <c r="Z71" t="s">
        <v>1457</v>
      </c>
      <c r="AA71" t="s">
        <v>74</v>
      </c>
      <c r="AB71" t="s">
        <v>74</v>
      </c>
      <c r="AC71" t="s">
        <v>1458</v>
      </c>
      <c r="AD71" t="s">
        <v>1458</v>
      </c>
      <c r="AE71" t="s">
        <v>1458</v>
      </c>
      <c r="AF71" t="s">
        <v>74</v>
      </c>
      <c r="AG71">
        <v>19</v>
      </c>
      <c r="AH71">
        <v>0</v>
      </c>
      <c r="AI71">
        <v>0</v>
      </c>
      <c r="AJ71">
        <v>0</v>
      </c>
      <c r="AK71">
        <v>0</v>
      </c>
      <c r="AL71" t="s">
        <v>844</v>
      </c>
      <c r="AM71" t="s">
        <v>845</v>
      </c>
      <c r="AN71" t="s">
        <v>933</v>
      </c>
      <c r="AO71" t="s">
        <v>1459</v>
      </c>
      <c r="AP71" t="s">
        <v>1460</v>
      </c>
      <c r="AQ71" t="s">
        <v>74</v>
      </c>
      <c r="AR71" t="s">
        <v>1461</v>
      </c>
      <c r="AS71" t="s">
        <v>1462</v>
      </c>
      <c r="AT71" t="s">
        <v>1275</v>
      </c>
      <c r="AU71">
        <v>2023</v>
      </c>
      <c r="AV71">
        <v>49</v>
      </c>
      <c r="AW71">
        <v>5</v>
      </c>
      <c r="AX71" t="s">
        <v>74</v>
      </c>
      <c r="AY71" t="s">
        <v>74</v>
      </c>
      <c r="AZ71" t="s">
        <v>74</v>
      </c>
      <c r="BA71" t="s">
        <v>74</v>
      </c>
      <c r="BB71" t="s">
        <v>74</v>
      </c>
      <c r="BC71" t="s">
        <v>74</v>
      </c>
      <c r="BD71">
        <v>66</v>
      </c>
      <c r="BE71" t="s">
        <v>1463</v>
      </c>
      <c r="BF71" t="str">
        <f>HYPERLINK("http://dx.doi.org/10.1007/s41980-023-00812-5","http://dx.doi.org/10.1007/s41980-023-00812-5")</f>
        <v>http://dx.doi.org/10.1007/s41980-023-00812-5</v>
      </c>
      <c r="BG71" t="s">
        <v>74</v>
      </c>
      <c r="BH71" t="s">
        <v>74</v>
      </c>
      <c r="BI71">
        <v>9</v>
      </c>
      <c r="BJ71" t="s">
        <v>228</v>
      </c>
      <c r="BK71" t="s">
        <v>126</v>
      </c>
      <c r="BL71" t="s">
        <v>228</v>
      </c>
      <c r="BM71" t="s">
        <v>1464</v>
      </c>
      <c r="BN71" t="s">
        <v>74</v>
      </c>
      <c r="BO71" t="s">
        <v>74</v>
      </c>
      <c r="BP71" t="s">
        <v>74</v>
      </c>
      <c r="BQ71" t="s">
        <v>74</v>
      </c>
      <c r="BR71" t="s">
        <v>99</v>
      </c>
      <c r="BS71" t="s">
        <v>1465</v>
      </c>
      <c r="BT71" t="str">
        <f>HYPERLINK("https%3A%2F%2Fwww.webofscience.com%2Fwos%2Fwoscc%2Ffull-record%2FWOS:001069118600001","View Full Record in Web of Science")</f>
        <v>View Full Record in Web of Science</v>
      </c>
    </row>
    <row r="72" spans="1:72" x14ac:dyDescent="0.15">
      <c r="A72" t="s">
        <v>72</v>
      </c>
      <c r="B72" t="s">
        <v>1466</v>
      </c>
      <c r="C72" t="s">
        <v>74</v>
      </c>
      <c r="D72" t="s">
        <v>74</v>
      </c>
      <c r="E72" t="s">
        <v>74</v>
      </c>
      <c r="F72" t="s">
        <v>1467</v>
      </c>
      <c r="G72" t="s">
        <v>74</v>
      </c>
      <c r="H72" t="s">
        <v>74</v>
      </c>
      <c r="I72" t="s">
        <v>1468</v>
      </c>
      <c r="J72" t="s">
        <v>1469</v>
      </c>
      <c r="K72" t="s">
        <v>74</v>
      </c>
      <c r="L72" t="s">
        <v>74</v>
      </c>
      <c r="M72" t="s">
        <v>78</v>
      </c>
      <c r="N72" t="s">
        <v>79</v>
      </c>
      <c r="O72" t="s">
        <v>74</v>
      </c>
      <c r="P72" t="s">
        <v>74</v>
      </c>
      <c r="Q72" t="s">
        <v>74</v>
      </c>
      <c r="R72" t="s">
        <v>74</v>
      </c>
      <c r="S72" t="s">
        <v>74</v>
      </c>
      <c r="T72" t="s">
        <v>1470</v>
      </c>
      <c r="U72" t="s">
        <v>1471</v>
      </c>
      <c r="V72" t="s">
        <v>1472</v>
      </c>
      <c r="W72" t="s">
        <v>1473</v>
      </c>
      <c r="X72" t="s">
        <v>1474</v>
      </c>
      <c r="Y72" t="s">
        <v>1475</v>
      </c>
      <c r="Z72" t="s">
        <v>1476</v>
      </c>
      <c r="AA72" t="s">
        <v>74</v>
      </c>
      <c r="AB72" t="s">
        <v>74</v>
      </c>
      <c r="AC72" t="s">
        <v>1477</v>
      </c>
      <c r="AD72" t="s">
        <v>1478</v>
      </c>
      <c r="AE72" t="s">
        <v>1479</v>
      </c>
      <c r="AF72" t="s">
        <v>74</v>
      </c>
      <c r="AG72">
        <v>35</v>
      </c>
      <c r="AH72">
        <v>0</v>
      </c>
      <c r="AI72">
        <v>0</v>
      </c>
      <c r="AJ72">
        <v>0</v>
      </c>
      <c r="AK72">
        <v>0</v>
      </c>
      <c r="AL72" t="s">
        <v>172</v>
      </c>
      <c r="AM72" t="s">
        <v>173</v>
      </c>
      <c r="AN72" t="s">
        <v>174</v>
      </c>
      <c r="AO72" t="s">
        <v>1480</v>
      </c>
      <c r="AP72" t="s">
        <v>1481</v>
      </c>
      <c r="AQ72" t="s">
        <v>74</v>
      </c>
      <c r="AR72" t="s">
        <v>1482</v>
      </c>
      <c r="AS72" t="s">
        <v>1483</v>
      </c>
      <c r="AT72" t="s">
        <v>1275</v>
      </c>
      <c r="AU72">
        <v>2023</v>
      </c>
      <c r="AV72">
        <v>27</v>
      </c>
      <c r="AW72">
        <v>4</v>
      </c>
      <c r="AX72" t="s">
        <v>74</v>
      </c>
      <c r="AY72" t="s">
        <v>74</v>
      </c>
      <c r="AZ72" t="s">
        <v>74</v>
      </c>
      <c r="BA72" t="s">
        <v>74</v>
      </c>
      <c r="BB72" t="s">
        <v>74</v>
      </c>
      <c r="BC72" t="s">
        <v>74</v>
      </c>
      <c r="BD72">
        <v>177</v>
      </c>
      <c r="BE72" t="s">
        <v>1484</v>
      </c>
      <c r="BF72" t="str">
        <f>HYPERLINK("http://dx.doi.org/10.1007/s10291-023-01516-3","http://dx.doi.org/10.1007/s10291-023-01516-3")</f>
        <v>http://dx.doi.org/10.1007/s10291-023-01516-3</v>
      </c>
      <c r="BG72" t="s">
        <v>74</v>
      </c>
      <c r="BH72" t="s">
        <v>74</v>
      </c>
      <c r="BI72">
        <v>14</v>
      </c>
      <c r="BJ72" t="s">
        <v>1485</v>
      </c>
      <c r="BK72" t="s">
        <v>126</v>
      </c>
      <c r="BL72" t="s">
        <v>1485</v>
      </c>
      <c r="BM72" t="s">
        <v>1486</v>
      </c>
      <c r="BN72" t="s">
        <v>74</v>
      </c>
      <c r="BO72" t="s">
        <v>74</v>
      </c>
      <c r="BP72" t="s">
        <v>74</v>
      </c>
      <c r="BQ72" t="s">
        <v>74</v>
      </c>
      <c r="BR72" t="s">
        <v>99</v>
      </c>
      <c r="BS72" t="s">
        <v>1487</v>
      </c>
      <c r="BT72" t="str">
        <f>HYPERLINK("https%3A%2F%2Fwww.webofscience.com%2Fwos%2Fwoscc%2Ffull-record%2FWOS:001036788800001","View Full Record in Web of Science")</f>
        <v>View Full Record in Web of Science</v>
      </c>
    </row>
    <row r="73" spans="1:72" x14ac:dyDescent="0.15">
      <c r="A73" t="s">
        <v>72</v>
      </c>
      <c r="B73" t="s">
        <v>1488</v>
      </c>
      <c r="C73" t="s">
        <v>74</v>
      </c>
      <c r="D73" t="s">
        <v>74</v>
      </c>
      <c r="E73" t="s">
        <v>74</v>
      </c>
      <c r="F73" t="s">
        <v>1489</v>
      </c>
      <c r="G73" t="s">
        <v>74</v>
      </c>
      <c r="H73" t="s">
        <v>74</v>
      </c>
      <c r="I73" t="s">
        <v>1490</v>
      </c>
      <c r="J73" t="s">
        <v>1491</v>
      </c>
      <c r="K73" t="s">
        <v>74</v>
      </c>
      <c r="L73" t="s">
        <v>74</v>
      </c>
      <c r="M73" t="s">
        <v>78</v>
      </c>
      <c r="N73" t="s">
        <v>79</v>
      </c>
      <c r="O73" t="s">
        <v>74</v>
      </c>
      <c r="P73" t="s">
        <v>74</v>
      </c>
      <c r="Q73" t="s">
        <v>74</v>
      </c>
      <c r="R73" t="s">
        <v>74</v>
      </c>
      <c r="S73" t="s">
        <v>74</v>
      </c>
      <c r="T73" t="s">
        <v>1492</v>
      </c>
      <c r="U73" t="s">
        <v>74</v>
      </c>
      <c r="V73" t="s">
        <v>1493</v>
      </c>
      <c r="W73" t="s">
        <v>1494</v>
      </c>
      <c r="X73" t="s">
        <v>1495</v>
      </c>
      <c r="Y73" t="s">
        <v>1496</v>
      </c>
      <c r="Z73" t="s">
        <v>1497</v>
      </c>
      <c r="AA73" t="s">
        <v>74</v>
      </c>
      <c r="AB73" t="s">
        <v>74</v>
      </c>
      <c r="AC73" t="s">
        <v>1498</v>
      </c>
      <c r="AD73" t="s">
        <v>1498</v>
      </c>
      <c r="AE73" t="s">
        <v>1499</v>
      </c>
      <c r="AF73" t="s">
        <v>74</v>
      </c>
      <c r="AG73">
        <v>39</v>
      </c>
      <c r="AH73">
        <v>0</v>
      </c>
      <c r="AI73">
        <v>0</v>
      </c>
      <c r="AJ73">
        <v>0</v>
      </c>
      <c r="AK73">
        <v>0</v>
      </c>
      <c r="AL73" t="s">
        <v>1500</v>
      </c>
      <c r="AM73" t="s">
        <v>1501</v>
      </c>
      <c r="AN73" t="s">
        <v>1502</v>
      </c>
      <c r="AO73" t="s">
        <v>1503</v>
      </c>
      <c r="AP73" t="s">
        <v>1504</v>
      </c>
      <c r="AQ73" t="s">
        <v>74</v>
      </c>
      <c r="AR73" t="s">
        <v>1505</v>
      </c>
      <c r="AS73" t="s">
        <v>1506</v>
      </c>
      <c r="AT73" t="s">
        <v>1275</v>
      </c>
      <c r="AU73">
        <v>2023</v>
      </c>
      <c r="AV73">
        <v>19</v>
      </c>
      <c r="AW73">
        <v>4</v>
      </c>
      <c r="AX73" t="s">
        <v>74</v>
      </c>
      <c r="AY73" t="s">
        <v>74</v>
      </c>
      <c r="AZ73" t="s">
        <v>74</v>
      </c>
      <c r="BA73" t="s">
        <v>74</v>
      </c>
      <c r="BB73">
        <v>661</v>
      </c>
      <c r="BC73">
        <v>672</v>
      </c>
      <c r="BD73" t="s">
        <v>74</v>
      </c>
      <c r="BE73" t="s">
        <v>1507</v>
      </c>
      <c r="BF73" t="str">
        <f>HYPERLINK("http://dx.doi.org/10.1007/s11355-023-00571-9","http://dx.doi.org/10.1007/s11355-023-00571-9")</f>
        <v>http://dx.doi.org/10.1007/s11355-023-00571-9</v>
      </c>
      <c r="BG73" t="s">
        <v>74</v>
      </c>
      <c r="BH73" t="s">
        <v>74</v>
      </c>
      <c r="BI73">
        <v>12</v>
      </c>
      <c r="BJ73" t="s">
        <v>1508</v>
      </c>
      <c r="BK73" t="s">
        <v>126</v>
      </c>
      <c r="BL73" t="s">
        <v>1509</v>
      </c>
      <c r="BM73" t="s">
        <v>1510</v>
      </c>
      <c r="BN73" t="s">
        <v>74</v>
      </c>
      <c r="BO73" t="s">
        <v>74</v>
      </c>
      <c r="BP73" t="s">
        <v>74</v>
      </c>
      <c r="BQ73" t="s">
        <v>74</v>
      </c>
      <c r="BR73" t="s">
        <v>99</v>
      </c>
      <c r="BS73" t="s">
        <v>1511</v>
      </c>
      <c r="BT73" t="str">
        <f>HYPERLINK("https%3A%2F%2Fwww.webofscience.com%2Fwos%2Fwoscc%2Ffull-record%2FWOS:001072578500008","View Full Record in Web of Science")</f>
        <v>View Full Record in Web of Science</v>
      </c>
    </row>
    <row r="74" spans="1:72" x14ac:dyDescent="0.15">
      <c r="A74" t="s">
        <v>72</v>
      </c>
      <c r="B74" t="s">
        <v>1512</v>
      </c>
      <c r="C74" t="s">
        <v>74</v>
      </c>
      <c r="D74" t="s">
        <v>74</v>
      </c>
      <c r="E74" t="s">
        <v>74</v>
      </c>
      <c r="F74" t="s">
        <v>1513</v>
      </c>
      <c r="G74" t="s">
        <v>74</v>
      </c>
      <c r="H74" t="s">
        <v>74</v>
      </c>
      <c r="I74" t="s">
        <v>1514</v>
      </c>
      <c r="J74" t="s">
        <v>505</v>
      </c>
      <c r="K74" t="s">
        <v>74</v>
      </c>
      <c r="L74" t="s">
        <v>74</v>
      </c>
      <c r="M74" t="s">
        <v>78</v>
      </c>
      <c r="N74" t="s">
        <v>79</v>
      </c>
      <c r="O74" t="s">
        <v>74</v>
      </c>
      <c r="P74" t="s">
        <v>74</v>
      </c>
      <c r="Q74" t="s">
        <v>74</v>
      </c>
      <c r="R74" t="s">
        <v>74</v>
      </c>
      <c r="S74" t="s">
        <v>74</v>
      </c>
      <c r="T74" t="s">
        <v>1515</v>
      </c>
      <c r="U74" t="s">
        <v>1516</v>
      </c>
      <c r="V74" t="s">
        <v>1517</v>
      </c>
      <c r="W74" t="s">
        <v>1518</v>
      </c>
      <c r="X74" t="s">
        <v>1519</v>
      </c>
      <c r="Y74" t="s">
        <v>1520</v>
      </c>
      <c r="Z74" t="s">
        <v>1521</v>
      </c>
      <c r="AA74" t="s">
        <v>74</v>
      </c>
      <c r="AB74" t="s">
        <v>74</v>
      </c>
      <c r="AC74" t="s">
        <v>1522</v>
      </c>
      <c r="AD74" t="s">
        <v>1523</v>
      </c>
      <c r="AE74" t="s">
        <v>1524</v>
      </c>
      <c r="AF74" t="s">
        <v>74</v>
      </c>
      <c r="AG74">
        <v>20</v>
      </c>
      <c r="AH74">
        <v>0</v>
      </c>
      <c r="AI74">
        <v>0</v>
      </c>
      <c r="AJ74">
        <v>1</v>
      </c>
      <c r="AK74">
        <v>1</v>
      </c>
      <c r="AL74" t="s">
        <v>219</v>
      </c>
      <c r="AM74" t="s">
        <v>220</v>
      </c>
      <c r="AN74" t="s">
        <v>221</v>
      </c>
      <c r="AO74" t="s">
        <v>511</v>
      </c>
      <c r="AP74" t="s">
        <v>512</v>
      </c>
      <c r="AQ74" t="s">
        <v>74</v>
      </c>
      <c r="AR74" t="s">
        <v>513</v>
      </c>
      <c r="AS74" t="s">
        <v>514</v>
      </c>
      <c r="AT74" t="s">
        <v>1275</v>
      </c>
      <c r="AU74">
        <v>2023</v>
      </c>
      <c r="AV74">
        <v>78</v>
      </c>
      <c r="AW74">
        <v>5</v>
      </c>
      <c r="AX74" t="s">
        <v>74</v>
      </c>
      <c r="AY74" t="s">
        <v>74</v>
      </c>
      <c r="AZ74" t="s">
        <v>74</v>
      </c>
      <c r="BA74" t="s">
        <v>74</v>
      </c>
      <c r="BB74" t="s">
        <v>74</v>
      </c>
      <c r="BC74" t="s">
        <v>74</v>
      </c>
      <c r="BD74">
        <v>196</v>
      </c>
      <c r="BE74" t="s">
        <v>1525</v>
      </c>
      <c r="BF74" t="str">
        <f>HYPERLINK("http://dx.doi.org/10.1007/s00025-023-01970-y","http://dx.doi.org/10.1007/s00025-023-01970-y")</f>
        <v>http://dx.doi.org/10.1007/s00025-023-01970-y</v>
      </c>
      <c r="BG74" t="s">
        <v>74</v>
      </c>
      <c r="BH74" t="s">
        <v>74</v>
      </c>
      <c r="BI74">
        <v>16</v>
      </c>
      <c r="BJ74" t="s">
        <v>227</v>
      </c>
      <c r="BK74" t="s">
        <v>126</v>
      </c>
      <c r="BL74" t="s">
        <v>228</v>
      </c>
      <c r="BM74" t="s">
        <v>1526</v>
      </c>
      <c r="BN74" t="s">
        <v>74</v>
      </c>
      <c r="BO74" t="s">
        <v>1328</v>
      </c>
      <c r="BP74" t="s">
        <v>74</v>
      </c>
      <c r="BQ74" t="s">
        <v>74</v>
      </c>
      <c r="BR74" t="s">
        <v>99</v>
      </c>
      <c r="BS74" t="s">
        <v>1527</v>
      </c>
      <c r="BT74" t="str">
        <f>HYPERLINK("https%3A%2F%2Fwww.webofscience.com%2Fwos%2Fwoscc%2Ffull-record%2FWOS:001040969200002","View Full Record in Web of Science")</f>
        <v>View Full Record in Web of Science</v>
      </c>
    </row>
    <row r="75" spans="1:72" x14ac:dyDescent="0.15">
      <c r="A75" t="s">
        <v>72</v>
      </c>
      <c r="B75" t="s">
        <v>1528</v>
      </c>
      <c r="C75" t="s">
        <v>74</v>
      </c>
      <c r="D75" t="s">
        <v>74</v>
      </c>
      <c r="E75" t="s">
        <v>74</v>
      </c>
      <c r="F75" t="s">
        <v>1529</v>
      </c>
      <c r="G75" t="s">
        <v>74</v>
      </c>
      <c r="H75" t="s">
        <v>74</v>
      </c>
      <c r="I75" t="s">
        <v>1530</v>
      </c>
      <c r="J75" t="s">
        <v>1531</v>
      </c>
      <c r="K75" t="s">
        <v>74</v>
      </c>
      <c r="L75" t="s">
        <v>74</v>
      </c>
      <c r="M75" t="s">
        <v>78</v>
      </c>
      <c r="N75" t="s">
        <v>79</v>
      </c>
      <c r="O75" t="s">
        <v>74</v>
      </c>
      <c r="P75" t="s">
        <v>74</v>
      </c>
      <c r="Q75" t="s">
        <v>74</v>
      </c>
      <c r="R75" t="s">
        <v>74</v>
      </c>
      <c r="S75" t="s">
        <v>74</v>
      </c>
      <c r="T75" t="s">
        <v>74</v>
      </c>
      <c r="U75" t="s">
        <v>1532</v>
      </c>
      <c r="V75" t="s">
        <v>1533</v>
      </c>
      <c r="W75" t="s">
        <v>1534</v>
      </c>
      <c r="X75" t="s">
        <v>1535</v>
      </c>
      <c r="Y75" t="s">
        <v>1536</v>
      </c>
      <c r="Z75" t="s">
        <v>1537</v>
      </c>
      <c r="AA75" t="s">
        <v>74</v>
      </c>
      <c r="AB75" t="s">
        <v>74</v>
      </c>
      <c r="AC75" t="s">
        <v>1538</v>
      </c>
      <c r="AD75" t="s">
        <v>1539</v>
      </c>
      <c r="AE75" t="s">
        <v>1540</v>
      </c>
      <c r="AF75" t="s">
        <v>74</v>
      </c>
      <c r="AG75">
        <v>26</v>
      </c>
      <c r="AH75">
        <v>0</v>
      </c>
      <c r="AI75">
        <v>0</v>
      </c>
      <c r="AJ75">
        <v>0</v>
      </c>
      <c r="AK75">
        <v>0</v>
      </c>
      <c r="AL75" t="s">
        <v>172</v>
      </c>
      <c r="AM75" t="s">
        <v>173</v>
      </c>
      <c r="AN75" t="s">
        <v>174</v>
      </c>
      <c r="AO75" t="s">
        <v>1541</v>
      </c>
      <c r="AP75" t="s">
        <v>1542</v>
      </c>
      <c r="AQ75" t="s">
        <v>74</v>
      </c>
      <c r="AR75" t="s">
        <v>1543</v>
      </c>
      <c r="AS75" t="s">
        <v>1544</v>
      </c>
      <c r="AT75" t="s">
        <v>1275</v>
      </c>
      <c r="AU75">
        <v>2023</v>
      </c>
      <c r="AV75">
        <v>129</v>
      </c>
      <c r="AW75">
        <v>10</v>
      </c>
      <c r="AX75" t="s">
        <v>74</v>
      </c>
      <c r="AY75" t="s">
        <v>74</v>
      </c>
      <c r="AZ75" t="s">
        <v>74</v>
      </c>
      <c r="BA75" t="s">
        <v>74</v>
      </c>
      <c r="BB75" t="s">
        <v>74</v>
      </c>
      <c r="BC75" t="s">
        <v>74</v>
      </c>
      <c r="BD75">
        <v>155</v>
      </c>
      <c r="BE75" t="s">
        <v>1545</v>
      </c>
      <c r="BF75" t="str">
        <f>HYPERLINK("http://dx.doi.org/10.1007/s00340-023-08095-8","http://dx.doi.org/10.1007/s00340-023-08095-8")</f>
        <v>http://dx.doi.org/10.1007/s00340-023-08095-8</v>
      </c>
      <c r="BG75" t="s">
        <v>74</v>
      </c>
      <c r="BH75" t="s">
        <v>74</v>
      </c>
      <c r="BI75">
        <v>8</v>
      </c>
      <c r="BJ75" t="s">
        <v>1546</v>
      </c>
      <c r="BK75" t="s">
        <v>126</v>
      </c>
      <c r="BL75" t="s">
        <v>1547</v>
      </c>
      <c r="BM75" t="s">
        <v>1548</v>
      </c>
      <c r="BN75" t="s">
        <v>74</v>
      </c>
      <c r="BO75" t="s">
        <v>74</v>
      </c>
      <c r="BP75" t="s">
        <v>74</v>
      </c>
      <c r="BQ75" t="s">
        <v>74</v>
      </c>
      <c r="BR75" t="s">
        <v>99</v>
      </c>
      <c r="BS75" t="s">
        <v>1549</v>
      </c>
      <c r="BT75" t="str">
        <f>HYPERLINK("https%3A%2F%2Fwww.webofscience.com%2Fwos%2Fwoscc%2Ffull-record%2FWOS:001070872800001","View Full Record in Web of Science")</f>
        <v>View Full Record in Web of Science</v>
      </c>
    </row>
    <row r="76" spans="1:72" x14ac:dyDescent="0.15">
      <c r="A76" t="s">
        <v>72</v>
      </c>
      <c r="B76" t="s">
        <v>1550</v>
      </c>
      <c r="C76" t="s">
        <v>74</v>
      </c>
      <c r="D76" t="s">
        <v>74</v>
      </c>
      <c r="E76" t="s">
        <v>74</v>
      </c>
      <c r="F76" t="s">
        <v>1551</v>
      </c>
      <c r="G76" t="s">
        <v>74</v>
      </c>
      <c r="H76" t="s">
        <v>74</v>
      </c>
      <c r="I76" t="s">
        <v>1552</v>
      </c>
      <c r="J76" t="s">
        <v>1553</v>
      </c>
      <c r="K76" t="s">
        <v>74</v>
      </c>
      <c r="L76" t="s">
        <v>74</v>
      </c>
      <c r="M76" t="s">
        <v>78</v>
      </c>
      <c r="N76" t="s">
        <v>79</v>
      </c>
      <c r="O76" t="s">
        <v>74</v>
      </c>
      <c r="P76" t="s">
        <v>74</v>
      </c>
      <c r="Q76" t="s">
        <v>74</v>
      </c>
      <c r="R76" t="s">
        <v>74</v>
      </c>
      <c r="S76" t="s">
        <v>74</v>
      </c>
      <c r="T76" t="s">
        <v>1554</v>
      </c>
      <c r="U76" t="s">
        <v>1555</v>
      </c>
      <c r="V76" t="s">
        <v>1556</v>
      </c>
      <c r="W76" t="s">
        <v>1557</v>
      </c>
      <c r="X76" t="s">
        <v>1558</v>
      </c>
      <c r="Y76" t="s">
        <v>1559</v>
      </c>
      <c r="Z76" t="s">
        <v>1560</v>
      </c>
      <c r="AA76" t="s">
        <v>74</v>
      </c>
      <c r="AB76" t="s">
        <v>74</v>
      </c>
      <c r="AC76" t="s">
        <v>1561</v>
      </c>
      <c r="AD76" t="s">
        <v>1562</v>
      </c>
      <c r="AE76" t="s">
        <v>1561</v>
      </c>
      <c r="AF76" t="s">
        <v>74</v>
      </c>
      <c r="AG76">
        <v>36</v>
      </c>
      <c r="AH76">
        <v>0</v>
      </c>
      <c r="AI76">
        <v>0</v>
      </c>
      <c r="AJ76">
        <v>0</v>
      </c>
      <c r="AK76">
        <v>0</v>
      </c>
      <c r="AL76" t="s">
        <v>117</v>
      </c>
      <c r="AM76" t="s">
        <v>627</v>
      </c>
      <c r="AN76" t="s">
        <v>628</v>
      </c>
      <c r="AO76" t="s">
        <v>1563</v>
      </c>
      <c r="AP76" t="s">
        <v>1564</v>
      </c>
      <c r="AQ76" t="s">
        <v>74</v>
      </c>
      <c r="AR76" t="s">
        <v>1565</v>
      </c>
      <c r="AS76" t="s">
        <v>1566</v>
      </c>
      <c r="AT76" t="s">
        <v>1275</v>
      </c>
      <c r="AU76">
        <v>2023</v>
      </c>
      <c r="AV76">
        <v>30</v>
      </c>
      <c r="AW76">
        <v>10</v>
      </c>
      <c r="AX76" t="s">
        <v>74</v>
      </c>
      <c r="AY76" t="s">
        <v>74</v>
      </c>
      <c r="AZ76" t="s">
        <v>74</v>
      </c>
      <c r="BA76" t="s">
        <v>74</v>
      </c>
      <c r="BB76" t="s">
        <v>74</v>
      </c>
      <c r="BC76" t="s">
        <v>74</v>
      </c>
      <c r="BD76">
        <v>385</v>
      </c>
      <c r="BE76" t="s">
        <v>1567</v>
      </c>
      <c r="BF76" t="str">
        <f>HYPERLINK("http://dx.doi.org/10.1007/s10965-023-03776-6","http://dx.doi.org/10.1007/s10965-023-03776-6")</f>
        <v>http://dx.doi.org/10.1007/s10965-023-03776-6</v>
      </c>
      <c r="BG76" t="s">
        <v>74</v>
      </c>
      <c r="BH76" t="s">
        <v>74</v>
      </c>
      <c r="BI76">
        <v>15</v>
      </c>
      <c r="BJ76" t="s">
        <v>1568</v>
      </c>
      <c r="BK76" t="s">
        <v>126</v>
      </c>
      <c r="BL76" t="s">
        <v>1568</v>
      </c>
      <c r="BM76" t="s">
        <v>1569</v>
      </c>
      <c r="BN76" t="s">
        <v>74</v>
      </c>
      <c r="BO76" t="s">
        <v>74</v>
      </c>
      <c r="BP76" t="s">
        <v>74</v>
      </c>
      <c r="BQ76" t="s">
        <v>74</v>
      </c>
      <c r="BR76" t="s">
        <v>99</v>
      </c>
      <c r="BS76" t="s">
        <v>1570</v>
      </c>
      <c r="BT76" t="str">
        <f>HYPERLINK("https%3A%2F%2Fwww.webofscience.com%2Fwos%2Fwoscc%2Ffull-record%2FWOS:001072174700002","View Full Record in Web of Science")</f>
        <v>View Full Record in Web of Science</v>
      </c>
    </row>
    <row r="77" spans="1:72" x14ac:dyDescent="0.15">
      <c r="A77" t="s">
        <v>72</v>
      </c>
      <c r="B77" t="s">
        <v>1571</v>
      </c>
      <c r="C77" t="s">
        <v>74</v>
      </c>
      <c r="D77" t="s">
        <v>74</v>
      </c>
      <c r="E77" t="s">
        <v>74</v>
      </c>
      <c r="F77" t="s">
        <v>1572</v>
      </c>
      <c r="G77" t="s">
        <v>74</v>
      </c>
      <c r="H77" t="s">
        <v>74</v>
      </c>
      <c r="I77" t="s">
        <v>1573</v>
      </c>
      <c r="J77" t="s">
        <v>1574</v>
      </c>
      <c r="K77" t="s">
        <v>74</v>
      </c>
      <c r="L77" t="s">
        <v>74</v>
      </c>
      <c r="M77" t="s">
        <v>78</v>
      </c>
      <c r="N77" t="s">
        <v>79</v>
      </c>
      <c r="O77" t="s">
        <v>74</v>
      </c>
      <c r="P77" t="s">
        <v>74</v>
      </c>
      <c r="Q77" t="s">
        <v>74</v>
      </c>
      <c r="R77" t="s">
        <v>74</v>
      </c>
      <c r="S77" t="s">
        <v>74</v>
      </c>
      <c r="T77" t="s">
        <v>1575</v>
      </c>
      <c r="U77" t="s">
        <v>1576</v>
      </c>
      <c r="V77" t="s">
        <v>1577</v>
      </c>
      <c r="W77" t="s">
        <v>1578</v>
      </c>
      <c r="X77" t="s">
        <v>1579</v>
      </c>
      <c r="Y77" t="s">
        <v>1580</v>
      </c>
      <c r="Z77" t="s">
        <v>1581</v>
      </c>
      <c r="AA77" t="s">
        <v>74</v>
      </c>
      <c r="AB77" t="s">
        <v>1582</v>
      </c>
      <c r="AC77" t="s">
        <v>74</v>
      </c>
      <c r="AD77" t="s">
        <v>74</v>
      </c>
      <c r="AE77" t="s">
        <v>74</v>
      </c>
      <c r="AF77" t="s">
        <v>74</v>
      </c>
      <c r="AG77">
        <v>68</v>
      </c>
      <c r="AH77">
        <v>0</v>
      </c>
      <c r="AI77">
        <v>0</v>
      </c>
      <c r="AJ77">
        <v>2</v>
      </c>
      <c r="AK77">
        <v>2</v>
      </c>
      <c r="AL77" t="s">
        <v>219</v>
      </c>
      <c r="AM77" t="s">
        <v>220</v>
      </c>
      <c r="AN77" t="s">
        <v>221</v>
      </c>
      <c r="AO77" t="s">
        <v>1583</v>
      </c>
      <c r="AP77" t="s">
        <v>1584</v>
      </c>
      <c r="AQ77" t="s">
        <v>74</v>
      </c>
      <c r="AR77" t="s">
        <v>1585</v>
      </c>
      <c r="AS77" t="s">
        <v>1586</v>
      </c>
      <c r="AT77" t="s">
        <v>1275</v>
      </c>
      <c r="AU77">
        <v>2023</v>
      </c>
      <c r="AV77">
        <v>13</v>
      </c>
      <c r="AW77">
        <v>5</v>
      </c>
      <c r="AX77" t="s">
        <v>74</v>
      </c>
      <c r="AY77" t="s">
        <v>74</v>
      </c>
      <c r="AZ77" t="s">
        <v>74</v>
      </c>
      <c r="BA77" t="s">
        <v>74</v>
      </c>
      <c r="BB77" t="s">
        <v>74</v>
      </c>
      <c r="BC77" t="s">
        <v>74</v>
      </c>
      <c r="BD77">
        <v>67</v>
      </c>
      <c r="BE77" t="s">
        <v>1587</v>
      </c>
      <c r="BF77" t="str">
        <f>HYPERLINK("http://dx.doi.org/10.1007/s13324-023-00831-9","http://dx.doi.org/10.1007/s13324-023-00831-9")</f>
        <v>http://dx.doi.org/10.1007/s13324-023-00831-9</v>
      </c>
      <c r="BG77" t="s">
        <v>74</v>
      </c>
      <c r="BH77" t="s">
        <v>74</v>
      </c>
      <c r="BI77">
        <v>22</v>
      </c>
      <c r="BJ77" t="s">
        <v>227</v>
      </c>
      <c r="BK77" t="s">
        <v>126</v>
      </c>
      <c r="BL77" t="s">
        <v>228</v>
      </c>
      <c r="BM77" t="s">
        <v>1588</v>
      </c>
      <c r="BN77" t="s">
        <v>74</v>
      </c>
      <c r="BO77" t="s">
        <v>74</v>
      </c>
      <c r="BP77" t="s">
        <v>74</v>
      </c>
      <c r="BQ77" t="s">
        <v>74</v>
      </c>
      <c r="BR77" t="s">
        <v>99</v>
      </c>
      <c r="BS77" t="s">
        <v>1589</v>
      </c>
      <c r="BT77" t="str">
        <f>HYPERLINK("https%3A%2F%2Fwww.webofscience.com%2Fwos%2Fwoscc%2Ffull-record%2FWOS:001028721500001","View Full Record in Web of Science")</f>
        <v>View Full Record in Web of Science</v>
      </c>
    </row>
    <row r="78" spans="1:72" x14ac:dyDescent="0.15">
      <c r="A78" t="s">
        <v>72</v>
      </c>
      <c r="B78" t="s">
        <v>1590</v>
      </c>
      <c r="C78" t="s">
        <v>74</v>
      </c>
      <c r="D78" t="s">
        <v>74</v>
      </c>
      <c r="E78" t="s">
        <v>74</v>
      </c>
      <c r="F78" t="s">
        <v>1591</v>
      </c>
      <c r="G78" t="s">
        <v>74</v>
      </c>
      <c r="H78" t="s">
        <v>74</v>
      </c>
      <c r="I78" t="s">
        <v>1592</v>
      </c>
      <c r="J78" t="s">
        <v>1469</v>
      </c>
      <c r="K78" t="s">
        <v>74</v>
      </c>
      <c r="L78" t="s">
        <v>74</v>
      </c>
      <c r="M78" t="s">
        <v>78</v>
      </c>
      <c r="N78" t="s">
        <v>79</v>
      </c>
      <c r="O78" t="s">
        <v>74</v>
      </c>
      <c r="P78" t="s">
        <v>74</v>
      </c>
      <c r="Q78" t="s">
        <v>74</v>
      </c>
      <c r="R78" t="s">
        <v>74</v>
      </c>
      <c r="S78" t="s">
        <v>74</v>
      </c>
      <c r="T78" t="s">
        <v>1593</v>
      </c>
      <c r="U78" t="s">
        <v>1594</v>
      </c>
      <c r="V78" t="s">
        <v>1595</v>
      </c>
      <c r="W78" t="s">
        <v>1596</v>
      </c>
      <c r="X78" t="s">
        <v>1597</v>
      </c>
      <c r="Y78" t="s">
        <v>1598</v>
      </c>
      <c r="Z78" t="s">
        <v>1599</v>
      </c>
      <c r="AA78" t="s">
        <v>74</v>
      </c>
      <c r="AB78" t="s">
        <v>74</v>
      </c>
      <c r="AC78" t="s">
        <v>1600</v>
      </c>
      <c r="AD78" t="s">
        <v>1601</v>
      </c>
      <c r="AE78" t="s">
        <v>1602</v>
      </c>
      <c r="AF78" t="s">
        <v>74</v>
      </c>
      <c r="AG78">
        <v>24</v>
      </c>
      <c r="AH78">
        <v>0</v>
      </c>
      <c r="AI78">
        <v>0</v>
      </c>
      <c r="AJ78">
        <v>0</v>
      </c>
      <c r="AK78">
        <v>0</v>
      </c>
      <c r="AL78" t="s">
        <v>172</v>
      </c>
      <c r="AM78" t="s">
        <v>173</v>
      </c>
      <c r="AN78" t="s">
        <v>174</v>
      </c>
      <c r="AO78" t="s">
        <v>1480</v>
      </c>
      <c r="AP78" t="s">
        <v>1481</v>
      </c>
      <c r="AQ78" t="s">
        <v>74</v>
      </c>
      <c r="AR78" t="s">
        <v>1482</v>
      </c>
      <c r="AS78" t="s">
        <v>1483</v>
      </c>
      <c r="AT78" t="s">
        <v>1275</v>
      </c>
      <c r="AU78">
        <v>2023</v>
      </c>
      <c r="AV78">
        <v>27</v>
      </c>
      <c r="AW78">
        <v>4</v>
      </c>
      <c r="AX78" t="s">
        <v>74</v>
      </c>
      <c r="AY78" t="s">
        <v>74</v>
      </c>
      <c r="AZ78" t="s">
        <v>74</v>
      </c>
      <c r="BA78" t="s">
        <v>74</v>
      </c>
      <c r="BB78" t="s">
        <v>74</v>
      </c>
      <c r="BC78" t="s">
        <v>74</v>
      </c>
      <c r="BD78">
        <v>184</v>
      </c>
      <c r="BE78" t="s">
        <v>1603</v>
      </c>
      <c r="BF78" t="str">
        <f>HYPERLINK("http://dx.doi.org/10.1007/s10291-023-01518-1","http://dx.doi.org/10.1007/s10291-023-01518-1")</f>
        <v>http://dx.doi.org/10.1007/s10291-023-01518-1</v>
      </c>
      <c r="BG78" t="s">
        <v>74</v>
      </c>
      <c r="BH78" t="s">
        <v>74</v>
      </c>
      <c r="BI78">
        <v>12</v>
      </c>
      <c r="BJ78" t="s">
        <v>1485</v>
      </c>
      <c r="BK78" t="s">
        <v>126</v>
      </c>
      <c r="BL78" t="s">
        <v>1485</v>
      </c>
      <c r="BM78" t="s">
        <v>1604</v>
      </c>
      <c r="BN78" t="s">
        <v>74</v>
      </c>
      <c r="BO78" t="s">
        <v>183</v>
      </c>
      <c r="BP78" t="s">
        <v>74</v>
      </c>
      <c r="BQ78" t="s">
        <v>74</v>
      </c>
      <c r="BR78" t="s">
        <v>99</v>
      </c>
      <c r="BS78" t="s">
        <v>1605</v>
      </c>
      <c r="BT78" t="str">
        <f>HYPERLINK("https%3A%2F%2Fwww.webofscience.com%2Fwos%2Fwoscc%2Ffull-record%2FWOS:001048663100001","View Full Record in Web of Science")</f>
        <v>View Full Record in Web of Science</v>
      </c>
    </row>
    <row r="79" spans="1:72" x14ac:dyDescent="0.15">
      <c r="A79" t="s">
        <v>72</v>
      </c>
      <c r="B79" t="s">
        <v>1606</v>
      </c>
      <c r="C79" t="s">
        <v>74</v>
      </c>
      <c r="D79" t="s">
        <v>74</v>
      </c>
      <c r="E79" t="s">
        <v>74</v>
      </c>
      <c r="F79" t="s">
        <v>1607</v>
      </c>
      <c r="G79" t="s">
        <v>74</v>
      </c>
      <c r="H79" t="s">
        <v>74</v>
      </c>
      <c r="I79" t="s">
        <v>1608</v>
      </c>
      <c r="J79" t="s">
        <v>814</v>
      </c>
      <c r="K79" t="s">
        <v>74</v>
      </c>
      <c r="L79" t="s">
        <v>74</v>
      </c>
      <c r="M79" t="s">
        <v>78</v>
      </c>
      <c r="N79" t="s">
        <v>79</v>
      </c>
      <c r="O79" t="s">
        <v>74</v>
      </c>
      <c r="P79" t="s">
        <v>74</v>
      </c>
      <c r="Q79" t="s">
        <v>74</v>
      </c>
      <c r="R79" t="s">
        <v>74</v>
      </c>
      <c r="S79" t="s">
        <v>74</v>
      </c>
      <c r="T79" t="s">
        <v>1609</v>
      </c>
      <c r="U79" t="s">
        <v>1610</v>
      </c>
      <c r="V79" t="s">
        <v>1611</v>
      </c>
      <c r="W79" t="s">
        <v>1612</v>
      </c>
      <c r="X79" t="s">
        <v>1613</v>
      </c>
      <c r="Y79" t="s">
        <v>1614</v>
      </c>
      <c r="Z79" t="s">
        <v>1615</v>
      </c>
      <c r="AA79" t="s">
        <v>74</v>
      </c>
      <c r="AB79" t="s">
        <v>1616</v>
      </c>
      <c r="AC79" t="s">
        <v>1617</v>
      </c>
      <c r="AD79" t="s">
        <v>1618</v>
      </c>
      <c r="AE79" t="s">
        <v>1619</v>
      </c>
      <c r="AF79" t="s">
        <v>74</v>
      </c>
      <c r="AG79">
        <v>57</v>
      </c>
      <c r="AH79">
        <v>1</v>
      </c>
      <c r="AI79">
        <v>1</v>
      </c>
      <c r="AJ79">
        <v>3</v>
      </c>
      <c r="AK79">
        <v>3</v>
      </c>
      <c r="AL79" t="s">
        <v>117</v>
      </c>
      <c r="AM79" t="s">
        <v>118</v>
      </c>
      <c r="AN79" t="s">
        <v>119</v>
      </c>
      <c r="AO79" t="s">
        <v>825</v>
      </c>
      <c r="AP79" t="s">
        <v>826</v>
      </c>
      <c r="AQ79" t="s">
        <v>74</v>
      </c>
      <c r="AR79" t="s">
        <v>827</v>
      </c>
      <c r="AS79" t="s">
        <v>828</v>
      </c>
      <c r="AT79" t="s">
        <v>1275</v>
      </c>
      <c r="AU79">
        <v>2023</v>
      </c>
      <c r="AV79">
        <v>88</v>
      </c>
      <c r="AW79">
        <v>2</v>
      </c>
      <c r="AX79" t="s">
        <v>74</v>
      </c>
      <c r="AY79" t="s">
        <v>74</v>
      </c>
      <c r="AZ79" t="s">
        <v>74</v>
      </c>
      <c r="BA79" t="s">
        <v>74</v>
      </c>
      <c r="BB79" t="s">
        <v>74</v>
      </c>
      <c r="BC79" t="s">
        <v>74</v>
      </c>
      <c r="BD79">
        <v>30</v>
      </c>
      <c r="BE79" t="s">
        <v>1620</v>
      </c>
      <c r="BF79" t="str">
        <f>HYPERLINK("http://dx.doi.org/10.1007/s00245-023-09983-3","http://dx.doi.org/10.1007/s00245-023-09983-3")</f>
        <v>http://dx.doi.org/10.1007/s00245-023-09983-3</v>
      </c>
      <c r="BG79" t="s">
        <v>74</v>
      </c>
      <c r="BH79" t="s">
        <v>74</v>
      </c>
      <c r="BI79">
        <v>44</v>
      </c>
      <c r="BJ79" t="s">
        <v>830</v>
      </c>
      <c r="BK79" t="s">
        <v>126</v>
      </c>
      <c r="BL79" t="s">
        <v>228</v>
      </c>
      <c r="BM79" t="s">
        <v>1621</v>
      </c>
      <c r="BN79" t="s">
        <v>74</v>
      </c>
      <c r="BO79" t="s">
        <v>1328</v>
      </c>
      <c r="BP79" t="s">
        <v>74</v>
      </c>
      <c r="BQ79" t="s">
        <v>74</v>
      </c>
      <c r="BR79" t="s">
        <v>99</v>
      </c>
      <c r="BS79" t="s">
        <v>1622</v>
      </c>
      <c r="BT79" t="str">
        <f>HYPERLINK("https%3A%2F%2Fwww.webofscience.com%2Fwos%2Fwoscc%2Ffull-record%2FWOS:001000297400011","View Full Record in Web of Science")</f>
        <v>View Full Record in Web of Science</v>
      </c>
    </row>
    <row r="80" spans="1:72" x14ac:dyDescent="0.15">
      <c r="A80" t="s">
        <v>72</v>
      </c>
      <c r="B80" t="s">
        <v>1623</v>
      </c>
      <c r="C80" t="s">
        <v>74</v>
      </c>
      <c r="D80" t="s">
        <v>74</v>
      </c>
      <c r="E80" t="s">
        <v>74</v>
      </c>
      <c r="F80" t="s">
        <v>1624</v>
      </c>
      <c r="G80" t="s">
        <v>74</v>
      </c>
      <c r="H80" t="s">
        <v>74</v>
      </c>
      <c r="I80" t="s">
        <v>1625</v>
      </c>
      <c r="J80" t="s">
        <v>505</v>
      </c>
      <c r="K80" t="s">
        <v>74</v>
      </c>
      <c r="L80" t="s">
        <v>74</v>
      </c>
      <c r="M80" t="s">
        <v>78</v>
      </c>
      <c r="N80" t="s">
        <v>79</v>
      </c>
      <c r="O80" t="s">
        <v>74</v>
      </c>
      <c r="P80" t="s">
        <v>74</v>
      </c>
      <c r="Q80" t="s">
        <v>74</v>
      </c>
      <c r="R80" t="s">
        <v>74</v>
      </c>
      <c r="S80" t="s">
        <v>74</v>
      </c>
      <c r="T80" t="s">
        <v>1626</v>
      </c>
      <c r="U80" t="s">
        <v>1627</v>
      </c>
      <c r="V80" t="s">
        <v>1628</v>
      </c>
      <c r="W80" t="s">
        <v>1629</v>
      </c>
      <c r="X80" t="s">
        <v>1630</v>
      </c>
      <c r="Y80" t="s">
        <v>1631</v>
      </c>
      <c r="Z80" t="s">
        <v>1632</v>
      </c>
      <c r="AA80" t="s">
        <v>74</v>
      </c>
      <c r="AB80" t="s">
        <v>74</v>
      </c>
      <c r="AC80" t="s">
        <v>1633</v>
      </c>
      <c r="AD80" t="s">
        <v>1634</v>
      </c>
      <c r="AE80" t="s">
        <v>1635</v>
      </c>
      <c r="AF80" t="s">
        <v>74</v>
      </c>
      <c r="AG80">
        <v>15</v>
      </c>
      <c r="AH80">
        <v>0</v>
      </c>
      <c r="AI80">
        <v>0</v>
      </c>
      <c r="AJ80">
        <v>0</v>
      </c>
      <c r="AK80">
        <v>0</v>
      </c>
      <c r="AL80" t="s">
        <v>219</v>
      </c>
      <c r="AM80" t="s">
        <v>220</v>
      </c>
      <c r="AN80" t="s">
        <v>221</v>
      </c>
      <c r="AO80" t="s">
        <v>511</v>
      </c>
      <c r="AP80" t="s">
        <v>512</v>
      </c>
      <c r="AQ80" t="s">
        <v>74</v>
      </c>
      <c r="AR80" t="s">
        <v>513</v>
      </c>
      <c r="AS80" t="s">
        <v>514</v>
      </c>
      <c r="AT80" t="s">
        <v>1275</v>
      </c>
      <c r="AU80">
        <v>2023</v>
      </c>
      <c r="AV80">
        <v>78</v>
      </c>
      <c r="AW80">
        <v>5</v>
      </c>
      <c r="AX80" t="s">
        <v>74</v>
      </c>
      <c r="AY80" t="s">
        <v>74</v>
      </c>
      <c r="AZ80" t="s">
        <v>74</v>
      </c>
      <c r="BA80" t="s">
        <v>74</v>
      </c>
      <c r="BB80" t="s">
        <v>74</v>
      </c>
      <c r="BC80" t="s">
        <v>74</v>
      </c>
      <c r="BD80">
        <v>177</v>
      </c>
      <c r="BE80" t="s">
        <v>1636</v>
      </c>
      <c r="BF80" t="str">
        <f>HYPERLINK("http://dx.doi.org/10.1007/s00025-023-01949-9","http://dx.doi.org/10.1007/s00025-023-01949-9")</f>
        <v>http://dx.doi.org/10.1007/s00025-023-01949-9</v>
      </c>
      <c r="BG80" t="s">
        <v>74</v>
      </c>
      <c r="BH80" t="s">
        <v>74</v>
      </c>
      <c r="BI80">
        <v>15</v>
      </c>
      <c r="BJ80" t="s">
        <v>227</v>
      </c>
      <c r="BK80" t="s">
        <v>126</v>
      </c>
      <c r="BL80" t="s">
        <v>228</v>
      </c>
      <c r="BM80" t="s">
        <v>1637</v>
      </c>
      <c r="BN80" t="s">
        <v>74</v>
      </c>
      <c r="BO80" t="s">
        <v>74</v>
      </c>
      <c r="BP80" t="s">
        <v>74</v>
      </c>
      <c r="BQ80" t="s">
        <v>74</v>
      </c>
      <c r="BR80" t="s">
        <v>99</v>
      </c>
      <c r="BS80" t="s">
        <v>1638</v>
      </c>
      <c r="BT80" t="str">
        <f>HYPERLINK("https%3A%2F%2Fwww.webofscience.com%2Fwos%2Fwoscc%2Ffull-record%2FWOS:001026086700001","View Full Record in Web of Science")</f>
        <v>View Full Record in Web of Science</v>
      </c>
    </row>
    <row r="81" spans="1:72" x14ac:dyDescent="0.15">
      <c r="A81" t="s">
        <v>72</v>
      </c>
      <c r="B81" t="s">
        <v>1639</v>
      </c>
      <c r="C81" t="s">
        <v>74</v>
      </c>
      <c r="D81" t="s">
        <v>74</v>
      </c>
      <c r="E81" t="s">
        <v>74</v>
      </c>
      <c r="F81" t="s">
        <v>1640</v>
      </c>
      <c r="G81" t="s">
        <v>74</v>
      </c>
      <c r="H81" t="s">
        <v>74</v>
      </c>
      <c r="I81" t="s">
        <v>1641</v>
      </c>
      <c r="J81" t="s">
        <v>1642</v>
      </c>
      <c r="K81" t="s">
        <v>74</v>
      </c>
      <c r="L81" t="s">
        <v>74</v>
      </c>
      <c r="M81" t="s">
        <v>78</v>
      </c>
      <c r="N81" t="s">
        <v>79</v>
      </c>
      <c r="O81" t="s">
        <v>74</v>
      </c>
      <c r="P81" t="s">
        <v>74</v>
      </c>
      <c r="Q81" t="s">
        <v>74</v>
      </c>
      <c r="R81" t="s">
        <v>74</v>
      </c>
      <c r="S81" t="s">
        <v>74</v>
      </c>
      <c r="T81" t="s">
        <v>1643</v>
      </c>
      <c r="U81" t="s">
        <v>74</v>
      </c>
      <c r="V81" t="s">
        <v>1644</v>
      </c>
      <c r="W81" t="s">
        <v>1645</v>
      </c>
      <c r="X81" t="s">
        <v>1646</v>
      </c>
      <c r="Y81" t="s">
        <v>1647</v>
      </c>
      <c r="Z81" t="s">
        <v>1648</v>
      </c>
      <c r="AA81" t="s">
        <v>74</v>
      </c>
      <c r="AB81" t="s">
        <v>74</v>
      </c>
      <c r="AC81" t="s">
        <v>1649</v>
      </c>
      <c r="AD81" t="s">
        <v>1649</v>
      </c>
      <c r="AE81" t="s">
        <v>1650</v>
      </c>
      <c r="AF81" t="s">
        <v>74</v>
      </c>
      <c r="AG81">
        <v>29</v>
      </c>
      <c r="AH81">
        <v>0</v>
      </c>
      <c r="AI81">
        <v>0</v>
      </c>
      <c r="AJ81">
        <v>0</v>
      </c>
      <c r="AK81">
        <v>0</v>
      </c>
      <c r="AL81" t="s">
        <v>172</v>
      </c>
      <c r="AM81" t="s">
        <v>173</v>
      </c>
      <c r="AN81" t="s">
        <v>174</v>
      </c>
      <c r="AO81" t="s">
        <v>1651</v>
      </c>
      <c r="AP81" t="s">
        <v>1652</v>
      </c>
      <c r="AQ81" t="s">
        <v>74</v>
      </c>
      <c r="AR81" t="s">
        <v>1653</v>
      </c>
      <c r="AS81" t="s">
        <v>1654</v>
      </c>
      <c r="AT81" t="s">
        <v>1275</v>
      </c>
      <c r="AU81">
        <v>2023</v>
      </c>
      <c r="AV81">
        <v>82</v>
      </c>
      <c r="AW81">
        <v>10</v>
      </c>
      <c r="AX81" t="s">
        <v>74</v>
      </c>
      <c r="AY81" t="s">
        <v>74</v>
      </c>
      <c r="AZ81" t="s">
        <v>74</v>
      </c>
      <c r="BA81" t="s">
        <v>74</v>
      </c>
      <c r="BB81" t="s">
        <v>74</v>
      </c>
      <c r="BC81" t="s">
        <v>74</v>
      </c>
      <c r="BD81">
        <v>381</v>
      </c>
      <c r="BE81" t="s">
        <v>1655</v>
      </c>
      <c r="BF81" t="str">
        <f>HYPERLINK("http://dx.doi.org/10.1007/s10064-023-03403-0","http://dx.doi.org/10.1007/s10064-023-03403-0")</f>
        <v>http://dx.doi.org/10.1007/s10064-023-03403-0</v>
      </c>
      <c r="BG81" t="s">
        <v>74</v>
      </c>
      <c r="BH81" t="s">
        <v>74</v>
      </c>
      <c r="BI81">
        <v>21</v>
      </c>
      <c r="BJ81" t="s">
        <v>1656</v>
      </c>
      <c r="BK81" t="s">
        <v>126</v>
      </c>
      <c r="BL81" t="s">
        <v>1657</v>
      </c>
      <c r="BM81" t="s">
        <v>1658</v>
      </c>
      <c r="BN81" t="s">
        <v>74</v>
      </c>
      <c r="BO81" t="s">
        <v>74</v>
      </c>
      <c r="BP81" t="s">
        <v>74</v>
      </c>
      <c r="BQ81" t="s">
        <v>74</v>
      </c>
      <c r="BR81" t="s">
        <v>99</v>
      </c>
      <c r="BS81" t="s">
        <v>1659</v>
      </c>
      <c r="BT81" t="str">
        <f>HYPERLINK("https%3A%2F%2Fwww.webofscience.com%2Fwos%2Fwoscc%2Ffull-record%2FWOS:001068028000001","View Full Record in Web of Science")</f>
        <v>View Full Record in Web of Science</v>
      </c>
    </row>
    <row r="82" spans="1:72" x14ac:dyDescent="0.15">
      <c r="A82" t="s">
        <v>72</v>
      </c>
      <c r="B82" t="s">
        <v>1660</v>
      </c>
      <c r="C82" t="s">
        <v>74</v>
      </c>
      <c r="D82" t="s">
        <v>74</v>
      </c>
      <c r="E82" t="s">
        <v>74</v>
      </c>
      <c r="F82" t="s">
        <v>1661</v>
      </c>
      <c r="G82" t="s">
        <v>74</v>
      </c>
      <c r="H82" t="s">
        <v>74</v>
      </c>
      <c r="I82" t="s">
        <v>1662</v>
      </c>
      <c r="J82" t="s">
        <v>814</v>
      </c>
      <c r="K82" t="s">
        <v>74</v>
      </c>
      <c r="L82" t="s">
        <v>74</v>
      </c>
      <c r="M82" t="s">
        <v>78</v>
      </c>
      <c r="N82" t="s">
        <v>79</v>
      </c>
      <c r="O82" t="s">
        <v>74</v>
      </c>
      <c r="P82" t="s">
        <v>74</v>
      </c>
      <c r="Q82" t="s">
        <v>74</v>
      </c>
      <c r="R82" t="s">
        <v>74</v>
      </c>
      <c r="S82" t="s">
        <v>74</v>
      </c>
      <c r="T82" t="s">
        <v>1663</v>
      </c>
      <c r="U82" t="s">
        <v>1664</v>
      </c>
      <c r="V82" t="s">
        <v>1665</v>
      </c>
      <c r="W82" t="s">
        <v>1666</v>
      </c>
      <c r="X82" t="s">
        <v>1667</v>
      </c>
      <c r="Y82" t="s">
        <v>1668</v>
      </c>
      <c r="Z82" t="s">
        <v>1669</v>
      </c>
      <c r="AA82" t="s">
        <v>74</v>
      </c>
      <c r="AB82" t="s">
        <v>1670</v>
      </c>
      <c r="AC82" t="s">
        <v>74</v>
      </c>
      <c r="AD82" t="s">
        <v>74</v>
      </c>
      <c r="AE82" t="s">
        <v>74</v>
      </c>
      <c r="AF82" t="s">
        <v>74</v>
      </c>
      <c r="AG82">
        <v>61</v>
      </c>
      <c r="AH82">
        <v>0</v>
      </c>
      <c r="AI82">
        <v>0</v>
      </c>
      <c r="AJ82">
        <v>1</v>
      </c>
      <c r="AK82">
        <v>1</v>
      </c>
      <c r="AL82" t="s">
        <v>117</v>
      </c>
      <c r="AM82" t="s">
        <v>118</v>
      </c>
      <c r="AN82" t="s">
        <v>119</v>
      </c>
      <c r="AO82" t="s">
        <v>825</v>
      </c>
      <c r="AP82" t="s">
        <v>826</v>
      </c>
      <c r="AQ82" t="s">
        <v>74</v>
      </c>
      <c r="AR82" t="s">
        <v>827</v>
      </c>
      <c r="AS82" t="s">
        <v>828</v>
      </c>
      <c r="AT82" t="s">
        <v>1275</v>
      </c>
      <c r="AU82">
        <v>2023</v>
      </c>
      <c r="AV82">
        <v>88</v>
      </c>
      <c r="AW82">
        <v>2</v>
      </c>
      <c r="AX82" t="s">
        <v>74</v>
      </c>
      <c r="AY82" t="s">
        <v>74</v>
      </c>
      <c r="AZ82" t="s">
        <v>74</v>
      </c>
      <c r="BA82" t="s">
        <v>74</v>
      </c>
      <c r="BB82" t="s">
        <v>74</v>
      </c>
      <c r="BC82" t="s">
        <v>74</v>
      </c>
      <c r="BD82">
        <v>49</v>
      </c>
      <c r="BE82" t="s">
        <v>1671</v>
      </c>
      <c r="BF82" t="str">
        <f>HYPERLINK("http://dx.doi.org/10.1007/s00245-023-10023-3","http://dx.doi.org/10.1007/s00245-023-10023-3")</f>
        <v>http://dx.doi.org/10.1007/s00245-023-10023-3</v>
      </c>
      <c r="BG82" t="s">
        <v>74</v>
      </c>
      <c r="BH82" t="s">
        <v>74</v>
      </c>
      <c r="BI82">
        <v>47</v>
      </c>
      <c r="BJ82" t="s">
        <v>830</v>
      </c>
      <c r="BK82" t="s">
        <v>126</v>
      </c>
      <c r="BL82" t="s">
        <v>228</v>
      </c>
      <c r="BM82" t="s">
        <v>1672</v>
      </c>
      <c r="BN82" t="s">
        <v>74</v>
      </c>
      <c r="BO82" t="s">
        <v>74</v>
      </c>
      <c r="BP82" t="s">
        <v>74</v>
      </c>
      <c r="BQ82" t="s">
        <v>74</v>
      </c>
      <c r="BR82" t="s">
        <v>99</v>
      </c>
      <c r="BS82" t="s">
        <v>1673</v>
      </c>
      <c r="BT82" t="str">
        <f>HYPERLINK("https%3A%2F%2Fwww.webofscience.com%2Fwos%2Fwoscc%2Ffull-record%2FWOS:001006111200001","View Full Record in Web of Science")</f>
        <v>View Full Record in Web of Science</v>
      </c>
    </row>
    <row r="83" spans="1:72" x14ac:dyDescent="0.15">
      <c r="A83" t="s">
        <v>72</v>
      </c>
      <c r="B83" t="s">
        <v>1674</v>
      </c>
      <c r="C83" t="s">
        <v>74</v>
      </c>
      <c r="D83" t="s">
        <v>74</v>
      </c>
      <c r="E83" t="s">
        <v>74</v>
      </c>
      <c r="F83" t="s">
        <v>1675</v>
      </c>
      <c r="G83" t="s">
        <v>74</v>
      </c>
      <c r="H83" t="s">
        <v>74</v>
      </c>
      <c r="I83" t="s">
        <v>1676</v>
      </c>
      <c r="J83" t="s">
        <v>1407</v>
      </c>
      <c r="K83" t="s">
        <v>74</v>
      </c>
      <c r="L83" t="s">
        <v>74</v>
      </c>
      <c r="M83" t="s">
        <v>78</v>
      </c>
      <c r="N83" t="s">
        <v>79</v>
      </c>
      <c r="O83" t="s">
        <v>74</v>
      </c>
      <c r="P83" t="s">
        <v>74</v>
      </c>
      <c r="Q83" t="s">
        <v>74</v>
      </c>
      <c r="R83" t="s">
        <v>74</v>
      </c>
      <c r="S83" t="s">
        <v>74</v>
      </c>
      <c r="T83" t="s">
        <v>1677</v>
      </c>
      <c r="U83" t="s">
        <v>1678</v>
      </c>
      <c r="V83" t="s">
        <v>1679</v>
      </c>
      <c r="W83" t="s">
        <v>1680</v>
      </c>
      <c r="X83" t="s">
        <v>1681</v>
      </c>
      <c r="Y83" t="s">
        <v>1682</v>
      </c>
      <c r="Z83" t="s">
        <v>1683</v>
      </c>
      <c r="AA83" t="s">
        <v>1684</v>
      </c>
      <c r="AB83" t="s">
        <v>1685</v>
      </c>
      <c r="AC83" t="s">
        <v>74</v>
      </c>
      <c r="AD83" t="s">
        <v>74</v>
      </c>
      <c r="AE83" t="s">
        <v>74</v>
      </c>
      <c r="AF83" t="s">
        <v>74</v>
      </c>
      <c r="AG83">
        <v>101</v>
      </c>
      <c r="AH83">
        <v>0</v>
      </c>
      <c r="AI83">
        <v>0</v>
      </c>
      <c r="AJ83">
        <v>8</v>
      </c>
      <c r="AK83">
        <v>8</v>
      </c>
      <c r="AL83" t="s">
        <v>117</v>
      </c>
      <c r="AM83" t="s">
        <v>118</v>
      </c>
      <c r="AN83" t="s">
        <v>119</v>
      </c>
      <c r="AO83" t="s">
        <v>1418</v>
      </c>
      <c r="AP83" t="s">
        <v>1419</v>
      </c>
      <c r="AQ83" t="s">
        <v>74</v>
      </c>
      <c r="AR83" t="s">
        <v>1420</v>
      </c>
      <c r="AS83" t="s">
        <v>1421</v>
      </c>
      <c r="AT83" t="s">
        <v>1275</v>
      </c>
      <c r="AU83">
        <v>2023</v>
      </c>
      <c r="AV83">
        <v>69</v>
      </c>
      <c r="AW83">
        <v>5</v>
      </c>
      <c r="AX83" t="s">
        <v>74</v>
      </c>
      <c r="AY83" t="s">
        <v>74</v>
      </c>
      <c r="AZ83" t="s">
        <v>74</v>
      </c>
      <c r="BA83" t="s">
        <v>74</v>
      </c>
      <c r="BB83" t="s">
        <v>74</v>
      </c>
      <c r="BC83" t="s">
        <v>74</v>
      </c>
      <c r="BD83">
        <v>89</v>
      </c>
      <c r="BE83" t="s">
        <v>1686</v>
      </c>
      <c r="BF83" t="str">
        <f>HYPERLINK("http://dx.doi.org/10.1007/s10344-023-01717-8","http://dx.doi.org/10.1007/s10344-023-01717-8")</f>
        <v>http://dx.doi.org/10.1007/s10344-023-01717-8</v>
      </c>
      <c r="BG83" t="s">
        <v>74</v>
      </c>
      <c r="BH83" t="s">
        <v>74</v>
      </c>
      <c r="BI83">
        <v>18</v>
      </c>
      <c r="BJ83" t="s">
        <v>1423</v>
      </c>
      <c r="BK83" t="s">
        <v>126</v>
      </c>
      <c r="BL83" t="s">
        <v>1424</v>
      </c>
      <c r="BM83" t="s">
        <v>1687</v>
      </c>
      <c r="BN83" t="s">
        <v>74</v>
      </c>
      <c r="BO83" t="s">
        <v>74</v>
      </c>
      <c r="BP83" t="s">
        <v>74</v>
      </c>
      <c r="BQ83" t="s">
        <v>74</v>
      </c>
      <c r="BR83" t="s">
        <v>99</v>
      </c>
      <c r="BS83" t="s">
        <v>1688</v>
      </c>
      <c r="BT83" t="str">
        <f>HYPERLINK("https%3A%2F%2Fwww.webofscience.com%2Fwos%2Fwoscc%2Ffull-record%2FWOS:001048275100001","View Full Record in Web of Science")</f>
        <v>View Full Record in Web of Science</v>
      </c>
    </row>
    <row r="84" spans="1:72" x14ac:dyDescent="0.15">
      <c r="A84" t="s">
        <v>72</v>
      </c>
      <c r="B84" t="s">
        <v>1689</v>
      </c>
      <c r="C84" t="s">
        <v>74</v>
      </c>
      <c r="D84" t="s">
        <v>74</v>
      </c>
      <c r="E84" t="s">
        <v>74</v>
      </c>
      <c r="F84" t="s">
        <v>1690</v>
      </c>
      <c r="G84" t="s">
        <v>74</v>
      </c>
      <c r="H84" t="s">
        <v>74</v>
      </c>
      <c r="I84" t="s">
        <v>1691</v>
      </c>
      <c r="J84" t="s">
        <v>1692</v>
      </c>
      <c r="K84" t="s">
        <v>74</v>
      </c>
      <c r="L84" t="s">
        <v>74</v>
      </c>
      <c r="M84" t="s">
        <v>78</v>
      </c>
      <c r="N84" t="s">
        <v>79</v>
      </c>
      <c r="O84" t="s">
        <v>74</v>
      </c>
      <c r="P84" t="s">
        <v>74</v>
      </c>
      <c r="Q84" t="s">
        <v>74</v>
      </c>
      <c r="R84" t="s">
        <v>74</v>
      </c>
      <c r="S84" t="s">
        <v>74</v>
      </c>
      <c r="T84" t="s">
        <v>1693</v>
      </c>
      <c r="U84" t="s">
        <v>1694</v>
      </c>
      <c r="V84" t="s">
        <v>1695</v>
      </c>
      <c r="W84" t="s">
        <v>1696</v>
      </c>
      <c r="X84" t="s">
        <v>1697</v>
      </c>
      <c r="Y84" t="s">
        <v>1698</v>
      </c>
      <c r="Z84" t="s">
        <v>1699</v>
      </c>
      <c r="AA84" t="s">
        <v>74</v>
      </c>
      <c r="AB84" t="s">
        <v>74</v>
      </c>
      <c r="AC84" t="s">
        <v>1700</v>
      </c>
      <c r="AD84" t="s">
        <v>1701</v>
      </c>
      <c r="AE84" t="s">
        <v>1702</v>
      </c>
      <c r="AF84" t="s">
        <v>74</v>
      </c>
      <c r="AG84">
        <v>110</v>
      </c>
      <c r="AH84">
        <v>0</v>
      </c>
      <c r="AI84">
        <v>0</v>
      </c>
      <c r="AJ84">
        <v>2</v>
      </c>
      <c r="AK84">
        <v>2</v>
      </c>
      <c r="AL84" t="s">
        <v>117</v>
      </c>
      <c r="AM84" t="s">
        <v>627</v>
      </c>
      <c r="AN84" t="s">
        <v>628</v>
      </c>
      <c r="AO84" t="s">
        <v>1703</v>
      </c>
      <c r="AP84" t="s">
        <v>1704</v>
      </c>
      <c r="AQ84" t="s">
        <v>74</v>
      </c>
      <c r="AR84" t="s">
        <v>1705</v>
      </c>
      <c r="AS84" t="s">
        <v>1706</v>
      </c>
      <c r="AT84" t="s">
        <v>1275</v>
      </c>
      <c r="AU84">
        <v>2023</v>
      </c>
      <c r="AV84">
        <v>33</v>
      </c>
      <c r="AW84">
        <v>5</v>
      </c>
      <c r="AX84" t="s">
        <v>74</v>
      </c>
      <c r="AY84" t="s">
        <v>74</v>
      </c>
      <c r="AZ84" t="s">
        <v>74</v>
      </c>
      <c r="BA84" t="s">
        <v>74</v>
      </c>
      <c r="BB84" t="s">
        <v>74</v>
      </c>
      <c r="BC84" t="s">
        <v>74</v>
      </c>
      <c r="BD84">
        <v>116</v>
      </c>
      <c r="BE84" t="s">
        <v>1707</v>
      </c>
      <c r="BF84" t="str">
        <f>HYPERLINK("http://dx.doi.org/10.1007/s11222-023-10283-7","http://dx.doi.org/10.1007/s11222-023-10283-7")</f>
        <v>http://dx.doi.org/10.1007/s11222-023-10283-7</v>
      </c>
      <c r="BG84" t="s">
        <v>74</v>
      </c>
      <c r="BH84" t="s">
        <v>74</v>
      </c>
      <c r="BI84">
        <v>39</v>
      </c>
      <c r="BJ84" t="s">
        <v>1708</v>
      </c>
      <c r="BK84" t="s">
        <v>126</v>
      </c>
      <c r="BL84" t="s">
        <v>1709</v>
      </c>
      <c r="BM84" t="s">
        <v>1710</v>
      </c>
      <c r="BN84" t="s">
        <v>74</v>
      </c>
      <c r="BO84" t="s">
        <v>327</v>
      </c>
      <c r="BP84" t="s">
        <v>74</v>
      </c>
      <c r="BQ84" t="s">
        <v>74</v>
      </c>
      <c r="BR84" t="s">
        <v>99</v>
      </c>
      <c r="BS84" t="s">
        <v>1711</v>
      </c>
      <c r="BT84" t="str">
        <f>HYPERLINK("https%3A%2F%2Fwww.webofscience.com%2Fwos%2Fwoscc%2Ffull-record%2FWOS:001040957500001","View Full Record in Web of Science")</f>
        <v>View Full Record in Web of Science</v>
      </c>
    </row>
    <row r="85" spans="1:72" x14ac:dyDescent="0.15">
      <c r="A85" t="s">
        <v>72</v>
      </c>
      <c r="B85" t="s">
        <v>1712</v>
      </c>
      <c r="C85" t="s">
        <v>74</v>
      </c>
      <c r="D85" t="s">
        <v>74</v>
      </c>
      <c r="E85" t="s">
        <v>74</v>
      </c>
      <c r="F85" t="s">
        <v>1713</v>
      </c>
      <c r="G85" t="s">
        <v>74</v>
      </c>
      <c r="H85" t="s">
        <v>74</v>
      </c>
      <c r="I85" t="s">
        <v>1714</v>
      </c>
      <c r="J85" t="s">
        <v>1715</v>
      </c>
      <c r="K85" t="s">
        <v>74</v>
      </c>
      <c r="L85" t="s">
        <v>74</v>
      </c>
      <c r="M85" t="s">
        <v>78</v>
      </c>
      <c r="N85" t="s">
        <v>79</v>
      </c>
      <c r="O85" t="s">
        <v>74</v>
      </c>
      <c r="P85" t="s">
        <v>74</v>
      </c>
      <c r="Q85" t="s">
        <v>74</v>
      </c>
      <c r="R85" t="s">
        <v>74</v>
      </c>
      <c r="S85" t="s">
        <v>74</v>
      </c>
      <c r="T85" t="s">
        <v>1716</v>
      </c>
      <c r="U85" t="s">
        <v>1717</v>
      </c>
      <c r="V85" t="s">
        <v>1718</v>
      </c>
      <c r="W85" t="s">
        <v>1719</v>
      </c>
      <c r="X85" t="s">
        <v>1720</v>
      </c>
      <c r="Y85" t="s">
        <v>1721</v>
      </c>
      <c r="Z85" t="s">
        <v>1722</v>
      </c>
      <c r="AA85" t="s">
        <v>1723</v>
      </c>
      <c r="AB85" t="s">
        <v>1724</v>
      </c>
      <c r="AC85" t="s">
        <v>74</v>
      </c>
      <c r="AD85" t="s">
        <v>74</v>
      </c>
      <c r="AE85" t="s">
        <v>74</v>
      </c>
      <c r="AF85" t="s">
        <v>74</v>
      </c>
      <c r="AG85">
        <v>54</v>
      </c>
      <c r="AH85">
        <v>0</v>
      </c>
      <c r="AI85">
        <v>0</v>
      </c>
      <c r="AJ85">
        <v>6</v>
      </c>
      <c r="AK85">
        <v>6</v>
      </c>
      <c r="AL85" t="s">
        <v>117</v>
      </c>
      <c r="AM85" t="s">
        <v>118</v>
      </c>
      <c r="AN85" t="s">
        <v>119</v>
      </c>
      <c r="AO85" t="s">
        <v>1725</v>
      </c>
      <c r="AP85" t="s">
        <v>1726</v>
      </c>
      <c r="AQ85" t="s">
        <v>74</v>
      </c>
      <c r="AR85" t="s">
        <v>1727</v>
      </c>
      <c r="AS85" t="s">
        <v>1728</v>
      </c>
      <c r="AT85" t="s">
        <v>1275</v>
      </c>
      <c r="AU85">
        <v>2023</v>
      </c>
      <c r="AV85">
        <v>27</v>
      </c>
      <c r="AW85">
        <v>5</v>
      </c>
      <c r="AX85" t="s">
        <v>74</v>
      </c>
      <c r="AY85" t="s">
        <v>74</v>
      </c>
      <c r="AZ85" t="s">
        <v>74</v>
      </c>
      <c r="BA85" t="s">
        <v>74</v>
      </c>
      <c r="BB85" t="s">
        <v>74</v>
      </c>
      <c r="BC85" t="s">
        <v>74</v>
      </c>
      <c r="BD85">
        <v>37</v>
      </c>
      <c r="BE85" t="s">
        <v>1729</v>
      </c>
      <c r="BF85" t="str">
        <f>HYPERLINK("http://dx.doi.org/10.1007/s11852-023-00970-y","http://dx.doi.org/10.1007/s11852-023-00970-y")</f>
        <v>http://dx.doi.org/10.1007/s11852-023-00970-y</v>
      </c>
      <c r="BG85" t="s">
        <v>74</v>
      </c>
      <c r="BH85" t="s">
        <v>74</v>
      </c>
      <c r="BI85">
        <v>15</v>
      </c>
      <c r="BJ85" t="s">
        <v>1730</v>
      </c>
      <c r="BK85" t="s">
        <v>126</v>
      </c>
      <c r="BL85" t="s">
        <v>1731</v>
      </c>
      <c r="BM85" t="s">
        <v>1732</v>
      </c>
      <c r="BN85" t="s">
        <v>74</v>
      </c>
      <c r="BO85" t="s">
        <v>183</v>
      </c>
      <c r="BP85" t="s">
        <v>74</v>
      </c>
      <c r="BQ85" t="s">
        <v>74</v>
      </c>
      <c r="BR85" t="s">
        <v>99</v>
      </c>
      <c r="BS85" t="s">
        <v>1733</v>
      </c>
      <c r="BT85" t="str">
        <f>HYPERLINK("https%3A%2F%2Fwww.webofscience.com%2Fwos%2Fwoscc%2Ffull-record%2FWOS:001051912700001","View Full Record in Web of Science")</f>
        <v>View Full Record in Web of Science</v>
      </c>
    </row>
    <row r="86" spans="1:72" x14ac:dyDescent="0.15">
      <c r="A86" t="s">
        <v>72</v>
      </c>
      <c r="B86" t="s">
        <v>1734</v>
      </c>
      <c r="C86" t="s">
        <v>74</v>
      </c>
      <c r="D86" t="s">
        <v>74</v>
      </c>
      <c r="E86" t="s">
        <v>74</v>
      </c>
      <c r="F86" t="s">
        <v>1735</v>
      </c>
      <c r="G86" t="s">
        <v>74</v>
      </c>
      <c r="H86" t="s">
        <v>74</v>
      </c>
      <c r="I86" t="s">
        <v>1736</v>
      </c>
      <c r="J86" t="s">
        <v>1737</v>
      </c>
      <c r="K86" t="s">
        <v>74</v>
      </c>
      <c r="L86" t="s">
        <v>74</v>
      </c>
      <c r="M86" t="s">
        <v>78</v>
      </c>
      <c r="N86" t="s">
        <v>79</v>
      </c>
      <c r="O86" t="s">
        <v>74</v>
      </c>
      <c r="P86" t="s">
        <v>74</v>
      </c>
      <c r="Q86" t="s">
        <v>74</v>
      </c>
      <c r="R86" t="s">
        <v>74</v>
      </c>
      <c r="S86" t="s">
        <v>74</v>
      </c>
      <c r="T86" t="s">
        <v>1738</v>
      </c>
      <c r="U86" t="s">
        <v>1739</v>
      </c>
      <c r="V86" t="s">
        <v>1740</v>
      </c>
      <c r="W86" t="s">
        <v>1741</v>
      </c>
      <c r="X86" t="s">
        <v>1742</v>
      </c>
      <c r="Y86" t="s">
        <v>1743</v>
      </c>
      <c r="Z86" t="s">
        <v>1744</v>
      </c>
      <c r="AA86" t="s">
        <v>74</v>
      </c>
      <c r="AB86" t="s">
        <v>1745</v>
      </c>
      <c r="AC86" t="s">
        <v>1746</v>
      </c>
      <c r="AD86" t="s">
        <v>1747</v>
      </c>
      <c r="AE86" t="s">
        <v>1748</v>
      </c>
      <c r="AF86" t="s">
        <v>74</v>
      </c>
      <c r="AG86">
        <v>12</v>
      </c>
      <c r="AH86">
        <v>0</v>
      </c>
      <c r="AI86">
        <v>0</v>
      </c>
      <c r="AJ86">
        <v>2</v>
      </c>
      <c r="AK86">
        <v>2</v>
      </c>
      <c r="AL86" t="s">
        <v>117</v>
      </c>
      <c r="AM86" t="s">
        <v>118</v>
      </c>
      <c r="AN86" t="s">
        <v>119</v>
      </c>
      <c r="AO86" t="s">
        <v>1749</v>
      </c>
      <c r="AP86" t="s">
        <v>1750</v>
      </c>
      <c r="AQ86" t="s">
        <v>74</v>
      </c>
      <c r="AR86" t="s">
        <v>1751</v>
      </c>
      <c r="AS86" t="s">
        <v>1752</v>
      </c>
      <c r="AT86" t="s">
        <v>1275</v>
      </c>
      <c r="AU86">
        <v>2023</v>
      </c>
      <c r="AV86">
        <v>31</v>
      </c>
      <c r="AW86">
        <v>10</v>
      </c>
      <c r="AX86" t="s">
        <v>74</v>
      </c>
      <c r="AY86" t="s">
        <v>74</v>
      </c>
      <c r="AZ86" t="s">
        <v>74</v>
      </c>
      <c r="BA86" t="s">
        <v>74</v>
      </c>
      <c r="BB86" t="s">
        <v>74</v>
      </c>
      <c r="BC86" t="s">
        <v>74</v>
      </c>
      <c r="BD86">
        <v>561</v>
      </c>
      <c r="BE86" t="s">
        <v>1753</v>
      </c>
      <c r="BF86" t="str">
        <f>HYPERLINK("http://dx.doi.org/10.1007/s00520-023-08017-6","http://dx.doi.org/10.1007/s00520-023-08017-6")</f>
        <v>http://dx.doi.org/10.1007/s00520-023-08017-6</v>
      </c>
      <c r="BG86" t="s">
        <v>74</v>
      </c>
      <c r="BH86" t="s">
        <v>74</v>
      </c>
      <c r="BI86">
        <v>9</v>
      </c>
      <c r="BJ86" t="s">
        <v>1754</v>
      </c>
      <c r="BK86" t="s">
        <v>126</v>
      </c>
      <c r="BL86" t="s">
        <v>1754</v>
      </c>
      <c r="BM86" t="s">
        <v>1755</v>
      </c>
      <c r="BN86">
        <v>37668738</v>
      </c>
      <c r="BO86" t="s">
        <v>183</v>
      </c>
      <c r="BP86" t="s">
        <v>74</v>
      </c>
      <c r="BQ86" t="s">
        <v>74</v>
      </c>
      <c r="BR86" t="s">
        <v>99</v>
      </c>
      <c r="BS86" t="s">
        <v>1756</v>
      </c>
      <c r="BT86" t="str">
        <f>HYPERLINK("https%3A%2F%2Fwww.webofscience.com%2Fwos%2Fwoscc%2Ffull-record%2FWOS:001060456400003","View Full Record in Web of Science")</f>
        <v>View Full Record in Web of Science</v>
      </c>
    </row>
    <row r="87" spans="1:72" x14ac:dyDescent="0.15">
      <c r="A87" t="s">
        <v>72</v>
      </c>
      <c r="B87" t="s">
        <v>1757</v>
      </c>
      <c r="C87" t="s">
        <v>74</v>
      </c>
      <c r="D87" t="s">
        <v>74</v>
      </c>
      <c r="E87" t="s">
        <v>74</v>
      </c>
      <c r="F87" t="s">
        <v>1758</v>
      </c>
      <c r="G87" t="s">
        <v>74</v>
      </c>
      <c r="H87" t="s">
        <v>74</v>
      </c>
      <c r="I87" t="s">
        <v>1759</v>
      </c>
      <c r="J87" t="s">
        <v>814</v>
      </c>
      <c r="K87" t="s">
        <v>74</v>
      </c>
      <c r="L87" t="s">
        <v>74</v>
      </c>
      <c r="M87" t="s">
        <v>78</v>
      </c>
      <c r="N87" t="s">
        <v>79</v>
      </c>
      <c r="O87" t="s">
        <v>74</v>
      </c>
      <c r="P87" t="s">
        <v>74</v>
      </c>
      <c r="Q87" t="s">
        <v>74</v>
      </c>
      <c r="R87" t="s">
        <v>74</v>
      </c>
      <c r="S87" t="s">
        <v>74</v>
      </c>
      <c r="T87" t="s">
        <v>1760</v>
      </c>
      <c r="U87" t="s">
        <v>1761</v>
      </c>
      <c r="V87" t="s">
        <v>1762</v>
      </c>
      <c r="W87" t="s">
        <v>1763</v>
      </c>
      <c r="X87" t="s">
        <v>1764</v>
      </c>
      <c r="Y87" t="s">
        <v>1765</v>
      </c>
      <c r="Z87" t="s">
        <v>1766</v>
      </c>
      <c r="AA87" t="s">
        <v>74</v>
      </c>
      <c r="AB87" t="s">
        <v>74</v>
      </c>
      <c r="AC87" t="s">
        <v>1767</v>
      </c>
      <c r="AD87" t="s">
        <v>1768</v>
      </c>
      <c r="AE87" t="s">
        <v>1769</v>
      </c>
      <c r="AF87" t="s">
        <v>74</v>
      </c>
      <c r="AG87">
        <v>27</v>
      </c>
      <c r="AH87">
        <v>0</v>
      </c>
      <c r="AI87">
        <v>0</v>
      </c>
      <c r="AJ87">
        <v>0</v>
      </c>
      <c r="AK87">
        <v>0</v>
      </c>
      <c r="AL87" t="s">
        <v>117</v>
      </c>
      <c r="AM87" t="s">
        <v>118</v>
      </c>
      <c r="AN87" t="s">
        <v>119</v>
      </c>
      <c r="AO87" t="s">
        <v>825</v>
      </c>
      <c r="AP87" t="s">
        <v>826</v>
      </c>
      <c r="AQ87" t="s">
        <v>74</v>
      </c>
      <c r="AR87" t="s">
        <v>827</v>
      </c>
      <c r="AS87" t="s">
        <v>828</v>
      </c>
      <c r="AT87" t="s">
        <v>1275</v>
      </c>
      <c r="AU87">
        <v>2023</v>
      </c>
      <c r="AV87">
        <v>88</v>
      </c>
      <c r="AW87">
        <v>2</v>
      </c>
      <c r="AX87" t="s">
        <v>74</v>
      </c>
      <c r="AY87" t="s">
        <v>74</v>
      </c>
      <c r="AZ87" t="s">
        <v>74</v>
      </c>
      <c r="BA87" t="s">
        <v>74</v>
      </c>
      <c r="BB87" t="s">
        <v>74</v>
      </c>
      <c r="BC87" t="s">
        <v>74</v>
      </c>
      <c r="BD87">
        <v>57</v>
      </c>
      <c r="BE87" t="s">
        <v>1770</v>
      </c>
      <c r="BF87" t="str">
        <f>HYPERLINK("http://dx.doi.org/10.1007/s00245-023-10032-2","http://dx.doi.org/10.1007/s00245-023-10032-2")</f>
        <v>http://dx.doi.org/10.1007/s00245-023-10032-2</v>
      </c>
      <c r="BG87" t="s">
        <v>74</v>
      </c>
      <c r="BH87" t="s">
        <v>74</v>
      </c>
      <c r="BI87">
        <v>22</v>
      </c>
      <c r="BJ87" t="s">
        <v>830</v>
      </c>
      <c r="BK87" t="s">
        <v>126</v>
      </c>
      <c r="BL87" t="s">
        <v>228</v>
      </c>
      <c r="BM87" t="s">
        <v>1771</v>
      </c>
      <c r="BN87" t="s">
        <v>74</v>
      </c>
      <c r="BO87" t="s">
        <v>327</v>
      </c>
      <c r="BP87" t="s">
        <v>74</v>
      </c>
      <c r="BQ87" t="s">
        <v>74</v>
      </c>
      <c r="BR87" t="s">
        <v>99</v>
      </c>
      <c r="BS87" t="s">
        <v>1772</v>
      </c>
      <c r="BT87" t="str">
        <f>HYPERLINK("https%3A%2F%2Fwww.webofscience.com%2Fwos%2Fwoscc%2Ffull-record%2FWOS:001048554900003","View Full Record in Web of Science")</f>
        <v>View Full Record in Web of Science</v>
      </c>
    </row>
    <row r="88" spans="1:72" x14ac:dyDescent="0.15">
      <c r="A88" t="s">
        <v>72</v>
      </c>
      <c r="B88" t="s">
        <v>1773</v>
      </c>
      <c r="C88" t="s">
        <v>74</v>
      </c>
      <c r="D88" t="s">
        <v>74</v>
      </c>
      <c r="E88" t="s">
        <v>74</v>
      </c>
      <c r="F88" t="s">
        <v>1774</v>
      </c>
      <c r="G88" t="s">
        <v>74</v>
      </c>
      <c r="H88" t="s">
        <v>74</v>
      </c>
      <c r="I88" t="s">
        <v>1775</v>
      </c>
      <c r="J88" t="s">
        <v>505</v>
      </c>
      <c r="K88" t="s">
        <v>74</v>
      </c>
      <c r="L88" t="s">
        <v>74</v>
      </c>
      <c r="M88" t="s">
        <v>78</v>
      </c>
      <c r="N88" t="s">
        <v>79</v>
      </c>
      <c r="O88" t="s">
        <v>74</v>
      </c>
      <c r="P88" t="s">
        <v>74</v>
      </c>
      <c r="Q88" t="s">
        <v>74</v>
      </c>
      <c r="R88" t="s">
        <v>74</v>
      </c>
      <c r="S88" t="s">
        <v>74</v>
      </c>
      <c r="T88" t="s">
        <v>1776</v>
      </c>
      <c r="U88" t="s">
        <v>1777</v>
      </c>
      <c r="V88" t="s">
        <v>1778</v>
      </c>
      <c r="W88" t="s">
        <v>1779</v>
      </c>
      <c r="X88" t="s">
        <v>1780</v>
      </c>
      <c r="Y88" t="s">
        <v>1781</v>
      </c>
      <c r="Z88" t="s">
        <v>1782</v>
      </c>
      <c r="AA88" t="s">
        <v>74</v>
      </c>
      <c r="AB88" t="s">
        <v>74</v>
      </c>
      <c r="AC88" t="s">
        <v>74</v>
      </c>
      <c r="AD88" t="s">
        <v>74</v>
      </c>
      <c r="AE88" t="s">
        <v>74</v>
      </c>
      <c r="AF88" t="s">
        <v>74</v>
      </c>
      <c r="AG88">
        <v>45</v>
      </c>
      <c r="AH88">
        <v>0</v>
      </c>
      <c r="AI88">
        <v>0</v>
      </c>
      <c r="AJ88">
        <v>0</v>
      </c>
      <c r="AK88">
        <v>0</v>
      </c>
      <c r="AL88" t="s">
        <v>219</v>
      </c>
      <c r="AM88" t="s">
        <v>220</v>
      </c>
      <c r="AN88" t="s">
        <v>221</v>
      </c>
      <c r="AO88" t="s">
        <v>511</v>
      </c>
      <c r="AP88" t="s">
        <v>512</v>
      </c>
      <c r="AQ88" t="s">
        <v>74</v>
      </c>
      <c r="AR88" t="s">
        <v>513</v>
      </c>
      <c r="AS88" t="s">
        <v>514</v>
      </c>
      <c r="AT88" t="s">
        <v>1275</v>
      </c>
      <c r="AU88">
        <v>2023</v>
      </c>
      <c r="AV88">
        <v>78</v>
      </c>
      <c r="AW88">
        <v>5</v>
      </c>
      <c r="AX88" t="s">
        <v>74</v>
      </c>
      <c r="AY88" t="s">
        <v>74</v>
      </c>
      <c r="AZ88" t="s">
        <v>74</v>
      </c>
      <c r="BA88" t="s">
        <v>74</v>
      </c>
      <c r="BB88" t="s">
        <v>74</v>
      </c>
      <c r="BC88" t="s">
        <v>74</v>
      </c>
      <c r="BD88">
        <v>195</v>
      </c>
      <c r="BE88" t="s">
        <v>1783</v>
      </c>
      <c r="BF88" t="str">
        <f>HYPERLINK("http://dx.doi.org/10.1007/s00025-023-01967-7","http://dx.doi.org/10.1007/s00025-023-01967-7")</f>
        <v>http://dx.doi.org/10.1007/s00025-023-01967-7</v>
      </c>
      <c r="BG88" t="s">
        <v>74</v>
      </c>
      <c r="BH88" t="s">
        <v>74</v>
      </c>
      <c r="BI88">
        <v>32</v>
      </c>
      <c r="BJ88" t="s">
        <v>227</v>
      </c>
      <c r="BK88" t="s">
        <v>126</v>
      </c>
      <c r="BL88" t="s">
        <v>228</v>
      </c>
      <c r="BM88" t="s">
        <v>1526</v>
      </c>
      <c r="BN88" t="s">
        <v>74</v>
      </c>
      <c r="BO88" t="s">
        <v>74</v>
      </c>
      <c r="BP88" t="s">
        <v>74</v>
      </c>
      <c r="BQ88" t="s">
        <v>74</v>
      </c>
      <c r="BR88" t="s">
        <v>99</v>
      </c>
      <c r="BS88" t="s">
        <v>1784</v>
      </c>
      <c r="BT88" t="str">
        <f>HYPERLINK("https%3A%2F%2Fwww.webofscience.com%2Fwos%2Fwoscc%2Ffull-record%2FWOS:001040969200004","View Full Record in Web of Science")</f>
        <v>View Full Record in Web of Science</v>
      </c>
    </row>
    <row r="89" spans="1:72" x14ac:dyDescent="0.15">
      <c r="A89" t="s">
        <v>72</v>
      </c>
      <c r="B89" t="s">
        <v>1785</v>
      </c>
      <c r="C89" t="s">
        <v>74</v>
      </c>
      <c r="D89" t="s">
        <v>74</v>
      </c>
      <c r="E89" t="s">
        <v>74</v>
      </c>
      <c r="F89" t="s">
        <v>1786</v>
      </c>
      <c r="G89" t="s">
        <v>74</v>
      </c>
      <c r="H89" t="s">
        <v>74</v>
      </c>
      <c r="I89" t="s">
        <v>1787</v>
      </c>
      <c r="J89" t="s">
        <v>1788</v>
      </c>
      <c r="K89" t="s">
        <v>74</v>
      </c>
      <c r="L89" t="s">
        <v>74</v>
      </c>
      <c r="M89" t="s">
        <v>78</v>
      </c>
      <c r="N89" t="s">
        <v>79</v>
      </c>
      <c r="O89" t="s">
        <v>74</v>
      </c>
      <c r="P89" t="s">
        <v>74</v>
      </c>
      <c r="Q89" t="s">
        <v>74</v>
      </c>
      <c r="R89" t="s">
        <v>74</v>
      </c>
      <c r="S89" t="s">
        <v>74</v>
      </c>
      <c r="T89" t="s">
        <v>74</v>
      </c>
      <c r="U89" t="s">
        <v>1789</v>
      </c>
      <c r="V89" t="s">
        <v>1790</v>
      </c>
      <c r="W89" t="s">
        <v>1791</v>
      </c>
      <c r="X89" t="s">
        <v>1792</v>
      </c>
      <c r="Y89" t="s">
        <v>1793</v>
      </c>
      <c r="Z89" t="s">
        <v>1794</v>
      </c>
      <c r="AA89" t="s">
        <v>74</v>
      </c>
      <c r="AB89" t="s">
        <v>74</v>
      </c>
      <c r="AC89" t="s">
        <v>1795</v>
      </c>
      <c r="AD89" t="s">
        <v>1796</v>
      </c>
      <c r="AE89" t="s">
        <v>1797</v>
      </c>
      <c r="AF89" t="s">
        <v>74</v>
      </c>
      <c r="AG89">
        <v>57</v>
      </c>
      <c r="AH89">
        <v>0</v>
      </c>
      <c r="AI89">
        <v>0</v>
      </c>
      <c r="AJ89">
        <v>1</v>
      </c>
      <c r="AK89">
        <v>1</v>
      </c>
      <c r="AL89" t="s">
        <v>117</v>
      </c>
      <c r="AM89" t="s">
        <v>118</v>
      </c>
      <c r="AN89" t="s">
        <v>119</v>
      </c>
      <c r="AO89" t="s">
        <v>1798</v>
      </c>
      <c r="AP89" t="s">
        <v>1799</v>
      </c>
      <c r="AQ89" t="s">
        <v>74</v>
      </c>
      <c r="AR89" t="s">
        <v>1800</v>
      </c>
      <c r="AS89" t="s">
        <v>1801</v>
      </c>
      <c r="AT89" t="s">
        <v>1275</v>
      </c>
      <c r="AU89">
        <v>2023</v>
      </c>
      <c r="AV89">
        <v>136</v>
      </c>
      <c r="AW89">
        <v>10</v>
      </c>
      <c r="AX89" t="s">
        <v>74</v>
      </c>
      <c r="AY89" t="s">
        <v>74</v>
      </c>
      <c r="AZ89" t="s">
        <v>74</v>
      </c>
      <c r="BA89" t="s">
        <v>74</v>
      </c>
      <c r="BB89" t="s">
        <v>74</v>
      </c>
      <c r="BC89" t="s">
        <v>74</v>
      </c>
      <c r="BD89">
        <v>211</v>
      </c>
      <c r="BE89" t="s">
        <v>1802</v>
      </c>
      <c r="BF89" t="str">
        <f>HYPERLINK("http://dx.doi.org/10.1007/s00122-023-04456-1","http://dx.doi.org/10.1007/s00122-023-04456-1")</f>
        <v>http://dx.doi.org/10.1007/s00122-023-04456-1</v>
      </c>
      <c r="BG89" t="s">
        <v>74</v>
      </c>
      <c r="BH89" t="s">
        <v>74</v>
      </c>
      <c r="BI89">
        <v>16</v>
      </c>
      <c r="BJ89" t="s">
        <v>1803</v>
      </c>
      <c r="BK89" t="s">
        <v>126</v>
      </c>
      <c r="BL89" t="s">
        <v>1804</v>
      </c>
      <c r="BM89" t="s">
        <v>1805</v>
      </c>
      <c r="BN89">
        <v>37737910</v>
      </c>
      <c r="BO89" t="s">
        <v>74</v>
      </c>
      <c r="BP89" t="s">
        <v>74</v>
      </c>
      <c r="BQ89" t="s">
        <v>74</v>
      </c>
      <c r="BR89" t="s">
        <v>99</v>
      </c>
      <c r="BS89" t="s">
        <v>1806</v>
      </c>
      <c r="BT89" t="str">
        <f>HYPERLINK("https%3A%2F%2Fwww.webofscience.com%2Fwos%2Fwoscc%2Ffull-record%2FWOS:001072374400001","View Full Record in Web of Science")</f>
        <v>View Full Record in Web of Science</v>
      </c>
    </row>
    <row r="90" spans="1:72" x14ac:dyDescent="0.15">
      <c r="A90" t="s">
        <v>72</v>
      </c>
      <c r="B90" t="s">
        <v>1807</v>
      </c>
      <c r="C90" t="s">
        <v>74</v>
      </c>
      <c r="D90" t="s">
        <v>74</v>
      </c>
      <c r="E90" t="s">
        <v>74</v>
      </c>
      <c r="F90" t="s">
        <v>1808</v>
      </c>
      <c r="G90" t="s">
        <v>74</v>
      </c>
      <c r="H90" t="s">
        <v>74</v>
      </c>
      <c r="I90" t="s">
        <v>1809</v>
      </c>
      <c r="J90" t="s">
        <v>1407</v>
      </c>
      <c r="K90" t="s">
        <v>74</v>
      </c>
      <c r="L90" t="s">
        <v>74</v>
      </c>
      <c r="M90" t="s">
        <v>78</v>
      </c>
      <c r="N90" t="s">
        <v>79</v>
      </c>
      <c r="O90" t="s">
        <v>74</v>
      </c>
      <c r="P90" t="s">
        <v>74</v>
      </c>
      <c r="Q90" t="s">
        <v>74</v>
      </c>
      <c r="R90" t="s">
        <v>74</v>
      </c>
      <c r="S90" t="s">
        <v>74</v>
      </c>
      <c r="T90" t="s">
        <v>1810</v>
      </c>
      <c r="U90" t="s">
        <v>1811</v>
      </c>
      <c r="V90" t="s">
        <v>1812</v>
      </c>
      <c r="W90" t="s">
        <v>1813</v>
      </c>
      <c r="X90" t="s">
        <v>74</v>
      </c>
      <c r="Y90" t="s">
        <v>1814</v>
      </c>
      <c r="Z90" t="s">
        <v>1815</v>
      </c>
      <c r="AA90" t="s">
        <v>74</v>
      </c>
      <c r="AB90" t="s">
        <v>1816</v>
      </c>
      <c r="AC90" t="s">
        <v>1817</v>
      </c>
      <c r="AD90" t="s">
        <v>1817</v>
      </c>
      <c r="AE90" t="s">
        <v>1818</v>
      </c>
      <c r="AF90" t="s">
        <v>74</v>
      </c>
      <c r="AG90">
        <v>65</v>
      </c>
      <c r="AH90">
        <v>0</v>
      </c>
      <c r="AI90">
        <v>0</v>
      </c>
      <c r="AJ90">
        <v>2</v>
      </c>
      <c r="AK90">
        <v>2</v>
      </c>
      <c r="AL90" t="s">
        <v>117</v>
      </c>
      <c r="AM90" t="s">
        <v>118</v>
      </c>
      <c r="AN90" t="s">
        <v>119</v>
      </c>
      <c r="AO90" t="s">
        <v>1418</v>
      </c>
      <c r="AP90" t="s">
        <v>1419</v>
      </c>
      <c r="AQ90" t="s">
        <v>74</v>
      </c>
      <c r="AR90" t="s">
        <v>1420</v>
      </c>
      <c r="AS90" t="s">
        <v>1421</v>
      </c>
      <c r="AT90" t="s">
        <v>1275</v>
      </c>
      <c r="AU90">
        <v>2023</v>
      </c>
      <c r="AV90">
        <v>69</v>
      </c>
      <c r="AW90">
        <v>5</v>
      </c>
      <c r="AX90" t="s">
        <v>74</v>
      </c>
      <c r="AY90" t="s">
        <v>74</v>
      </c>
      <c r="AZ90" t="s">
        <v>74</v>
      </c>
      <c r="BA90" t="s">
        <v>74</v>
      </c>
      <c r="BB90" t="s">
        <v>74</v>
      </c>
      <c r="BC90" t="s">
        <v>74</v>
      </c>
      <c r="BD90">
        <v>87</v>
      </c>
      <c r="BE90" t="s">
        <v>1819</v>
      </c>
      <c r="BF90" t="str">
        <f>HYPERLINK("http://dx.doi.org/10.1007/s10344-023-01720-z","http://dx.doi.org/10.1007/s10344-023-01720-z")</f>
        <v>http://dx.doi.org/10.1007/s10344-023-01720-z</v>
      </c>
      <c r="BG90" t="s">
        <v>74</v>
      </c>
      <c r="BH90" t="s">
        <v>74</v>
      </c>
      <c r="BI90">
        <v>12</v>
      </c>
      <c r="BJ90" t="s">
        <v>1423</v>
      </c>
      <c r="BK90" t="s">
        <v>126</v>
      </c>
      <c r="BL90" t="s">
        <v>1424</v>
      </c>
      <c r="BM90" t="s">
        <v>1820</v>
      </c>
      <c r="BN90" t="s">
        <v>74</v>
      </c>
      <c r="BO90" t="s">
        <v>74</v>
      </c>
      <c r="BP90" t="s">
        <v>74</v>
      </c>
      <c r="BQ90" t="s">
        <v>74</v>
      </c>
      <c r="BR90" t="s">
        <v>99</v>
      </c>
      <c r="BS90" t="s">
        <v>1821</v>
      </c>
      <c r="BT90" t="str">
        <f>HYPERLINK("https%3A%2F%2Fwww.webofscience.com%2Fwos%2Fwoscc%2Ffull-record%2FWOS:001043732800001","View Full Record in Web of Science")</f>
        <v>View Full Record in Web of Science</v>
      </c>
    </row>
    <row r="91" spans="1:72" x14ac:dyDescent="0.15">
      <c r="A91" t="s">
        <v>72</v>
      </c>
      <c r="B91" t="s">
        <v>1822</v>
      </c>
      <c r="C91" t="s">
        <v>74</v>
      </c>
      <c r="D91" t="s">
        <v>74</v>
      </c>
      <c r="E91" t="s">
        <v>74</v>
      </c>
      <c r="F91" t="s">
        <v>1823</v>
      </c>
      <c r="G91" t="s">
        <v>74</v>
      </c>
      <c r="H91" t="s">
        <v>74</v>
      </c>
      <c r="I91" t="s">
        <v>1824</v>
      </c>
      <c r="J91" t="s">
        <v>1825</v>
      </c>
      <c r="K91" t="s">
        <v>74</v>
      </c>
      <c r="L91" t="s">
        <v>74</v>
      </c>
      <c r="M91" t="s">
        <v>78</v>
      </c>
      <c r="N91" t="s">
        <v>105</v>
      </c>
      <c r="O91" t="s">
        <v>74</v>
      </c>
      <c r="P91" t="s">
        <v>74</v>
      </c>
      <c r="Q91" t="s">
        <v>74</v>
      </c>
      <c r="R91" t="s">
        <v>74</v>
      </c>
      <c r="S91" t="s">
        <v>74</v>
      </c>
      <c r="T91" t="s">
        <v>1826</v>
      </c>
      <c r="U91" t="s">
        <v>1827</v>
      </c>
      <c r="V91" t="s">
        <v>1828</v>
      </c>
      <c r="W91" t="s">
        <v>1829</v>
      </c>
      <c r="X91" t="s">
        <v>1830</v>
      </c>
      <c r="Y91" t="s">
        <v>1831</v>
      </c>
      <c r="Z91" t="s">
        <v>1832</v>
      </c>
      <c r="AA91" t="s">
        <v>1833</v>
      </c>
      <c r="AB91" t="s">
        <v>1834</v>
      </c>
      <c r="AC91" t="s">
        <v>1835</v>
      </c>
      <c r="AD91" t="s">
        <v>1836</v>
      </c>
      <c r="AE91" t="s">
        <v>1837</v>
      </c>
      <c r="AF91" t="s">
        <v>74</v>
      </c>
      <c r="AG91">
        <v>118</v>
      </c>
      <c r="AH91">
        <v>0</v>
      </c>
      <c r="AI91">
        <v>0</v>
      </c>
      <c r="AJ91">
        <v>5</v>
      </c>
      <c r="AK91">
        <v>5</v>
      </c>
      <c r="AL91" t="s">
        <v>117</v>
      </c>
      <c r="AM91" t="s">
        <v>627</v>
      </c>
      <c r="AN91" t="s">
        <v>628</v>
      </c>
      <c r="AO91" t="s">
        <v>1838</v>
      </c>
      <c r="AP91" t="s">
        <v>1839</v>
      </c>
      <c r="AQ91" t="s">
        <v>74</v>
      </c>
      <c r="AR91" t="s">
        <v>1840</v>
      </c>
      <c r="AS91" t="s">
        <v>1841</v>
      </c>
      <c r="AT91" t="s">
        <v>1275</v>
      </c>
      <c r="AU91">
        <v>2023</v>
      </c>
      <c r="AV91">
        <v>39</v>
      </c>
      <c r="AW91">
        <v>10</v>
      </c>
      <c r="AX91" t="s">
        <v>74</v>
      </c>
      <c r="AY91" t="s">
        <v>74</v>
      </c>
      <c r="AZ91" t="s">
        <v>74</v>
      </c>
      <c r="BA91" t="s">
        <v>74</v>
      </c>
      <c r="BB91" t="s">
        <v>74</v>
      </c>
      <c r="BC91" t="s">
        <v>74</v>
      </c>
      <c r="BD91">
        <v>269</v>
      </c>
      <c r="BE91" t="s">
        <v>1842</v>
      </c>
      <c r="BF91" t="str">
        <f>HYPERLINK("http://dx.doi.org/10.1007/s11274-023-03695-0","http://dx.doi.org/10.1007/s11274-023-03695-0")</f>
        <v>http://dx.doi.org/10.1007/s11274-023-03695-0</v>
      </c>
      <c r="BG91" t="s">
        <v>74</v>
      </c>
      <c r="BH91" t="s">
        <v>74</v>
      </c>
      <c r="BI91">
        <v>15</v>
      </c>
      <c r="BJ91" t="s">
        <v>1843</v>
      </c>
      <c r="BK91" t="s">
        <v>126</v>
      </c>
      <c r="BL91" t="s">
        <v>1843</v>
      </c>
      <c r="BM91" t="s">
        <v>1844</v>
      </c>
      <c r="BN91">
        <v>37532771</v>
      </c>
      <c r="BO91" t="s">
        <v>74</v>
      </c>
      <c r="BP91" t="s">
        <v>74</v>
      </c>
      <c r="BQ91" t="s">
        <v>74</v>
      </c>
      <c r="BR91" t="s">
        <v>99</v>
      </c>
      <c r="BS91" t="s">
        <v>1845</v>
      </c>
      <c r="BT91" t="str">
        <f>HYPERLINK("https%3A%2F%2Fwww.webofscience.com%2Fwos%2Fwoscc%2Ffull-record%2FWOS:001041836700001","View Full Record in Web of Science")</f>
        <v>View Full Record in Web of Science</v>
      </c>
    </row>
    <row r="92" spans="1:72" x14ac:dyDescent="0.15">
      <c r="A92" t="s">
        <v>72</v>
      </c>
      <c r="B92" t="s">
        <v>1846</v>
      </c>
      <c r="C92" t="s">
        <v>74</v>
      </c>
      <c r="D92" t="s">
        <v>74</v>
      </c>
      <c r="E92" t="s">
        <v>74</v>
      </c>
      <c r="F92" t="s">
        <v>1847</v>
      </c>
      <c r="G92" t="s">
        <v>74</v>
      </c>
      <c r="H92" t="s">
        <v>74</v>
      </c>
      <c r="I92" t="s">
        <v>1848</v>
      </c>
      <c r="J92" t="s">
        <v>1849</v>
      </c>
      <c r="K92" t="s">
        <v>74</v>
      </c>
      <c r="L92" t="s">
        <v>74</v>
      </c>
      <c r="M92" t="s">
        <v>78</v>
      </c>
      <c r="N92" t="s">
        <v>79</v>
      </c>
      <c r="O92" t="s">
        <v>74</v>
      </c>
      <c r="P92" t="s">
        <v>74</v>
      </c>
      <c r="Q92" t="s">
        <v>74</v>
      </c>
      <c r="R92" t="s">
        <v>74</v>
      </c>
      <c r="S92" t="s">
        <v>74</v>
      </c>
      <c r="T92" t="s">
        <v>1850</v>
      </c>
      <c r="U92" t="s">
        <v>1851</v>
      </c>
      <c r="V92" t="s">
        <v>1852</v>
      </c>
      <c r="W92" t="s">
        <v>1853</v>
      </c>
      <c r="X92" t="s">
        <v>1854</v>
      </c>
      <c r="Y92" t="s">
        <v>1855</v>
      </c>
      <c r="Z92" t="s">
        <v>1856</v>
      </c>
      <c r="AA92" t="s">
        <v>1857</v>
      </c>
      <c r="AB92" t="s">
        <v>1858</v>
      </c>
      <c r="AC92" t="s">
        <v>1859</v>
      </c>
      <c r="AD92" t="s">
        <v>1860</v>
      </c>
      <c r="AE92" t="s">
        <v>1861</v>
      </c>
      <c r="AF92" t="s">
        <v>74</v>
      </c>
      <c r="AG92">
        <v>82</v>
      </c>
      <c r="AH92">
        <v>0</v>
      </c>
      <c r="AI92">
        <v>0</v>
      </c>
      <c r="AJ92">
        <v>2</v>
      </c>
      <c r="AK92">
        <v>2</v>
      </c>
      <c r="AL92" t="s">
        <v>172</v>
      </c>
      <c r="AM92" t="s">
        <v>173</v>
      </c>
      <c r="AN92" t="s">
        <v>174</v>
      </c>
      <c r="AO92" t="s">
        <v>1862</v>
      </c>
      <c r="AP92" t="s">
        <v>1863</v>
      </c>
      <c r="AQ92" t="s">
        <v>74</v>
      </c>
      <c r="AR92" t="s">
        <v>1864</v>
      </c>
      <c r="AS92" t="s">
        <v>1865</v>
      </c>
      <c r="AT92" t="s">
        <v>1275</v>
      </c>
      <c r="AU92">
        <v>2023</v>
      </c>
      <c r="AV92">
        <v>110</v>
      </c>
      <c r="AW92">
        <v>5</v>
      </c>
      <c r="AX92" t="s">
        <v>74</v>
      </c>
      <c r="AY92" t="s">
        <v>74</v>
      </c>
      <c r="AZ92" t="s">
        <v>74</v>
      </c>
      <c r="BA92" t="s">
        <v>74</v>
      </c>
      <c r="BB92" t="s">
        <v>74</v>
      </c>
      <c r="BC92" t="s">
        <v>74</v>
      </c>
      <c r="BD92">
        <v>41</v>
      </c>
      <c r="BE92" t="s">
        <v>1866</v>
      </c>
      <c r="BF92" t="str">
        <f>HYPERLINK("http://dx.doi.org/10.1007/s00114-023-01871-8","http://dx.doi.org/10.1007/s00114-023-01871-8")</f>
        <v>http://dx.doi.org/10.1007/s00114-023-01871-8</v>
      </c>
      <c r="BG92" t="s">
        <v>74</v>
      </c>
      <c r="BH92" t="s">
        <v>74</v>
      </c>
      <c r="BI92">
        <v>9</v>
      </c>
      <c r="BJ92" t="s">
        <v>1867</v>
      </c>
      <c r="BK92" t="s">
        <v>126</v>
      </c>
      <c r="BL92" t="s">
        <v>1868</v>
      </c>
      <c r="BM92" t="s">
        <v>1869</v>
      </c>
      <c r="BN92">
        <v>37548714</v>
      </c>
      <c r="BO92" t="s">
        <v>74</v>
      </c>
      <c r="BP92" t="s">
        <v>74</v>
      </c>
      <c r="BQ92" t="s">
        <v>74</v>
      </c>
      <c r="BR92" t="s">
        <v>99</v>
      </c>
      <c r="BS92" t="s">
        <v>1870</v>
      </c>
      <c r="BT92" t="str">
        <f>HYPERLINK("https%3A%2F%2Fwww.webofscience.com%2Fwos%2Fwoscc%2Ffull-record%2FWOS:001043722200001","View Full Record in Web of Science")</f>
        <v>View Full Record in Web of Science</v>
      </c>
    </row>
    <row r="93" spans="1:72" x14ac:dyDescent="0.15">
      <c r="A93" t="s">
        <v>72</v>
      </c>
      <c r="B93" t="s">
        <v>1871</v>
      </c>
      <c r="C93" t="s">
        <v>74</v>
      </c>
      <c r="D93" t="s">
        <v>74</v>
      </c>
      <c r="E93" t="s">
        <v>74</v>
      </c>
      <c r="F93" t="s">
        <v>1872</v>
      </c>
      <c r="G93" t="s">
        <v>74</v>
      </c>
      <c r="H93" t="s">
        <v>74</v>
      </c>
      <c r="I93" t="s">
        <v>1873</v>
      </c>
      <c r="J93" t="s">
        <v>1874</v>
      </c>
      <c r="K93" t="s">
        <v>74</v>
      </c>
      <c r="L93" t="s">
        <v>74</v>
      </c>
      <c r="M93" t="s">
        <v>78</v>
      </c>
      <c r="N93" t="s">
        <v>79</v>
      </c>
      <c r="O93" t="s">
        <v>74</v>
      </c>
      <c r="P93" t="s">
        <v>74</v>
      </c>
      <c r="Q93" t="s">
        <v>74</v>
      </c>
      <c r="R93" t="s">
        <v>74</v>
      </c>
      <c r="S93" t="s">
        <v>74</v>
      </c>
      <c r="T93" t="s">
        <v>1875</v>
      </c>
      <c r="U93" t="s">
        <v>1876</v>
      </c>
      <c r="V93" t="s">
        <v>1877</v>
      </c>
      <c r="W93" t="s">
        <v>1878</v>
      </c>
      <c r="X93" t="s">
        <v>1879</v>
      </c>
      <c r="Y93" t="s">
        <v>1880</v>
      </c>
      <c r="Z93" t="s">
        <v>1881</v>
      </c>
      <c r="AA93" t="s">
        <v>74</v>
      </c>
      <c r="AB93" t="s">
        <v>74</v>
      </c>
      <c r="AC93" t="s">
        <v>1882</v>
      </c>
      <c r="AD93" t="s">
        <v>1883</v>
      </c>
      <c r="AE93" t="s">
        <v>1884</v>
      </c>
      <c r="AF93" t="s">
        <v>74</v>
      </c>
      <c r="AG93">
        <v>50</v>
      </c>
      <c r="AH93">
        <v>0</v>
      </c>
      <c r="AI93">
        <v>0</v>
      </c>
      <c r="AJ93">
        <v>0</v>
      </c>
      <c r="AK93">
        <v>0</v>
      </c>
      <c r="AL93" t="s">
        <v>117</v>
      </c>
      <c r="AM93" t="s">
        <v>118</v>
      </c>
      <c r="AN93" t="s">
        <v>119</v>
      </c>
      <c r="AO93" t="s">
        <v>1885</v>
      </c>
      <c r="AP93" t="s">
        <v>1886</v>
      </c>
      <c r="AQ93" t="s">
        <v>74</v>
      </c>
      <c r="AR93" t="s">
        <v>1887</v>
      </c>
      <c r="AS93" t="s">
        <v>1888</v>
      </c>
      <c r="AT93" t="s">
        <v>1275</v>
      </c>
      <c r="AU93">
        <v>2023</v>
      </c>
      <c r="AV93">
        <v>82</v>
      </c>
      <c r="AW93">
        <v>19</v>
      </c>
      <c r="AX93" t="s">
        <v>74</v>
      </c>
      <c r="AY93" t="s">
        <v>74</v>
      </c>
      <c r="AZ93" t="s">
        <v>74</v>
      </c>
      <c r="BA93" t="s">
        <v>74</v>
      </c>
      <c r="BB93" t="s">
        <v>74</v>
      </c>
      <c r="BC93" t="s">
        <v>74</v>
      </c>
      <c r="BD93">
        <v>452</v>
      </c>
      <c r="BE93" t="s">
        <v>1889</v>
      </c>
      <c r="BF93" t="str">
        <f>HYPERLINK("http://dx.doi.org/10.1007/s12665-023-11151-3","http://dx.doi.org/10.1007/s12665-023-11151-3")</f>
        <v>http://dx.doi.org/10.1007/s12665-023-11151-3</v>
      </c>
      <c r="BG93" t="s">
        <v>74</v>
      </c>
      <c r="BH93" t="s">
        <v>74</v>
      </c>
      <c r="BI93">
        <v>14</v>
      </c>
      <c r="BJ93" t="s">
        <v>1890</v>
      </c>
      <c r="BK93" t="s">
        <v>126</v>
      </c>
      <c r="BL93" t="s">
        <v>1891</v>
      </c>
      <c r="BM93" t="s">
        <v>1892</v>
      </c>
      <c r="BN93" t="s">
        <v>74</v>
      </c>
      <c r="BO93" t="s">
        <v>74</v>
      </c>
      <c r="BP93" t="s">
        <v>74</v>
      </c>
      <c r="BQ93" t="s">
        <v>74</v>
      </c>
      <c r="BR93" t="s">
        <v>99</v>
      </c>
      <c r="BS93" t="s">
        <v>1893</v>
      </c>
      <c r="BT93" t="str">
        <f>HYPERLINK("https%3A%2F%2Fwww.webofscience.com%2Fwos%2Fwoscc%2Ffull-record%2FWOS:001065240800008","View Full Record in Web of Science")</f>
        <v>View Full Record in Web of Science</v>
      </c>
    </row>
    <row r="94" spans="1:72" x14ac:dyDescent="0.15">
      <c r="A94" t="s">
        <v>72</v>
      </c>
      <c r="B94" t="s">
        <v>1894</v>
      </c>
      <c r="C94" t="s">
        <v>74</v>
      </c>
      <c r="D94" t="s">
        <v>74</v>
      </c>
      <c r="E94" t="s">
        <v>74</v>
      </c>
      <c r="F94" t="s">
        <v>1895</v>
      </c>
      <c r="G94" t="s">
        <v>74</v>
      </c>
      <c r="H94" t="s">
        <v>74</v>
      </c>
      <c r="I94" t="s">
        <v>1896</v>
      </c>
      <c r="J94" t="s">
        <v>1897</v>
      </c>
      <c r="K94" t="s">
        <v>74</v>
      </c>
      <c r="L94" t="s">
        <v>74</v>
      </c>
      <c r="M94" t="s">
        <v>78</v>
      </c>
      <c r="N94" t="s">
        <v>79</v>
      </c>
      <c r="O94" t="s">
        <v>74</v>
      </c>
      <c r="P94" t="s">
        <v>74</v>
      </c>
      <c r="Q94" t="s">
        <v>74</v>
      </c>
      <c r="R94" t="s">
        <v>74</v>
      </c>
      <c r="S94" t="s">
        <v>74</v>
      </c>
      <c r="T94" t="s">
        <v>1898</v>
      </c>
      <c r="U94" t="s">
        <v>1899</v>
      </c>
      <c r="V94" t="s">
        <v>1900</v>
      </c>
      <c r="W94" t="s">
        <v>1901</v>
      </c>
      <c r="X94" t="s">
        <v>1902</v>
      </c>
      <c r="Y94" t="s">
        <v>1903</v>
      </c>
      <c r="Z94" t="s">
        <v>1904</v>
      </c>
      <c r="AA94" t="s">
        <v>74</v>
      </c>
      <c r="AB94" t="s">
        <v>74</v>
      </c>
      <c r="AC94" t="s">
        <v>74</v>
      </c>
      <c r="AD94" t="s">
        <v>74</v>
      </c>
      <c r="AE94" t="s">
        <v>74</v>
      </c>
      <c r="AF94" t="s">
        <v>74</v>
      </c>
      <c r="AG94">
        <v>96</v>
      </c>
      <c r="AH94">
        <v>0</v>
      </c>
      <c r="AI94">
        <v>0</v>
      </c>
      <c r="AJ94">
        <v>0</v>
      </c>
      <c r="AK94">
        <v>0</v>
      </c>
      <c r="AL94" t="s">
        <v>117</v>
      </c>
      <c r="AM94" t="s">
        <v>627</v>
      </c>
      <c r="AN94" t="s">
        <v>628</v>
      </c>
      <c r="AO94" t="s">
        <v>1905</v>
      </c>
      <c r="AP94" t="s">
        <v>1906</v>
      </c>
      <c r="AQ94" t="s">
        <v>74</v>
      </c>
      <c r="AR94" t="s">
        <v>1907</v>
      </c>
      <c r="AS94" t="s">
        <v>1908</v>
      </c>
      <c r="AT94" t="s">
        <v>1275</v>
      </c>
      <c r="AU94">
        <v>2023</v>
      </c>
      <c r="AV94">
        <v>195</v>
      </c>
      <c r="AW94">
        <v>10</v>
      </c>
      <c r="AX94" t="s">
        <v>74</v>
      </c>
      <c r="AY94" t="s">
        <v>74</v>
      </c>
      <c r="AZ94" t="s">
        <v>74</v>
      </c>
      <c r="BA94" t="s">
        <v>74</v>
      </c>
      <c r="BB94" t="s">
        <v>74</v>
      </c>
      <c r="BC94" t="s">
        <v>74</v>
      </c>
      <c r="BD94">
        <v>1143</v>
      </c>
      <c r="BE94" t="s">
        <v>1909</v>
      </c>
      <c r="BF94" t="str">
        <f>HYPERLINK("http://dx.doi.org/10.1007/s10661-023-11798-2","http://dx.doi.org/10.1007/s10661-023-11798-2")</f>
        <v>http://dx.doi.org/10.1007/s10661-023-11798-2</v>
      </c>
      <c r="BG94" t="s">
        <v>74</v>
      </c>
      <c r="BH94" t="s">
        <v>74</v>
      </c>
      <c r="BI94">
        <v>22</v>
      </c>
      <c r="BJ94" t="s">
        <v>1346</v>
      </c>
      <c r="BK94" t="s">
        <v>126</v>
      </c>
      <c r="BL94" t="s">
        <v>1347</v>
      </c>
      <c r="BM94" t="s">
        <v>1910</v>
      </c>
      <c r="BN94">
        <v>37667048</v>
      </c>
      <c r="BO94" t="s">
        <v>74</v>
      </c>
      <c r="BP94" t="s">
        <v>74</v>
      </c>
      <c r="BQ94" t="s">
        <v>74</v>
      </c>
      <c r="BR94" t="s">
        <v>99</v>
      </c>
      <c r="BS94" t="s">
        <v>1911</v>
      </c>
      <c r="BT94" t="str">
        <f>HYPERLINK("https%3A%2F%2Fwww.webofscience.com%2Fwos%2Fwoscc%2Ffull-record%2FWOS:001063006800001","View Full Record in Web of Science")</f>
        <v>View Full Record in Web of Science</v>
      </c>
    </row>
    <row r="95" spans="1:72" x14ac:dyDescent="0.15">
      <c r="A95" t="s">
        <v>72</v>
      </c>
      <c r="B95" t="s">
        <v>1912</v>
      </c>
      <c r="C95" t="s">
        <v>74</v>
      </c>
      <c r="D95" t="s">
        <v>74</v>
      </c>
      <c r="E95" t="s">
        <v>74</v>
      </c>
      <c r="F95" t="s">
        <v>1913</v>
      </c>
      <c r="G95" t="s">
        <v>74</v>
      </c>
      <c r="H95" t="s">
        <v>74</v>
      </c>
      <c r="I95" t="s">
        <v>1914</v>
      </c>
      <c r="J95" t="s">
        <v>1915</v>
      </c>
      <c r="K95" t="s">
        <v>74</v>
      </c>
      <c r="L95" t="s">
        <v>74</v>
      </c>
      <c r="M95" t="s">
        <v>78</v>
      </c>
      <c r="N95" t="s">
        <v>872</v>
      </c>
      <c r="O95" t="s">
        <v>74</v>
      </c>
      <c r="P95" t="s">
        <v>74</v>
      </c>
      <c r="Q95" t="s">
        <v>74</v>
      </c>
      <c r="R95" t="s">
        <v>74</v>
      </c>
      <c r="S95" t="s">
        <v>74</v>
      </c>
      <c r="T95" t="s">
        <v>74</v>
      </c>
      <c r="U95" t="s">
        <v>74</v>
      </c>
      <c r="V95" t="s">
        <v>74</v>
      </c>
      <c r="W95" t="s">
        <v>1916</v>
      </c>
      <c r="X95" t="s">
        <v>1917</v>
      </c>
      <c r="Y95" t="s">
        <v>1918</v>
      </c>
      <c r="Z95" t="s">
        <v>1919</v>
      </c>
      <c r="AA95" t="s">
        <v>1920</v>
      </c>
      <c r="AB95" t="s">
        <v>1921</v>
      </c>
      <c r="AC95" t="s">
        <v>74</v>
      </c>
      <c r="AD95" t="s">
        <v>74</v>
      </c>
      <c r="AE95" t="s">
        <v>74</v>
      </c>
      <c r="AF95" t="s">
        <v>74</v>
      </c>
      <c r="AG95">
        <v>1</v>
      </c>
      <c r="AH95">
        <v>0</v>
      </c>
      <c r="AI95">
        <v>0</v>
      </c>
      <c r="AJ95">
        <v>0</v>
      </c>
      <c r="AK95">
        <v>0</v>
      </c>
      <c r="AL95" t="s">
        <v>1922</v>
      </c>
      <c r="AM95" t="s">
        <v>118</v>
      </c>
      <c r="AN95" t="s">
        <v>1923</v>
      </c>
      <c r="AO95" t="s">
        <v>1924</v>
      </c>
      <c r="AP95" t="s">
        <v>1925</v>
      </c>
      <c r="AQ95" t="s">
        <v>74</v>
      </c>
      <c r="AR95" t="s">
        <v>1926</v>
      </c>
      <c r="AS95" t="s">
        <v>1927</v>
      </c>
      <c r="AT95" t="s">
        <v>1275</v>
      </c>
      <c r="AU95">
        <v>2023</v>
      </c>
      <c r="AV95">
        <v>29</v>
      </c>
      <c r="AW95">
        <v>5</v>
      </c>
      <c r="AX95" t="s">
        <v>74</v>
      </c>
      <c r="AY95" t="s">
        <v>74</v>
      </c>
      <c r="AZ95" t="s">
        <v>74</v>
      </c>
      <c r="BA95" t="s">
        <v>74</v>
      </c>
      <c r="BB95" t="s">
        <v>74</v>
      </c>
      <c r="BC95" t="s">
        <v>74</v>
      </c>
      <c r="BD95">
        <v>57</v>
      </c>
      <c r="BE95" t="s">
        <v>1928</v>
      </c>
      <c r="BF95" t="str">
        <f>HYPERLINK("http://dx.doi.org/10.1007/s00041-023-10038-y","http://dx.doi.org/10.1007/s00041-023-10038-y")</f>
        <v>http://dx.doi.org/10.1007/s00041-023-10038-y</v>
      </c>
      <c r="BG95" t="s">
        <v>74</v>
      </c>
      <c r="BH95" t="s">
        <v>74</v>
      </c>
      <c r="BI95">
        <v>1</v>
      </c>
      <c r="BJ95" t="s">
        <v>830</v>
      </c>
      <c r="BK95" t="s">
        <v>126</v>
      </c>
      <c r="BL95" t="s">
        <v>228</v>
      </c>
      <c r="BM95" t="s">
        <v>1929</v>
      </c>
      <c r="BN95" t="s">
        <v>74</v>
      </c>
      <c r="BO95" t="s">
        <v>762</v>
      </c>
      <c r="BP95" t="s">
        <v>74</v>
      </c>
      <c r="BQ95" t="s">
        <v>74</v>
      </c>
      <c r="BR95" t="s">
        <v>99</v>
      </c>
      <c r="BS95" t="s">
        <v>1930</v>
      </c>
      <c r="BT95" t="str">
        <f>HYPERLINK("https%3A%2F%2Fwww.webofscience.com%2Fwos%2Fwoscc%2Ffull-record%2FWOS:001052860800001","View Full Record in Web of Science")</f>
        <v>View Full Record in Web of Science</v>
      </c>
    </row>
    <row r="96" spans="1:72" x14ac:dyDescent="0.15">
      <c r="A96" t="s">
        <v>72</v>
      </c>
      <c r="B96" t="s">
        <v>1931</v>
      </c>
      <c r="C96" t="s">
        <v>74</v>
      </c>
      <c r="D96" t="s">
        <v>74</v>
      </c>
      <c r="E96" t="s">
        <v>74</v>
      </c>
      <c r="F96" t="s">
        <v>1932</v>
      </c>
      <c r="G96" t="s">
        <v>74</v>
      </c>
      <c r="H96" t="s">
        <v>74</v>
      </c>
      <c r="I96" t="s">
        <v>1933</v>
      </c>
      <c r="J96" t="s">
        <v>1934</v>
      </c>
      <c r="K96" t="s">
        <v>74</v>
      </c>
      <c r="L96" t="s">
        <v>74</v>
      </c>
      <c r="M96" t="s">
        <v>78</v>
      </c>
      <c r="N96" t="s">
        <v>79</v>
      </c>
      <c r="O96" t="s">
        <v>74</v>
      </c>
      <c r="P96" t="s">
        <v>74</v>
      </c>
      <c r="Q96" t="s">
        <v>74</v>
      </c>
      <c r="R96" t="s">
        <v>74</v>
      </c>
      <c r="S96" t="s">
        <v>74</v>
      </c>
      <c r="T96" t="s">
        <v>1935</v>
      </c>
      <c r="U96" t="s">
        <v>1936</v>
      </c>
      <c r="V96" t="s">
        <v>1937</v>
      </c>
      <c r="W96" t="s">
        <v>1938</v>
      </c>
      <c r="X96" t="s">
        <v>1939</v>
      </c>
      <c r="Y96" t="s">
        <v>1940</v>
      </c>
      <c r="Z96" t="s">
        <v>1941</v>
      </c>
      <c r="AA96" t="s">
        <v>1942</v>
      </c>
      <c r="AB96" t="s">
        <v>1943</v>
      </c>
      <c r="AC96" t="s">
        <v>1944</v>
      </c>
      <c r="AD96" t="s">
        <v>1944</v>
      </c>
      <c r="AE96" t="s">
        <v>1945</v>
      </c>
      <c r="AF96" t="s">
        <v>74</v>
      </c>
      <c r="AG96">
        <v>23</v>
      </c>
      <c r="AH96">
        <v>0</v>
      </c>
      <c r="AI96">
        <v>0</v>
      </c>
      <c r="AJ96">
        <v>0</v>
      </c>
      <c r="AK96">
        <v>0</v>
      </c>
      <c r="AL96" t="s">
        <v>117</v>
      </c>
      <c r="AM96" t="s">
        <v>118</v>
      </c>
      <c r="AN96" t="s">
        <v>119</v>
      </c>
      <c r="AO96" t="s">
        <v>1946</v>
      </c>
      <c r="AP96" t="s">
        <v>1947</v>
      </c>
      <c r="AQ96" t="s">
        <v>74</v>
      </c>
      <c r="AR96" t="s">
        <v>1948</v>
      </c>
      <c r="AS96" t="s">
        <v>1949</v>
      </c>
      <c r="AT96" t="s">
        <v>1275</v>
      </c>
      <c r="AU96">
        <v>2023</v>
      </c>
      <c r="AV96">
        <v>201</v>
      </c>
      <c r="AW96">
        <v>3</v>
      </c>
      <c r="AX96" t="s">
        <v>74</v>
      </c>
      <c r="AY96" t="s">
        <v>74</v>
      </c>
      <c r="AZ96" t="s">
        <v>74</v>
      </c>
      <c r="BA96" t="s">
        <v>74</v>
      </c>
      <c r="BB96">
        <v>367</v>
      </c>
      <c r="BC96">
        <v>376</v>
      </c>
      <c r="BD96" t="s">
        <v>74</v>
      </c>
      <c r="BE96" t="s">
        <v>1950</v>
      </c>
      <c r="BF96" t="str">
        <f>HYPERLINK("http://dx.doi.org/10.1007/s10549-023-07039-2","http://dx.doi.org/10.1007/s10549-023-07039-2")</f>
        <v>http://dx.doi.org/10.1007/s10549-023-07039-2</v>
      </c>
      <c r="BG96" t="s">
        <v>74</v>
      </c>
      <c r="BH96" t="s">
        <v>74</v>
      </c>
      <c r="BI96">
        <v>10</v>
      </c>
      <c r="BJ96" t="s">
        <v>1951</v>
      </c>
      <c r="BK96" t="s">
        <v>126</v>
      </c>
      <c r="BL96" t="s">
        <v>1951</v>
      </c>
      <c r="BM96" t="s">
        <v>1952</v>
      </c>
      <c r="BN96">
        <v>37480383</v>
      </c>
      <c r="BO96" t="s">
        <v>74</v>
      </c>
      <c r="BP96" t="s">
        <v>74</v>
      </c>
      <c r="BQ96" t="s">
        <v>74</v>
      </c>
      <c r="BR96" t="s">
        <v>99</v>
      </c>
      <c r="BS96" t="s">
        <v>1953</v>
      </c>
      <c r="BT96" t="str">
        <f>HYPERLINK("https%3A%2F%2Fwww.webofscience.com%2Fwos%2Fwoscc%2Ffull-record%2FWOS:001057025800002","View Full Record in Web of Science")</f>
        <v>View Full Record in Web of Science</v>
      </c>
    </row>
    <row r="97" spans="1:72" x14ac:dyDescent="0.15">
      <c r="A97" t="s">
        <v>72</v>
      </c>
      <c r="B97" t="s">
        <v>1954</v>
      </c>
      <c r="C97" t="s">
        <v>74</v>
      </c>
      <c r="D97" t="s">
        <v>74</v>
      </c>
      <c r="E97" t="s">
        <v>74</v>
      </c>
      <c r="F97" t="s">
        <v>1955</v>
      </c>
      <c r="G97" t="s">
        <v>74</v>
      </c>
      <c r="H97" t="s">
        <v>74</v>
      </c>
      <c r="I97" t="s">
        <v>1956</v>
      </c>
      <c r="J97" t="s">
        <v>1957</v>
      </c>
      <c r="K97" t="s">
        <v>74</v>
      </c>
      <c r="L97" t="s">
        <v>74</v>
      </c>
      <c r="M97" t="s">
        <v>78</v>
      </c>
      <c r="N97" t="s">
        <v>79</v>
      </c>
      <c r="O97" t="s">
        <v>74</v>
      </c>
      <c r="P97" t="s">
        <v>74</v>
      </c>
      <c r="Q97" t="s">
        <v>74</v>
      </c>
      <c r="R97" t="s">
        <v>74</v>
      </c>
      <c r="S97" t="s">
        <v>74</v>
      </c>
      <c r="T97" t="s">
        <v>74</v>
      </c>
      <c r="U97" t="s">
        <v>74</v>
      </c>
      <c r="V97" t="s">
        <v>1958</v>
      </c>
      <c r="W97" t="s">
        <v>1959</v>
      </c>
      <c r="X97" t="s">
        <v>74</v>
      </c>
      <c r="Y97" t="s">
        <v>1960</v>
      </c>
      <c r="Z97" t="s">
        <v>1961</v>
      </c>
      <c r="AA97" t="s">
        <v>74</v>
      </c>
      <c r="AB97" t="s">
        <v>74</v>
      </c>
      <c r="AC97" t="s">
        <v>74</v>
      </c>
      <c r="AD97" t="s">
        <v>74</v>
      </c>
      <c r="AE97" t="s">
        <v>74</v>
      </c>
      <c r="AF97" t="s">
        <v>74</v>
      </c>
      <c r="AG97">
        <v>11</v>
      </c>
      <c r="AH97">
        <v>0</v>
      </c>
      <c r="AI97">
        <v>0</v>
      </c>
      <c r="AJ97">
        <v>0</v>
      </c>
      <c r="AK97">
        <v>0</v>
      </c>
      <c r="AL97" t="s">
        <v>117</v>
      </c>
      <c r="AM97" t="s">
        <v>118</v>
      </c>
      <c r="AN97" t="s">
        <v>119</v>
      </c>
      <c r="AO97" t="s">
        <v>1962</v>
      </c>
      <c r="AP97" t="s">
        <v>1963</v>
      </c>
      <c r="AQ97" t="s">
        <v>74</v>
      </c>
      <c r="AR97" t="s">
        <v>1964</v>
      </c>
      <c r="AS97" t="s">
        <v>1965</v>
      </c>
      <c r="AT97" t="s">
        <v>1275</v>
      </c>
      <c r="AU97">
        <v>2023</v>
      </c>
      <c r="AV97">
        <v>80</v>
      </c>
      <c r="AW97">
        <v>10</v>
      </c>
      <c r="AX97" t="s">
        <v>74</v>
      </c>
      <c r="AY97" t="s">
        <v>74</v>
      </c>
      <c r="AZ97" t="s">
        <v>74</v>
      </c>
      <c r="BA97" t="s">
        <v>74</v>
      </c>
      <c r="BB97" t="s">
        <v>74</v>
      </c>
      <c r="BC97" t="s">
        <v>74</v>
      </c>
      <c r="BD97">
        <v>321</v>
      </c>
      <c r="BE97" t="s">
        <v>1966</v>
      </c>
      <c r="BF97" t="str">
        <f>HYPERLINK("http://dx.doi.org/10.1007/s00284-023-03436-4","http://dx.doi.org/10.1007/s00284-023-03436-4")</f>
        <v>http://dx.doi.org/10.1007/s00284-023-03436-4</v>
      </c>
      <c r="BG97" t="s">
        <v>74</v>
      </c>
      <c r="BH97" t="s">
        <v>74</v>
      </c>
      <c r="BI97">
        <v>5</v>
      </c>
      <c r="BJ97" t="s">
        <v>1967</v>
      </c>
      <c r="BK97" t="s">
        <v>126</v>
      </c>
      <c r="BL97" t="s">
        <v>1967</v>
      </c>
      <c r="BM97" t="s">
        <v>1968</v>
      </c>
      <c r="BN97">
        <v>37587316</v>
      </c>
      <c r="BO97" t="s">
        <v>74</v>
      </c>
      <c r="BP97" t="s">
        <v>74</v>
      </c>
      <c r="BQ97" t="s">
        <v>74</v>
      </c>
      <c r="BR97" t="s">
        <v>99</v>
      </c>
      <c r="BS97" t="s">
        <v>1969</v>
      </c>
      <c r="BT97" t="str">
        <f>HYPERLINK("https%3A%2F%2Fwww.webofscience.com%2Fwos%2Fwoscc%2Ffull-record%2FWOS:001048608800001","View Full Record in Web of Science")</f>
        <v>View Full Record in Web of Science</v>
      </c>
    </row>
    <row r="98" spans="1:72" x14ac:dyDescent="0.15">
      <c r="A98" t="s">
        <v>72</v>
      </c>
      <c r="B98" t="s">
        <v>1970</v>
      </c>
      <c r="C98" t="s">
        <v>74</v>
      </c>
      <c r="D98" t="s">
        <v>74</v>
      </c>
      <c r="E98" t="s">
        <v>74</v>
      </c>
      <c r="F98" t="s">
        <v>1971</v>
      </c>
      <c r="G98" t="s">
        <v>74</v>
      </c>
      <c r="H98" t="s">
        <v>74</v>
      </c>
      <c r="I98" t="s">
        <v>1972</v>
      </c>
      <c r="J98" t="s">
        <v>1915</v>
      </c>
      <c r="K98" t="s">
        <v>74</v>
      </c>
      <c r="L98" t="s">
        <v>74</v>
      </c>
      <c r="M98" t="s">
        <v>78</v>
      </c>
      <c r="N98" t="s">
        <v>79</v>
      </c>
      <c r="O98" t="s">
        <v>74</v>
      </c>
      <c r="P98" t="s">
        <v>74</v>
      </c>
      <c r="Q98" t="s">
        <v>74</v>
      </c>
      <c r="R98" t="s">
        <v>74</v>
      </c>
      <c r="S98" t="s">
        <v>74</v>
      </c>
      <c r="T98" t="s">
        <v>1973</v>
      </c>
      <c r="U98" t="s">
        <v>1974</v>
      </c>
      <c r="V98" t="s">
        <v>1975</v>
      </c>
      <c r="W98" t="s">
        <v>1976</v>
      </c>
      <c r="X98" t="s">
        <v>1977</v>
      </c>
      <c r="Y98" t="s">
        <v>1978</v>
      </c>
      <c r="Z98" t="s">
        <v>1979</v>
      </c>
      <c r="AA98" t="s">
        <v>1980</v>
      </c>
      <c r="AB98" t="s">
        <v>1981</v>
      </c>
      <c r="AC98" t="s">
        <v>1982</v>
      </c>
      <c r="AD98" t="s">
        <v>1983</v>
      </c>
      <c r="AE98" t="s">
        <v>1984</v>
      </c>
      <c r="AF98" t="s">
        <v>74</v>
      </c>
      <c r="AG98">
        <v>70</v>
      </c>
      <c r="AH98">
        <v>0</v>
      </c>
      <c r="AI98">
        <v>0</v>
      </c>
      <c r="AJ98">
        <v>1</v>
      </c>
      <c r="AK98">
        <v>1</v>
      </c>
      <c r="AL98" t="s">
        <v>1922</v>
      </c>
      <c r="AM98" t="s">
        <v>118</v>
      </c>
      <c r="AN98" t="s">
        <v>1923</v>
      </c>
      <c r="AO98" t="s">
        <v>1924</v>
      </c>
      <c r="AP98" t="s">
        <v>1925</v>
      </c>
      <c r="AQ98" t="s">
        <v>74</v>
      </c>
      <c r="AR98" t="s">
        <v>1926</v>
      </c>
      <c r="AS98" t="s">
        <v>1927</v>
      </c>
      <c r="AT98" t="s">
        <v>1275</v>
      </c>
      <c r="AU98">
        <v>2023</v>
      </c>
      <c r="AV98">
        <v>29</v>
      </c>
      <c r="AW98">
        <v>5</v>
      </c>
      <c r="AX98" t="s">
        <v>74</v>
      </c>
      <c r="AY98" t="s">
        <v>74</v>
      </c>
      <c r="AZ98" t="s">
        <v>74</v>
      </c>
      <c r="BA98" t="s">
        <v>74</v>
      </c>
      <c r="BB98" t="s">
        <v>74</v>
      </c>
      <c r="BC98" t="s">
        <v>74</v>
      </c>
      <c r="BD98">
        <v>56</v>
      </c>
      <c r="BE98" t="s">
        <v>1985</v>
      </c>
      <c r="BF98" t="str">
        <f>HYPERLINK("http://dx.doi.org/10.1007/s00041-023-10036-0","http://dx.doi.org/10.1007/s00041-023-10036-0")</f>
        <v>http://dx.doi.org/10.1007/s00041-023-10036-0</v>
      </c>
      <c r="BG98" t="s">
        <v>74</v>
      </c>
      <c r="BH98" t="s">
        <v>74</v>
      </c>
      <c r="BI98">
        <v>49</v>
      </c>
      <c r="BJ98" t="s">
        <v>830</v>
      </c>
      <c r="BK98" t="s">
        <v>126</v>
      </c>
      <c r="BL98" t="s">
        <v>228</v>
      </c>
      <c r="BM98" t="s">
        <v>1986</v>
      </c>
      <c r="BN98" t="s">
        <v>74</v>
      </c>
      <c r="BO98" t="s">
        <v>327</v>
      </c>
      <c r="BP98" t="s">
        <v>74</v>
      </c>
      <c r="BQ98" t="s">
        <v>74</v>
      </c>
      <c r="BR98" t="s">
        <v>99</v>
      </c>
      <c r="BS98" t="s">
        <v>1987</v>
      </c>
      <c r="BT98" t="str">
        <f>HYPERLINK("https%3A%2F%2Fwww.webofscience.com%2Fwos%2Fwoscc%2Ffull-record%2FWOS:001052361500001","View Full Record in Web of Science")</f>
        <v>View Full Record in Web of Science</v>
      </c>
    </row>
    <row r="99" spans="1:72" x14ac:dyDescent="0.15">
      <c r="A99" t="s">
        <v>72</v>
      </c>
      <c r="B99" t="s">
        <v>1988</v>
      </c>
      <c r="C99" t="s">
        <v>74</v>
      </c>
      <c r="D99" t="s">
        <v>74</v>
      </c>
      <c r="E99" t="s">
        <v>74</v>
      </c>
      <c r="F99" t="s">
        <v>1989</v>
      </c>
      <c r="G99" t="s">
        <v>74</v>
      </c>
      <c r="H99" t="s">
        <v>74</v>
      </c>
      <c r="I99" t="s">
        <v>1990</v>
      </c>
      <c r="J99" t="s">
        <v>1991</v>
      </c>
      <c r="K99" t="s">
        <v>74</v>
      </c>
      <c r="L99" t="s">
        <v>74</v>
      </c>
      <c r="M99" t="s">
        <v>78</v>
      </c>
      <c r="N99" t="s">
        <v>79</v>
      </c>
      <c r="O99" t="s">
        <v>74</v>
      </c>
      <c r="P99" t="s">
        <v>74</v>
      </c>
      <c r="Q99" t="s">
        <v>74</v>
      </c>
      <c r="R99" t="s">
        <v>74</v>
      </c>
      <c r="S99" t="s">
        <v>74</v>
      </c>
      <c r="T99" t="s">
        <v>1992</v>
      </c>
      <c r="U99" t="s">
        <v>1993</v>
      </c>
      <c r="V99" t="s">
        <v>1994</v>
      </c>
      <c r="W99" t="s">
        <v>1995</v>
      </c>
      <c r="X99" t="s">
        <v>1996</v>
      </c>
      <c r="Y99" t="s">
        <v>1997</v>
      </c>
      <c r="Z99" t="s">
        <v>1998</v>
      </c>
      <c r="AA99" t="s">
        <v>74</v>
      </c>
      <c r="AB99" t="s">
        <v>74</v>
      </c>
      <c r="AC99" t="s">
        <v>1999</v>
      </c>
      <c r="AD99" t="s">
        <v>2000</v>
      </c>
      <c r="AE99" t="s">
        <v>2001</v>
      </c>
      <c r="AF99" t="s">
        <v>74</v>
      </c>
      <c r="AG99">
        <v>13</v>
      </c>
      <c r="AH99">
        <v>0</v>
      </c>
      <c r="AI99">
        <v>0</v>
      </c>
      <c r="AJ99">
        <v>0</v>
      </c>
      <c r="AK99">
        <v>0</v>
      </c>
      <c r="AL99" t="s">
        <v>219</v>
      </c>
      <c r="AM99" t="s">
        <v>220</v>
      </c>
      <c r="AN99" t="s">
        <v>221</v>
      </c>
      <c r="AO99" t="s">
        <v>2002</v>
      </c>
      <c r="AP99" t="s">
        <v>2003</v>
      </c>
      <c r="AQ99" t="s">
        <v>74</v>
      </c>
      <c r="AR99" t="s">
        <v>2004</v>
      </c>
      <c r="AS99" t="s">
        <v>2005</v>
      </c>
      <c r="AT99" t="s">
        <v>1275</v>
      </c>
      <c r="AU99">
        <v>2023</v>
      </c>
      <c r="AV99">
        <v>8</v>
      </c>
      <c r="AW99">
        <v>4</v>
      </c>
      <c r="AX99" t="s">
        <v>74</v>
      </c>
      <c r="AY99" t="s">
        <v>74</v>
      </c>
      <c r="AZ99" t="s">
        <v>74</v>
      </c>
      <c r="BA99" t="s">
        <v>74</v>
      </c>
      <c r="BB99" t="s">
        <v>74</v>
      </c>
      <c r="BC99" t="s">
        <v>74</v>
      </c>
      <c r="BD99">
        <v>64</v>
      </c>
      <c r="BE99" t="s">
        <v>2006</v>
      </c>
      <c r="BF99" t="str">
        <f>HYPERLINK("http://dx.doi.org/10.1007/s43036-023-00291-9","http://dx.doi.org/10.1007/s43036-023-00291-9")</f>
        <v>http://dx.doi.org/10.1007/s43036-023-00291-9</v>
      </c>
      <c r="BG99" t="s">
        <v>74</v>
      </c>
      <c r="BH99" t="s">
        <v>74</v>
      </c>
      <c r="BI99">
        <v>10</v>
      </c>
      <c r="BJ99" t="s">
        <v>228</v>
      </c>
      <c r="BK99" t="s">
        <v>97</v>
      </c>
      <c r="BL99" t="s">
        <v>228</v>
      </c>
      <c r="BM99" t="s">
        <v>2007</v>
      </c>
      <c r="BN99" t="s">
        <v>74</v>
      </c>
      <c r="BO99" t="s">
        <v>74</v>
      </c>
      <c r="BP99" t="s">
        <v>74</v>
      </c>
      <c r="BQ99" t="s">
        <v>74</v>
      </c>
      <c r="BR99" t="s">
        <v>99</v>
      </c>
      <c r="BS99" t="s">
        <v>2008</v>
      </c>
      <c r="BT99" t="str">
        <f>HYPERLINK("https%3A%2F%2Fwww.webofscience.com%2Fwos%2Fwoscc%2Ffull-record%2FWOS:001061851300001","View Full Record in Web of Science")</f>
        <v>View Full Record in Web of Science</v>
      </c>
    </row>
    <row r="100" spans="1:72" x14ac:dyDescent="0.15">
      <c r="A100" t="s">
        <v>72</v>
      </c>
      <c r="B100" t="s">
        <v>2009</v>
      </c>
      <c r="C100" t="s">
        <v>74</v>
      </c>
      <c r="D100" t="s">
        <v>74</v>
      </c>
      <c r="E100" t="s">
        <v>74</v>
      </c>
      <c r="F100" t="s">
        <v>2010</v>
      </c>
      <c r="G100" t="s">
        <v>74</v>
      </c>
      <c r="H100" t="s">
        <v>74</v>
      </c>
      <c r="I100" t="s">
        <v>2011</v>
      </c>
      <c r="J100" t="s">
        <v>1469</v>
      </c>
      <c r="K100" t="s">
        <v>74</v>
      </c>
      <c r="L100" t="s">
        <v>74</v>
      </c>
      <c r="M100" t="s">
        <v>78</v>
      </c>
      <c r="N100" t="s">
        <v>79</v>
      </c>
      <c r="O100" t="s">
        <v>74</v>
      </c>
      <c r="P100" t="s">
        <v>74</v>
      </c>
      <c r="Q100" t="s">
        <v>74</v>
      </c>
      <c r="R100" t="s">
        <v>74</v>
      </c>
      <c r="S100" t="s">
        <v>74</v>
      </c>
      <c r="T100" t="s">
        <v>2012</v>
      </c>
      <c r="U100" t="s">
        <v>2013</v>
      </c>
      <c r="V100" t="s">
        <v>2014</v>
      </c>
      <c r="W100" t="s">
        <v>2015</v>
      </c>
      <c r="X100" t="s">
        <v>2016</v>
      </c>
      <c r="Y100" t="s">
        <v>2017</v>
      </c>
      <c r="Z100" t="s">
        <v>2018</v>
      </c>
      <c r="AA100" t="s">
        <v>74</v>
      </c>
      <c r="AB100" t="s">
        <v>74</v>
      </c>
      <c r="AC100" t="s">
        <v>2019</v>
      </c>
      <c r="AD100" t="s">
        <v>2020</v>
      </c>
      <c r="AE100" t="s">
        <v>2021</v>
      </c>
      <c r="AF100" t="s">
        <v>74</v>
      </c>
      <c r="AG100">
        <v>33</v>
      </c>
      <c r="AH100">
        <v>0</v>
      </c>
      <c r="AI100">
        <v>0</v>
      </c>
      <c r="AJ100">
        <v>4</v>
      </c>
      <c r="AK100">
        <v>4</v>
      </c>
      <c r="AL100" t="s">
        <v>172</v>
      </c>
      <c r="AM100" t="s">
        <v>173</v>
      </c>
      <c r="AN100" t="s">
        <v>174</v>
      </c>
      <c r="AO100" t="s">
        <v>1480</v>
      </c>
      <c r="AP100" t="s">
        <v>1481</v>
      </c>
      <c r="AQ100" t="s">
        <v>74</v>
      </c>
      <c r="AR100" t="s">
        <v>1482</v>
      </c>
      <c r="AS100" t="s">
        <v>1483</v>
      </c>
      <c r="AT100" t="s">
        <v>1275</v>
      </c>
      <c r="AU100">
        <v>2023</v>
      </c>
      <c r="AV100">
        <v>27</v>
      </c>
      <c r="AW100">
        <v>4</v>
      </c>
      <c r="AX100" t="s">
        <v>74</v>
      </c>
      <c r="AY100" t="s">
        <v>74</v>
      </c>
      <c r="AZ100" t="s">
        <v>74</v>
      </c>
      <c r="BA100" t="s">
        <v>74</v>
      </c>
      <c r="BB100" t="s">
        <v>74</v>
      </c>
      <c r="BC100" t="s">
        <v>74</v>
      </c>
      <c r="BD100">
        <v>167</v>
      </c>
      <c r="BE100" t="s">
        <v>2022</v>
      </c>
      <c r="BF100" t="str">
        <f>HYPERLINK("http://dx.doi.org/10.1007/s10291-023-01508-3","http://dx.doi.org/10.1007/s10291-023-01508-3")</f>
        <v>http://dx.doi.org/10.1007/s10291-023-01508-3</v>
      </c>
      <c r="BG100" t="s">
        <v>74</v>
      </c>
      <c r="BH100" t="s">
        <v>74</v>
      </c>
      <c r="BI100">
        <v>13</v>
      </c>
      <c r="BJ100" t="s">
        <v>1485</v>
      </c>
      <c r="BK100" t="s">
        <v>126</v>
      </c>
      <c r="BL100" t="s">
        <v>1485</v>
      </c>
      <c r="BM100" t="s">
        <v>2023</v>
      </c>
      <c r="BN100" t="s">
        <v>74</v>
      </c>
      <c r="BO100" t="s">
        <v>74</v>
      </c>
      <c r="BP100" t="s">
        <v>74</v>
      </c>
      <c r="BQ100" t="s">
        <v>74</v>
      </c>
      <c r="BR100" t="s">
        <v>99</v>
      </c>
      <c r="BS100" t="s">
        <v>2024</v>
      </c>
      <c r="BT100" t="str">
        <f>HYPERLINK("https%3A%2F%2Fwww.webofscience.com%2Fwos%2Fwoscc%2Ffull-record%2FWOS:001022498500001","View Full Record in Web of Science")</f>
        <v>View Full Record in Web of Science</v>
      </c>
    </row>
    <row r="101" spans="1:72" x14ac:dyDescent="0.15">
      <c r="A101" t="s">
        <v>72</v>
      </c>
      <c r="B101" t="s">
        <v>2025</v>
      </c>
      <c r="C101" t="s">
        <v>74</v>
      </c>
      <c r="D101" t="s">
        <v>74</v>
      </c>
      <c r="E101" t="s">
        <v>74</v>
      </c>
      <c r="F101" t="s">
        <v>2026</v>
      </c>
      <c r="G101" t="s">
        <v>74</v>
      </c>
      <c r="H101" t="s">
        <v>74</v>
      </c>
      <c r="I101" t="s">
        <v>2027</v>
      </c>
      <c r="J101" t="s">
        <v>1957</v>
      </c>
      <c r="K101" t="s">
        <v>74</v>
      </c>
      <c r="L101" t="s">
        <v>74</v>
      </c>
      <c r="M101" t="s">
        <v>78</v>
      </c>
      <c r="N101" t="s">
        <v>79</v>
      </c>
      <c r="O101" t="s">
        <v>74</v>
      </c>
      <c r="P101" t="s">
        <v>74</v>
      </c>
      <c r="Q101" t="s">
        <v>74</v>
      </c>
      <c r="R101" t="s">
        <v>74</v>
      </c>
      <c r="S101" t="s">
        <v>74</v>
      </c>
      <c r="T101" t="s">
        <v>74</v>
      </c>
      <c r="U101" t="s">
        <v>2028</v>
      </c>
      <c r="V101" t="s">
        <v>2029</v>
      </c>
      <c r="W101" t="s">
        <v>2030</v>
      </c>
      <c r="X101" t="s">
        <v>2031</v>
      </c>
      <c r="Y101" t="s">
        <v>2032</v>
      </c>
      <c r="Z101" t="s">
        <v>2033</v>
      </c>
      <c r="AA101" t="s">
        <v>74</v>
      </c>
      <c r="AB101" t="s">
        <v>74</v>
      </c>
      <c r="AC101" t="s">
        <v>2034</v>
      </c>
      <c r="AD101" t="s">
        <v>2034</v>
      </c>
      <c r="AE101" t="s">
        <v>2035</v>
      </c>
      <c r="AF101" t="s">
        <v>74</v>
      </c>
      <c r="AG101">
        <v>35</v>
      </c>
      <c r="AH101">
        <v>0</v>
      </c>
      <c r="AI101">
        <v>0</v>
      </c>
      <c r="AJ101">
        <v>2</v>
      </c>
      <c r="AK101">
        <v>2</v>
      </c>
      <c r="AL101" t="s">
        <v>117</v>
      </c>
      <c r="AM101" t="s">
        <v>118</v>
      </c>
      <c r="AN101" t="s">
        <v>119</v>
      </c>
      <c r="AO101" t="s">
        <v>1962</v>
      </c>
      <c r="AP101" t="s">
        <v>1963</v>
      </c>
      <c r="AQ101" t="s">
        <v>74</v>
      </c>
      <c r="AR101" t="s">
        <v>1964</v>
      </c>
      <c r="AS101" t="s">
        <v>1965</v>
      </c>
      <c r="AT101" t="s">
        <v>1275</v>
      </c>
      <c r="AU101">
        <v>2023</v>
      </c>
      <c r="AV101">
        <v>80</v>
      </c>
      <c r="AW101">
        <v>10</v>
      </c>
      <c r="AX101" t="s">
        <v>74</v>
      </c>
      <c r="AY101" t="s">
        <v>74</v>
      </c>
      <c r="AZ101" t="s">
        <v>74</v>
      </c>
      <c r="BA101" t="s">
        <v>74</v>
      </c>
      <c r="BB101" t="s">
        <v>74</v>
      </c>
      <c r="BC101" t="s">
        <v>74</v>
      </c>
      <c r="BD101">
        <v>337</v>
      </c>
      <c r="BE101" t="s">
        <v>2036</v>
      </c>
      <c r="BF101" t="str">
        <f>HYPERLINK("http://dx.doi.org/10.1007/s00284-023-03440-8","http://dx.doi.org/10.1007/s00284-023-03440-8")</f>
        <v>http://dx.doi.org/10.1007/s00284-023-03440-8</v>
      </c>
      <c r="BG101" t="s">
        <v>74</v>
      </c>
      <c r="BH101" t="s">
        <v>74</v>
      </c>
      <c r="BI101">
        <v>7</v>
      </c>
      <c r="BJ101" t="s">
        <v>1967</v>
      </c>
      <c r="BK101" t="s">
        <v>126</v>
      </c>
      <c r="BL101" t="s">
        <v>1967</v>
      </c>
      <c r="BM101" t="s">
        <v>2037</v>
      </c>
      <c r="BN101">
        <v>37668731</v>
      </c>
      <c r="BO101" t="s">
        <v>74</v>
      </c>
      <c r="BP101" t="s">
        <v>74</v>
      </c>
      <c r="BQ101" t="s">
        <v>74</v>
      </c>
      <c r="BR101" t="s">
        <v>99</v>
      </c>
      <c r="BS101" t="s">
        <v>2038</v>
      </c>
      <c r="BT101" t="str">
        <f>HYPERLINK("https%3A%2F%2Fwww.webofscience.com%2Fwos%2Fwoscc%2Ffull-record%2FWOS:001062196700001","View Full Record in Web of Science")</f>
        <v>View Full Record in Web of Science</v>
      </c>
    </row>
    <row r="102" spans="1:72" x14ac:dyDescent="0.15">
      <c r="A102" t="s">
        <v>72</v>
      </c>
      <c r="B102" t="s">
        <v>2039</v>
      </c>
      <c r="C102" t="s">
        <v>74</v>
      </c>
      <c r="D102" t="s">
        <v>74</v>
      </c>
      <c r="E102" t="s">
        <v>74</v>
      </c>
      <c r="F102" t="s">
        <v>2040</v>
      </c>
      <c r="G102" t="s">
        <v>74</v>
      </c>
      <c r="H102" t="s">
        <v>74</v>
      </c>
      <c r="I102" t="s">
        <v>2041</v>
      </c>
      <c r="J102" t="s">
        <v>2042</v>
      </c>
      <c r="K102" t="s">
        <v>74</v>
      </c>
      <c r="L102" t="s">
        <v>74</v>
      </c>
      <c r="M102" t="s">
        <v>78</v>
      </c>
      <c r="N102" t="s">
        <v>79</v>
      </c>
      <c r="O102" t="s">
        <v>74</v>
      </c>
      <c r="P102" t="s">
        <v>74</v>
      </c>
      <c r="Q102" t="s">
        <v>74</v>
      </c>
      <c r="R102" t="s">
        <v>74</v>
      </c>
      <c r="S102" t="s">
        <v>74</v>
      </c>
      <c r="T102" t="s">
        <v>2043</v>
      </c>
      <c r="U102" t="s">
        <v>2044</v>
      </c>
      <c r="V102" t="s">
        <v>2045</v>
      </c>
      <c r="W102" t="s">
        <v>2046</v>
      </c>
      <c r="X102" t="s">
        <v>2047</v>
      </c>
      <c r="Y102" t="s">
        <v>2048</v>
      </c>
      <c r="Z102" t="s">
        <v>2049</v>
      </c>
      <c r="AA102" t="s">
        <v>74</v>
      </c>
      <c r="AB102" t="s">
        <v>74</v>
      </c>
      <c r="AC102" t="s">
        <v>2050</v>
      </c>
      <c r="AD102" t="s">
        <v>2050</v>
      </c>
      <c r="AE102" t="s">
        <v>2050</v>
      </c>
      <c r="AF102" t="s">
        <v>74</v>
      </c>
      <c r="AG102">
        <v>35</v>
      </c>
      <c r="AH102">
        <v>0</v>
      </c>
      <c r="AI102">
        <v>0</v>
      </c>
      <c r="AJ102">
        <v>0</v>
      </c>
      <c r="AK102">
        <v>0</v>
      </c>
      <c r="AL102" t="s">
        <v>443</v>
      </c>
      <c r="AM102" t="s">
        <v>245</v>
      </c>
      <c r="AN102" t="s">
        <v>444</v>
      </c>
      <c r="AO102" t="s">
        <v>74</v>
      </c>
      <c r="AP102" t="s">
        <v>2051</v>
      </c>
      <c r="AQ102" t="s">
        <v>74</v>
      </c>
      <c r="AR102" t="s">
        <v>2052</v>
      </c>
      <c r="AS102" t="s">
        <v>2053</v>
      </c>
      <c r="AT102" t="s">
        <v>2054</v>
      </c>
      <c r="AU102">
        <v>2023</v>
      </c>
      <c r="AV102">
        <v>23</v>
      </c>
      <c r="AW102">
        <v>1</v>
      </c>
      <c r="AX102" t="s">
        <v>74</v>
      </c>
      <c r="AY102" t="s">
        <v>74</v>
      </c>
      <c r="AZ102" t="s">
        <v>74</v>
      </c>
      <c r="BA102" t="s">
        <v>74</v>
      </c>
      <c r="BB102" t="s">
        <v>74</v>
      </c>
      <c r="BC102" t="s">
        <v>74</v>
      </c>
      <c r="BD102">
        <v>343</v>
      </c>
      <c r="BE102" t="s">
        <v>2055</v>
      </c>
      <c r="BF102" t="str">
        <f>HYPERLINK("http://dx.doi.org/10.1186/s12883-023-03396-z","http://dx.doi.org/10.1186/s12883-023-03396-z")</f>
        <v>http://dx.doi.org/10.1186/s12883-023-03396-z</v>
      </c>
      <c r="BG102" t="s">
        <v>74</v>
      </c>
      <c r="BH102" t="s">
        <v>74</v>
      </c>
      <c r="BI102">
        <v>10</v>
      </c>
      <c r="BJ102" t="s">
        <v>2056</v>
      </c>
      <c r="BK102" t="s">
        <v>126</v>
      </c>
      <c r="BL102" t="s">
        <v>2057</v>
      </c>
      <c r="BM102" t="s">
        <v>2058</v>
      </c>
      <c r="BN102">
        <v>37770846</v>
      </c>
      <c r="BO102" t="s">
        <v>302</v>
      </c>
      <c r="BP102" t="s">
        <v>74</v>
      </c>
      <c r="BQ102" t="s">
        <v>74</v>
      </c>
      <c r="BR102" t="s">
        <v>99</v>
      </c>
      <c r="BS102" t="s">
        <v>2059</v>
      </c>
      <c r="BT102" t="str">
        <f>HYPERLINK("https%3A%2F%2Fwww.webofscience.com%2Fwos%2Fwoscc%2Ffull-record%2FWOS:001072774500001","View Full Record in Web of Science")</f>
        <v>View Full Record in Web of Science</v>
      </c>
    </row>
    <row r="103" spans="1:72" x14ac:dyDescent="0.15">
      <c r="A103" t="s">
        <v>72</v>
      </c>
      <c r="B103" t="s">
        <v>2060</v>
      </c>
      <c r="C103" t="s">
        <v>74</v>
      </c>
      <c r="D103" t="s">
        <v>74</v>
      </c>
      <c r="E103" t="s">
        <v>74</v>
      </c>
      <c r="F103" t="s">
        <v>2061</v>
      </c>
      <c r="G103" t="s">
        <v>74</v>
      </c>
      <c r="H103" t="s">
        <v>74</v>
      </c>
      <c r="I103" t="s">
        <v>2062</v>
      </c>
      <c r="J103" t="s">
        <v>2063</v>
      </c>
      <c r="K103" t="s">
        <v>74</v>
      </c>
      <c r="L103" t="s">
        <v>74</v>
      </c>
      <c r="M103" t="s">
        <v>78</v>
      </c>
      <c r="N103" t="s">
        <v>1246</v>
      </c>
      <c r="O103" t="s">
        <v>74</v>
      </c>
      <c r="P103" t="s">
        <v>74</v>
      </c>
      <c r="Q103" t="s">
        <v>74</v>
      </c>
      <c r="R103" t="s">
        <v>74</v>
      </c>
      <c r="S103" t="s">
        <v>74</v>
      </c>
      <c r="T103" t="s">
        <v>2064</v>
      </c>
      <c r="U103" t="s">
        <v>2065</v>
      </c>
      <c r="V103" t="s">
        <v>2066</v>
      </c>
      <c r="W103" t="s">
        <v>2067</v>
      </c>
      <c r="X103" t="s">
        <v>2068</v>
      </c>
      <c r="Y103" t="s">
        <v>2069</v>
      </c>
      <c r="Z103" t="s">
        <v>2070</v>
      </c>
      <c r="AA103" t="s">
        <v>74</v>
      </c>
      <c r="AB103" t="s">
        <v>74</v>
      </c>
      <c r="AC103" t="s">
        <v>2071</v>
      </c>
      <c r="AD103" t="s">
        <v>2071</v>
      </c>
      <c r="AE103" t="s">
        <v>2072</v>
      </c>
      <c r="AF103" t="s">
        <v>74</v>
      </c>
      <c r="AG103">
        <v>89</v>
      </c>
      <c r="AH103">
        <v>0</v>
      </c>
      <c r="AI103">
        <v>0</v>
      </c>
      <c r="AJ103">
        <v>0</v>
      </c>
      <c r="AK103">
        <v>0</v>
      </c>
      <c r="AL103" t="s">
        <v>117</v>
      </c>
      <c r="AM103" t="s">
        <v>118</v>
      </c>
      <c r="AN103" t="s">
        <v>119</v>
      </c>
      <c r="AO103" t="s">
        <v>2073</v>
      </c>
      <c r="AP103" t="s">
        <v>2074</v>
      </c>
      <c r="AQ103" t="s">
        <v>74</v>
      </c>
      <c r="AR103" t="s">
        <v>2075</v>
      </c>
      <c r="AS103" t="s">
        <v>2076</v>
      </c>
      <c r="AT103" t="s">
        <v>2077</v>
      </c>
      <c r="AU103">
        <v>2023</v>
      </c>
      <c r="AV103" t="s">
        <v>74</v>
      </c>
      <c r="AW103" t="s">
        <v>74</v>
      </c>
      <c r="AX103" t="s">
        <v>74</v>
      </c>
      <c r="AY103" t="s">
        <v>74</v>
      </c>
      <c r="AZ103" t="s">
        <v>74</v>
      </c>
      <c r="BA103" t="s">
        <v>74</v>
      </c>
      <c r="BB103" t="s">
        <v>74</v>
      </c>
      <c r="BC103" t="s">
        <v>74</v>
      </c>
      <c r="BD103" t="s">
        <v>74</v>
      </c>
      <c r="BE103" t="s">
        <v>2078</v>
      </c>
      <c r="BF103" t="str">
        <f>HYPERLINK("http://dx.doi.org/10.1007/s10869-023-09914-7","http://dx.doi.org/10.1007/s10869-023-09914-7")</f>
        <v>http://dx.doi.org/10.1007/s10869-023-09914-7</v>
      </c>
      <c r="BG103" t="s">
        <v>74</v>
      </c>
      <c r="BH103" t="s">
        <v>2079</v>
      </c>
      <c r="BI103">
        <v>26</v>
      </c>
      <c r="BJ103" t="s">
        <v>2080</v>
      </c>
      <c r="BK103" t="s">
        <v>425</v>
      </c>
      <c r="BL103" t="s">
        <v>2081</v>
      </c>
      <c r="BM103" t="s">
        <v>2082</v>
      </c>
      <c r="BN103" t="s">
        <v>74</v>
      </c>
      <c r="BO103" t="s">
        <v>74</v>
      </c>
      <c r="BP103" t="s">
        <v>74</v>
      </c>
      <c r="BQ103" t="s">
        <v>74</v>
      </c>
      <c r="BR103" t="s">
        <v>99</v>
      </c>
      <c r="BS103" t="s">
        <v>2083</v>
      </c>
      <c r="BT103" t="str">
        <f>HYPERLINK("https%3A%2F%2Fwww.webofscience.com%2Fwos%2Fwoscc%2Ffull-record%2FWOS:001072629000001","View Full Record in Web of Science")</f>
        <v>View Full Record in Web of Science</v>
      </c>
    </row>
    <row r="104" spans="1:72" x14ac:dyDescent="0.15">
      <c r="A104" t="s">
        <v>72</v>
      </c>
      <c r="B104" t="s">
        <v>2084</v>
      </c>
      <c r="C104" t="s">
        <v>74</v>
      </c>
      <c r="D104" t="s">
        <v>74</v>
      </c>
      <c r="E104" t="s">
        <v>74</v>
      </c>
      <c r="F104" t="s">
        <v>2085</v>
      </c>
      <c r="G104" t="s">
        <v>74</v>
      </c>
      <c r="H104" t="s">
        <v>74</v>
      </c>
      <c r="I104" t="s">
        <v>2086</v>
      </c>
      <c r="J104" t="s">
        <v>2087</v>
      </c>
      <c r="K104" t="s">
        <v>74</v>
      </c>
      <c r="L104" t="s">
        <v>74</v>
      </c>
      <c r="M104" t="s">
        <v>78</v>
      </c>
      <c r="N104" t="s">
        <v>79</v>
      </c>
      <c r="O104" t="s">
        <v>74</v>
      </c>
      <c r="P104" t="s">
        <v>74</v>
      </c>
      <c r="Q104" t="s">
        <v>74</v>
      </c>
      <c r="R104" t="s">
        <v>74</v>
      </c>
      <c r="S104" t="s">
        <v>74</v>
      </c>
      <c r="T104" t="s">
        <v>2088</v>
      </c>
      <c r="U104" t="s">
        <v>2089</v>
      </c>
      <c r="V104" t="s">
        <v>2090</v>
      </c>
      <c r="W104" t="s">
        <v>2091</v>
      </c>
      <c r="X104" t="s">
        <v>2092</v>
      </c>
      <c r="Y104" t="s">
        <v>2093</v>
      </c>
      <c r="Z104" t="s">
        <v>2094</v>
      </c>
      <c r="AA104" t="s">
        <v>74</v>
      </c>
      <c r="AB104" t="s">
        <v>74</v>
      </c>
      <c r="AC104" t="s">
        <v>2095</v>
      </c>
      <c r="AD104" t="s">
        <v>2095</v>
      </c>
      <c r="AE104" t="s">
        <v>2095</v>
      </c>
      <c r="AF104" t="s">
        <v>74</v>
      </c>
      <c r="AG104">
        <v>38</v>
      </c>
      <c r="AH104">
        <v>0</v>
      </c>
      <c r="AI104">
        <v>0</v>
      </c>
      <c r="AJ104">
        <v>0</v>
      </c>
      <c r="AK104">
        <v>0</v>
      </c>
      <c r="AL104" t="s">
        <v>317</v>
      </c>
      <c r="AM104" t="s">
        <v>245</v>
      </c>
      <c r="AN104" t="s">
        <v>318</v>
      </c>
      <c r="AO104" t="s">
        <v>74</v>
      </c>
      <c r="AP104" t="s">
        <v>2096</v>
      </c>
      <c r="AQ104" t="s">
        <v>74</v>
      </c>
      <c r="AR104" t="s">
        <v>2097</v>
      </c>
      <c r="AS104" t="s">
        <v>2098</v>
      </c>
      <c r="AT104" t="s">
        <v>2099</v>
      </c>
      <c r="AU104">
        <v>2023</v>
      </c>
      <c r="AV104">
        <v>10</v>
      </c>
      <c r="AW104">
        <v>1</v>
      </c>
      <c r="AX104" t="s">
        <v>74</v>
      </c>
      <c r="AY104" t="s">
        <v>74</v>
      </c>
      <c r="AZ104" t="s">
        <v>74</v>
      </c>
      <c r="BA104" t="s">
        <v>74</v>
      </c>
      <c r="BB104" t="s">
        <v>74</v>
      </c>
      <c r="BC104" t="s">
        <v>74</v>
      </c>
      <c r="BD104">
        <v>148</v>
      </c>
      <c r="BE104" t="s">
        <v>2100</v>
      </c>
      <c r="BF104" t="str">
        <f>HYPERLINK("http://dx.doi.org/10.1186/s40537-023-00824-2","http://dx.doi.org/10.1186/s40537-023-00824-2")</f>
        <v>http://dx.doi.org/10.1186/s40537-023-00824-2</v>
      </c>
      <c r="BG104" t="s">
        <v>74</v>
      </c>
      <c r="BH104" t="s">
        <v>74</v>
      </c>
      <c r="BI104">
        <v>18</v>
      </c>
      <c r="BJ104" t="s">
        <v>2101</v>
      </c>
      <c r="BK104" t="s">
        <v>126</v>
      </c>
      <c r="BL104" t="s">
        <v>1139</v>
      </c>
      <c r="BM104" t="s">
        <v>2102</v>
      </c>
      <c r="BN104" t="s">
        <v>74</v>
      </c>
      <c r="BO104" t="s">
        <v>302</v>
      </c>
      <c r="BP104" t="s">
        <v>74</v>
      </c>
      <c r="BQ104" t="s">
        <v>74</v>
      </c>
      <c r="BR104" t="s">
        <v>99</v>
      </c>
      <c r="BS104" t="s">
        <v>2103</v>
      </c>
      <c r="BT104" t="str">
        <f>HYPERLINK("https%3A%2F%2Fwww.webofscience.com%2Fwos%2Fwoscc%2Ffull-record%2FWOS:001072780000001","View Full Record in Web of Science")</f>
        <v>View Full Record in Web of Science</v>
      </c>
    </row>
    <row r="105" spans="1:72" x14ac:dyDescent="0.15">
      <c r="A105" t="s">
        <v>72</v>
      </c>
      <c r="B105" t="s">
        <v>2104</v>
      </c>
      <c r="C105" t="s">
        <v>74</v>
      </c>
      <c r="D105" t="s">
        <v>74</v>
      </c>
      <c r="E105" t="s">
        <v>74</v>
      </c>
      <c r="F105" t="s">
        <v>2105</v>
      </c>
      <c r="G105" t="s">
        <v>74</v>
      </c>
      <c r="H105" t="s">
        <v>74</v>
      </c>
      <c r="I105" t="s">
        <v>2106</v>
      </c>
      <c r="J105" t="s">
        <v>2107</v>
      </c>
      <c r="K105" t="s">
        <v>74</v>
      </c>
      <c r="L105" t="s">
        <v>74</v>
      </c>
      <c r="M105" t="s">
        <v>78</v>
      </c>
      <c r="N105" t="s">
        <v>79</v>
      </c>
      <c r="O105" t="s">
        <v>74</v>
      </c>
      <c r="P105" t="s">
        <v>74</v>
      </c>
      <c r="Q105" t="s">
        <v>74</v>
      </c>
      <c r="R105" t="s">
        <v>74</v>
      </c>
      <c r="S105" t="s">
        <v>74</v>
      </c>
      <c r="T105" t="s">
        <v>2108</v>
      </c>
      <c r="U105" t="s">
        <v>2109</v>
      </c>
      <c r="V105" t="s">
        <v>2110</v>
      </c>
      <c r="W105" t="s">
        <v>2111</v>
      </c>
      <c r="X105" t="s">
        <v>2112</v>
      </c>
      <c r="Y105" t="s">
        <v>2113</v>
      </c>
      <c r="Z105" t="s">
        <v>2114</v>
      </c>
      <c r="AA105" t="s">
        <v>74</v>
      </c>
      <c r="AB105" t="s">
        <v>74</v>
      </c>
      <c r="AC105" t="s">
        <v>2115</v>
      </c>
      <c r="AD105" t="s">
        <v>2115</v>
      </c>
      <c r="AE105" t="s">
        <v>2115</v>
      </c>
      <c r="AF105" t="s">
        <v>74</v>
      </c>
      <c r="AG105">
        <v>20</v>
      </c>
      <c r="AH105">
        <v>0</v>
      </c>
      <c r="AI105">
        <v>0</v>
      </c>
      <c r="AJ105">
        <v>1</v>
      </c>
      <c r="AK105">
        <v>1</v>
      </c>
      <c r="AL105" t="s">
        <v>443</v>
      </c>
      <c r="AM105" t="s">
        <v>245</v>
      </c>
      <c r="AN105" t="s">
        <v>444</v>
      </c>
      <c r="AO105" t="s">
        <v>2116</v>
      </c>
      <c r="AP105" t="s">
        <v>2117</v>
      </c>
      <c r="AQ105" t="s">
        <v>74</v>
      </c>
      <c r="AR105" t="s">
        <v>2118</v>
      </c>
      <c r="AS105" t="s">
        <v>2119</v>
      </c>
      <c r="AT105" t="s">
        <v>2120</v>
      </c>
      <c r="AU105">
        <v>2023</v>
      </c>
      <c r="AV105">
        <v>10</v>
      </c>
      <c r="AW105">
        <v>1</v>
      </c>
      <c r="AX105" t="s">
        <v>74</v>
      </c>
      <c r="AY105" t="s">
        <v>74</v>
      </c>
      <c r="AZ105" t="s">
        <v>74</v>
      </c>
      <c r="BA105" t="s">
        <v>74</v>
      </c>
      <c r="BB105" t="s">
        <v>74</v>
      </c>
      <c r="BC105" t="s">
        <v>74</v>
      </c>
      <c r="BD105">
        <v>45</v>
      </c>
      <c r="BE105" t="s">
        <v>2121</v>
      </c>
      <c r="BF105" t="str">
        <f>HYPERLINK("http://dx.doi.org/10.1186/s40779-023-00481-9","http://dx.doi.org/10.1186/s40779-023-00481-9")</f>
        <v>http://dx.doi.org/10.1186/s40779-023-00481-9</v>
      </c>
      <c r="BG105" t="s">
        <v>74</v>
      </c>
      <c r="BH105" t="s">
        <v>74</v>
      </c>
      <c r="BI105">
        <v>10</v>
      </c>
      <c r="BJ105" t="s">
        <v>1238</v>
      </c>
      <c r="BK105" t="s">
        <v>126</v>
      </c>
      <c r="BL105" t="s">
        <v>1239</v>
      </c>
      <c r="BM105" t="s">
        <v>2122</v>
      </c>
      <c r="BN105">
        <v>37752599</v>
      </c>
      <c r="BO105" t="s">
        <v>302</v>
      </c>
      <c r="BP105" t="s">
        <v>74</v>
      </c>
      <c r="BQ105" t="s">
        <v>74</v>
      </c>
      <c r="BR105" t="s">
        <v>99</v>
      </c>
      <c r="BS105" t="s">
        <v>2123</v>
      </c>
      <c r="BT105" t="str">
        <f>HYPERLINK("https%3A%2F%2Fwww.webofscience.com%2Fwos%2Fwoscc%2Ffull-record%2FWOS:001070929900001","View Full Record in Web of Science")</f>
        <v>View Full Record in Web of Science</v>
      </c>
    </row>
    <row r="106" spans="1:72" x14ac:dyDescent="0.15">
      <c r="A106" t="s">
        <v>72</v>
      </c>
      <c r="B106" t="s">
        <v>2124</v>
      </c>
      <c r="C106" t="s">
        <v>74</v>
      </c>
      <c r="D106" t="s">
        <v>74</v>
      </c>
      <c r="E106" t="s">
        <v>74</v>
      </c>
      <c r="F106" t="s">
        <v>2125</v>
      </c>
      <c r="G106" t="s">
        <v>74</v>
      </c>
      <c r="H106" t="s">
        <v>74</v>
      </c>
      <c r="I106" t="s">
        <v>2126</v>
      </c>
      <c r="J106" t="s">
        <v>2127</v>
      </c>
      <c r="K106" t="s">
        <v>74</v>
      </c>
      <c r="L106" t="s">
        <v>74</v>
      </c>
      <c r="M106" t="s">
        <v>78</v>
      </c>
      <c r="N106" t="s">
        <v>1246</v>
      </c>
      <c r="O106" t="s">
        <v>74</v>
      </c>
      <c r="P106" t="s">
        <v>74</v>
      </c>
      <c r="Q106" t="s">
        <v>74</v>
      </c>
      <c r="R106" t="s">
        <v>74</v>
      </c>
      <c r="S106" t="s">
        <v>74</v>
      </c>
      <c r="T106" t="s">
        <v>2128</v>
      </c>
      <c r="U106" t="s">
        <v>2129</v>
      </c>
      <c r="V106" t="s">
        <v>2130</v>
      </c>
      <c r="W106" t="s">
        <v>2131</v>
      </c>
      <c r="X106" t="s">
        <v>2132</v>
      </c>
      <c r="Y106" t="s">
        <v>2133</v>
      </c>
      <c r="Z106" t="s">
        <v>2134</v>
      </c>
      <c r="AA106" t="s">
        <v>74</v>
      </c>
      <c r="AB106" t="s">
        <v>74</v>
      </c>
      <c r="AC106" t="s">
        <v>2135</v>
      </c>
      <c r="AD106" t="s">
        <v>2136</v>
      </c>
      <c r="AE106" t="s">
        <v>2137</v>
      </c>
      <c r="AF106" t="s">
        <v>74</v>
      </c>
      <c r="AG106">
        <v>64</v>
      </c>
      <c r="AH106">
        <v>0</v>
      </c>
      <c r="AI106">
        <v>0</v>
      </c>
      <c r="AJ106">
        <v>0</v>
      </c>
      <c r="AK106">
        <v>0</v>
      </c>
      <c r="AL106" t="s">
        <v>117</v>
      </c>
      <c r="AM106" t="s">
        <v>118</v>
      </c>
      <c r="AN106" t="s">
        <v>119</v>
      </c>
      <c r="AO106" t="s">
        <v>2138</v>
      </c>
      <c r="AP106" t="s">
        <v>2139</v>
      </c>
      <c r="AQ106" t="s">
        <v>74</v>
      </c>
      <c r="AR106" t="s">
        <v>2140</v>
      </c>
      <c r="AS106" t="s">
        <v>2141</v>
      </c>
      <c r="AT106" t="s">
        <v>2142</v>
      </c>
      <c r="AU106">
        <v>2023</v>
      </c>
      <c r="AV106" t="s">
        <v>74</v>
      </c>
      <c r="AW106" t="s">
        <v>74</v>
      </c>
      <c r="AX106" t="s">
        <v>74</v>
      </c>
      <c r="AY106" t="s">
        <v>74</v>
      </c>
      <c r="AZ106" t="s">
        <v>74</v>
      </c>
      <c r="BA106" t="s">
        <v>74</v>
      </c>
      <c r="BB106" t="s">
        <v>74</v>
      </c>
      <c r="BC106" t="s">
        <v>74</v>
      </c>
      <c r="BD106" t="s">
        <v>74</v>
      </c>
      <c r="BE106" t="s">
        <v>2143</v>
      </c>
      <c r="BF106" t="str">
        <f>HYPERLINK("http://dx.doi.org/10.1007/s11090-023-10389","http://dx.doi.org/10.1007/s11090-023-10389")</f>
        <v>http://dx.doi.org/10.1007/s11090-023-10389</v>
      </c>
      <c r="BG106" t="s">
        <v>74</v>
      </c>
      <c r="BH106" t="s">
        <v>2079</v>
      </c>
      <c r="BI106">
        <v>26</v>
      </c>
      <c r="BJ106" t="s">
        <v>2144</v>
      </c>
      <c r="BK106" t="s">
        <v>126</v>
      </c>
      <c r="BL106" t="s">
        <v>2145</v>
      </c>
      <c r="BM106" t="s">
        <v>2146</v>
      </c>
      <c r="BN106" t="s">
        <v>74</v>
      </c>
      <c r="BO106" t="s">
        <v>74</v>
      </c>
      <c r="BP106" t="s">
        <v>74</v>
      </c>
      <c r="BQ106" t="s">
        <v>74</v>
      </c>
      <c r="BR106" t="s">
        <v>99</v>
      </c>
      <c r="BS106" t="s">
        <v>2147</v>
      </c>
      <c r="BT106" t="str">
        <f>HYPERLINK("https%3A%2F%2Fwww.webofscience.com%2Fwos%2Fwoscc%2Ffull-record%2FWOS:001072607700001","View Full Record in Web of Science")</f>
        <v>View Full Record in Web of Science</v>
      </c>
    </row>
    <row r="107" spans="1:72" x14ac:dyDescent="0.15">
      <c r="A107" t="s">
        <v>72</v>
      </c>
      <c r="B107" t="s">
        <v>2148</v>
      </c>
      <c r="C107" t="s">
        <v>74</v>
      </c>
      <c r="D107" t="s">
        <v>74</v>
      </c>
      <c r="E107" t="s">
        <v>74</v>
      </c>
      <c r="F107" t="s">
        <v>2149</v>
      </c>
      <c r="G107" t="s">
        <v>74</v>
      </c>
      <c r="H107" t="s">
        <v>74</v>
      </c>
      <c r="I107" t="s">
        <v>2150</v>
      </c>
      <c r="J107" t="s">
        <v>2151</v>
      </c>
      <c r="K107" t="s">
        <v>74</v>
      </c>
      <c r="L107" t="s">
        <v>74</v>
      </c>
      <c r="M107" t="s">
        <v>78</v>
      </c>
      <c r="N107" t="s">
        <v>1246</v>
      </c>
      <c r="O107" t="s">
        <v>74</v>
      </c>
      <c r="P107" t="s">
        <v>74</v>
      </c>
      <c r="Q107" t="s">
        <v>74</v>
      </c>
      <c r="R107" t="s">
        <v>74</v>
      </c>
      <c r="S107" t="s">
        <v>74</v>
      </c>
      <c r="T107" t="s">
        <v>2152</v>
      </c>
      <c r="U107" t="s">
        <v>2153</v>
      </c>
      <c r="V107" t="s">
        <v>2154</v>
      </c>
      <c r="W107" t="s">
        <v>2155</v>
      </c>
      <c r="X107" t="s">
        <v>2156</v>
      </c>
      <c r="Y107" t="s">
        <v>2157</v>
      </c>
      <c r="Z107" t="s">
        <v>2158</v>
      </c>
      <c r="AA107" t="s">
        <v>74</v>
      </c>
      <c r="AB107" t="s">
        <v>74</v>
      </c>
      <c r="AC107" t="s">
        <v>2159</v>
      </c>
      <c r="AD107" t="s">
        <v>2160</v>
      </c>
      <c r="AE107" t="s">
        <v>2161</v>
      </c>
      <c r="AF107" t="s">
        <v>74</v>
      </c>
      <c r="AG107">
        <v>27</v>
      </c>
      <c r="AH107">
        <v>0</v>
      </c>
      <c r="AI107">
        <v>0</v>
      </c>
      <c r="AJ107">
        <v>0</v>
      </c>
      <c r="AK107">
        <v>0</v>
      </c>
      <c r="AL107" t="s">
        <v>172</v>
      </c>
      <c r="AM107" t="s">
        <v>173</v>
      </c>
      <c r="AN107" t="s">
        <v>174</v>
      </c>
      <c r="AO107" t="s">
        <v>2162</v>
      </c>
      <c r="AP107" t="s">
        <v>2163</v>
      </c>
      <c r="AQ107" t="s">
        <v>74</v>
      </c>
      <c r="AR107" t="s">
        <v>2164</v>
      </c>
      <c r="AS107" t="s">
        <v>2165</v>
      </c>
      <c r="AT107" t="s">
        <v>2166</v>
      </c>
      <c r="AU107">
        <v>2023</v>
      </c>
      <c r="AV107" t="s">
        <v>74</v>
      </c>
      <c r="AW107" t="s">
        <v>74</v>
      </c>
      <c r="AX107" t="s">
        <v>74</v>
      </c>
      <c r="AY107" t="s">
        <v>74</v>
      </c>
      <c r="AZ107" t="s">
        <v>74</v>
      </c>
      <c r="BA107" t="s">
        <v>74</v>
      </c>
      <c r="BB107" t="s">
        <v>74</v>
      </c>
      <c r="BC107" t="s">
        <v>74</v>
      </c>
      <c r="BD107" t="s">
        <v>74</v>
      </c>
      <c r="BE107" t="s">
        <v>2167</v>
      </c>
      <c r="BF107" t="str">
        <f>HYPERLINK("http://dx.doi.org/10.1007/s12190-023-01920-5","http://dx.doi.org/10.1007/s12190-023-01920-5")</f>
        <v>http://dx.doi.org/10.1007/s12190-023-01920-5</v>
      </c>
      <c r="BG107" t="s">
        <v>74</v>
      </c>
      <c r="BH107" t="s">
        <v>2079</v>
      </c>
      <c r="BI107">
        <v>24</v>
      </c>
      <c r="BJ107" t="s">
        <v>227</v>
      </c>
      <c r="BK107" t="s">
        <v>126</v>
      </c>
      <c r="BL107" t="s">
        <v>228</v>
      </c>
      <c r="BM107" t="s">
        <v>2168</v>
      </c>
      <c r="BN107" t="s">
        <v>74</v>
      </c>
      <c r="BO107" t="s">
        <v>74</v>
      </c>
      <c r="BP107" t="s">
        <v>74</v>
      </c>
      <c r="BQ107" t="s">
        <v>74</v>
      </c>
      <c r="BR107" t="s">
        <v>99</v>
      </c>
      <c r="BS107" t="s">
        <v>2169</v>
      </c>
      <c r="BT107" t="str">
        <f>HYPERLINK("https%3A%2F%2Fwww.webofscience.com%2Fwos%2Fwoscc%2Ffull-record%2FWOS:001072292200001","View Full Record in Web of Science")</f>
        <v>View Full Record in Web of Science</v>
      </c>
    </row>
    <row r="108" spans="1:72" x14ac:dyDescent="0.15">
      <c r="A108" t="s">
        <v>72</v>
      </c>
      <c r="B108" t="s">
        <v>2170</v>
      </c>
      <c r="C108" t="s">
        <v>74</v>
      </c>
      <c r="D108" t="s">
        <v>74</v>
      </c>
      <c r="E108" t="s">
        <v>74</v>
      </c>
      <c r="F108" t="s">
        <v>2171</v>
      </c>
      <c r="G108" t="s">
        <v>74</v>
      </c>
      <c r="H108" t="s">
        <v>74</v>
      </c>
      <c r="I108" t="s">
        <v>2172</v>
      </c>
      <c r="J108" t="s">
        <v>2173</v>
      </c>
      <c r="K108" t="s">
        <v>74</v>
      </c>
      <c r="L108" t="s">
        <v>74</v>
      </c>
      <c r="M108" t="s">
        <v>78</v>
      </c>
      <c r="N108" t="s">
        <v>2174</v>
      </c>
      <c r="O108" t="s">
        <v>74</v>
      </c>
      <c r="P108" t="s">
        <v>74</v>
      </c>
      <c r="Q108" t="s">
        <v>74</v>
      </c>
      <c r="R108" t="s">
        <v>74</v>
      </c>
      <c r="S108" t="s">
        <v>74</v>
      </c>
      <c r="T108" t="s">
        <v>2175</v>
      </c>
      <c r="U108" t="s">
        <v>2176</v>
      </c>
      <c r="V108" t="s">
        <v>2177</v>
      </c>
      <c r="W108" t="s">
        <v>2178</v>
      </c>
      <c r="X108" t="s">
        <v>2179</v>
      </c>
      <c r="Y108" t="s">
        <v>2180</v>
      </c>
      <c r="Z108" t="s">
        <v>2181</v>
      </c>
      <c r="AA108" t="s">
        <v>74</v>
      </c>
      <c r="AB108" t="s">
        <v>74</v>
      </c>
      <c r="AC108" t="s">
        <v>2182</v>
      </c>
      <c r="AD108" t="s">
        <v>2183</v>
      </c>
      <c r="AE108" t="s">
        <v>2184</v>
      </c>
      <c r="AF108" t="s">
        <v>74</v>
      </c>
      <c r="AG108">
        <v>48</v>
      </c>
      <c r="AH108">
        <v>0</v>
      </c>
      <c r="AI108">
        <v>0</v>
      </c>
      <c r="AJ108">
        <v>0</v>
      </c>
      <c r="AK108">
        <v>0</v>
      </c>
      <c r="AL108" t="s">
        <v>172</v>
      </c>
      <c r="AM108" t="s">
        <v>173</v>
      </c>
      <c r="AN108" t="s">
        <v>174</v>
      </c>
      <c r="AO108" t="s">
        <v>2185</v>
      </c>
      <c r="AP108" t="s">
        <v>2186</v>
      </c>
      <c r="AQ108" t="s">
        <v>74</v>
      </c>
      <c r="AR108" t="s">
        <v>2187</v>
      </c>
      <c r="AS108" t="s">
        <v>2188</v>
      </c>
      <c r="AT108" t="s">
        <v>2166</v>
      </c>
      <c r="AU108">
        <v>2023</v>
      </c>
      <c r="AV108" t="s">
        <v>74</v>
      </c>
      <c r="AW108" t="s">
        <v>74</v>
      </c>
      <c r="AX108" t="s">
        <v>74</v>
      </c>
      <c r="AY108" t="s">
        <v>74</v>
      </c>
      <c r="AZ108" t="s">
        <v>74</v>
      </c>
      <c r="BA108" t="s">
        <v>74</v>
      </c>
      <c r="BB108" t="s">
        <v>74</v>
      </c>
      <c r="BC108" t="s">
        <v>74</v>
      </c>
      <c r="BD108" t="s">
        <v>74</v>
      </c>
      <c r="BE108" t="s">
        <v>2189</v>
      </c>
      <c r="BF108" t="str">
        <f>HYPERLINK("http://dx.doi.org/10.1007/s12145-023-01111-7","http://dx.doi.org/10.1007/s12145-023-01111-7")</f>
        <v>http://dx.doi.org/10.1007/s12145-023-01111-7</v>
      </c>
      <c r="BG108" t="s">
        <v>74</v>
      </c>
      <c r="BH108" t="s">
        <v>2079</v>
      </c>
      <c r="BI108">
        <v>15</v>
      </c>
      <c r="BJ108" t="s">
        <v>2190</v>
      </c>
      <c r="BK108" t="s">
        <v>126</v>
      </c>
      <c r="BL108" t="s">
        <v>2191</v>
      </c>
      <c r="BM108" t="s">
        <v>2192</v>
      </c>
      <c r="BN108" t="s">
        <v>74</v>
      </c>
      <c r="BO108" t="s">
        <v>74</v>
      </c>
      <c r="BP108" t="s">
        <v>74</v>
      </c>
      <c r="BQ108" t="s">
        <v>74</v>
      </c>
      <c r="BR108" t="s">
        <v>99</v>
      </c>
      <c r="BS108" t="s">
        <v>2193</v>
      </c>
      <c r="BT108" t="str">
        <f>HYPERLINK("https%3A%2F%2Fwww.webofscience.com%2Fwos%2Fwoscc%2Ffull-record%2FWOS:001071593400001","View Full Record in Web of Science")</f>
        <v>View Full Record in Web of Science</v>
      </c>
    </row>
    <row r="109" spans="1:72" x14ac:dyDescent="0.15">
      <c r="A109" t="s">
        <v>72</v>
      </c>
      <c r="B109" t="s">
        <v>2194</v>
      </c>
      <c r="C109" t="s">
        <v>74</v>
      </c>
      <c r="D109" t="s">
        <v>74</v>
      </c>
      <c r="E109" t="s">
        <v>74</v>
      </c>
      <c r="F109" t="s">
        <v>2195</v>
      </c>
      <c r="G109" t="s">
        <v>74</v>
      </c>
      <c r="H109" t="s">
        <v>74</v>
      </c>
      <c r="I109" t="s">
        <v>2196</v>
      </c>
      <c r="J109" t="s">
        <v>2197</v>
      </c>
      <c r="K109" t="s">
        <v>74</v>
      </c>
      <c r="L109" t="s">
        <v>74</v>
      </c>
      <c r="M109" t="s">
        <v>78</v>
      </c>
      <c r="N109" t="s">
        <v>1246</v>
      </c>
      <c r="O109" t="s">
        <v>74</v>
      </c>
      <c r="P109" t="s">
        <v>74</v>
      </c>
      <c r="Q109" t="s">
        <v>74</v>
      </c>
      <c r="R109" t="s">
        <v>74</v>
      </c>
      <c r="S109" t="s">
        <v>74</v>
      </c>
      <c r="T109" t="s">
        <v>2198</v>
      </c>
      <c r="U109" t="s">
        <v>74</v>
      </c>
      <c r="V109" t="s">
        <v>2199</v>
      </c>
      <c r="W109" t="s">
        <v>2200</v>
      </c>
      <c r="X109" t="s">
        <v>2201</v>
      </c>
      <c r="Y109" t="s">
        <v>2202</v>
      </c>
      <c r="Z109" t="s">
        <v>2203</v>
      </c>
      <c r="AA109" t="s">
        <v>74</v>
      </c>
      <c r="AB109" t="s">
        <v>74</v>
      </c>
      <c r="AC109" t="s">
        <v>74</v>
      </c>
      <c r="AD109" t="s">
        <v>74</v>
      </c>
      <c r="AE109" t="s">
        <v>74</v>
      </c>
      <c r="AF109" t="s">
        <v>74</v>
      </c>
      <c r="AG109">
        <v>10</v>
      </c>
      <c r="AH109">
        <v>0</v>
      </c>
      <c r="AI109">
        <v>0</v>
      </c>
      <c r="AJ109">
        <v>0</v>
      </c>
      <c r="AK109">
        <v>0</v>
      </c>
      <c r="AL109" t="s">
        <v>172</v>
      </c>
      <c r="AM109" t="s">
        <v>173</v>
      </c>
      <c r="AN109" t="s">
        <v>174</v>
      </c>
      <c r="AO109" t="s">
        <v>2204</v>
      </c>
      <c r="AP109" t="s">
        <v>2205</v>
      </c>
      <c r="AQ109" t="s">
        <v>74</v>
      </c>
      <c r="AR109" t="s">
        <v>2206</v>
      </c>
      <c r="AS109" t="s">
        <v>2207</v>
      </c>
      <c r="AT109" t="s">
        <v>2166</v>
      </c>
      <c r="AU109">
        <v>2023</v>
      </c>
      <c r="AV109" t="s">
        <v>74</v>
      </c>
      <c r="AW109" t="s">
        <v>74</v>
      </c>
      <c r="AX109" t="s">
        <v>74</v>
      </c>
      <c r="AY109" t="s">
        <v>74</v>
      </c>
      <c r="AZ109" t="s">
        <v>74</v>
      </c>
      <c r="BA109" t="s">
        <v>74</v>
      </c>
      <c r="BB109" t="s">
        <v>74</v>
      </c>
      <c r="BC109" t="s">
        <v>74</v>
      </c>
      <c r="BD109" t="s">
        <v>74</v>
      </c>
      <c r="BE109" t="s">
        <v>2208</v>
      </c>
      <c r="BF109" t="str">
        <f>HYPERLINK("http://dx.doi.org/10.1007/s43441-023-00576-4","http://dx.doi.org/10.1007/s43441-023-00576-4")</f>
        <v>http://dx.doi.org/10.1007/s43441-023-00576-4</v>
      </c>
      <c r="BG109" t="s">
        <v>74</v>
      </c>
      <c r="BH109" t="s">
        <v>2079</v>
      </c>
      <c r="BI109">
        <v>9</v>
      </c>
      <c r="BJ109" t="s">
        <v>2209</v>
      </c>
      <c r="BK109" t="s">
        <v>126</v>
      </c>
      <c r="BL109" t="s">
        <v>2209</v>
      </c>
      <c r="BM109" t="s">
        <v>2210</v>
      </c>
      <c r="BN109">
        <v>37751063</v>
      </c>
      <c r="BO109" t="s">
        <v>327</v>
      </c>
      <c r="BP109" t="s">
        <v>74</v>
      </c>
      <c r="BQ109" t="s">
        <v>74</v>
      </c>
      <c r="BR109" t="s">
        <v>99</v>
      </c>
      <c r="BS109" t="s">
        <v>2211</v>
      </c>
      <c r="BT109" t="str">
        <f>HYPERLINK("https%3A%2F%2Fwww.webofscience.com%2Fwos%2Fwoscc%2Ffull-record%2FWOS:001072267400001","View Full Record in Web of Science")</f>
        <v>View Full Record in Web of Science</v>
      </c>
    </row>
    <row r="110" spans="1:72" x14ac:dyDescent="0.15">
      <c r="A110" t="s">
        <v>72</v>
      </c>
      <c r="B110" t="s">
        <v>2212</v>
      </c>
      <c r="C110" t="s">
        <v>74</v>
      </c>
      <c r="D110" t="s">
        <v>74</v>
      </c>
      <c r="E110" t="s">
        <v>74</v>
      </c>
      <c r="F110" t="s">
        <v>2213</v>
      </c>
      <c r="G110" t="s">
        <v>74</v>
      </c>
      <c r="H110" t="s">
        <v>74</v>
      </c>
      <c r="I110" t="s">
        <v>2214</v>
      </c>
      <c r="J110" t="s">
        <v>2215</v>
      </c>
      <c r="K110" t="s">
        <v>74</v>
      </c>
      <c r="L110" t="s">
        <v>74</v>
      </c>
      <c r="M110" t="s">
        <v>78</v>
      </c>
      <c r="N110" t="s">
        <v>1246</v>
      </c>
      <c r="O110" t="s">
        <v>74</v>
      </c>
      <c r="P110" t="s">
        <v>74</v>
      </c>
      <c r="Q110" t="s">
        <v>74</v>
      </c>
      <c r="R110" t="s">
        <v>74</v>
      </c>
      <c r="S110" t="s">
        <v>74</v>
      </c>
      <c r="T110" t="s">
        <v>2216</v>
      </c>
      <c r="U110" t="s">
        <v>2217</v>
      </c>
      <c r="V110" t="s">
        <v>2218</v>
      </c>
      <c r="W110" t="s">
        <v>2219</v>
      </c>
      <c r="X110" t="s">
        <v>2220</v>
      </c>
      <c r="Y110" t="s">
        <v>2221</v>
      </c>
      <c r="Z110" t="s">
        <v>2222</v>
      </c>
      <c r="AA110" t="s">
        <v>74</v>
      </c>
      <c r="AB110" t="s">
        <v>2223</v>
      </c>
      <c r="AC110" t="s">
        <v>2224</v>
      </c>
      <c r="AD110" t="s">
        <v>2224</v>
      </c>
      <c r="AE110" t="s">
        <v>2225</v>
      </c>
      <c r="AF110" t="s">
        <v>74</v>
      </c>
      <c r="AG110">
        <v>35</v>
      </c>
      <c r="AH110">
        <v>0</v>
      </c>
      <c r="AI110">
        <v>0</v>
      </c>
      <c r="AJ110">
        <v>0</v>
      </c>
      <c r="AK110">
        <v>0</v>
      </c>
      <c r="AL110" t="s">
        <v>117</v>
      </c>
      <c r="AM110" t="s">
        <v>118</v>
      </c>
      <c r="AN110" t="s">
        <v>119</v>
      </c>
      <c r="AO110" t="s">
        <v>2226</v>
      </c>
      <c r="AP110" t="s">
        <v>2227</v>
      </c>
      <c r="AQ110" t="s">
        <v>74</v>
      </c>
      <c r="AR110" t="s">
        <v>2228</v>
      </c>
      <c r="AS110" t="s">
        <v>2229</v>
      </c>
      <c r="AT110" t="s">
        <v>2166</v>
      </c>
      <c r="AU110">
        <v>2023</v>
      </c>
      <c r="AV110" t="s">
        <v>74</v>
      </c>
      <c r="AW110" t="s">
        <v>74</v>
      </c>
      <c r="AX110" t="s">
        <v>74</v>
      </c>
      <c r="AY110" t="s">
        <v>74</v>
      </c>
      <c r="AZ110" t="s">
        <v>74</v>
      </c>
      <c r="BA110" t="s">
        <v>74</v>
      </c>
      <c r="BB110" t="s">
        <v>74</v>
      </c>
      <c r="BC110" t="s">
        <v>74</v>
      </c>
      <c r="BD110" t="s">
        <v>74</v>
      </c>
      <c r="BE110" t="s">
        <v>2230</v>
      </c>
      <c r="BF110" t="str">
        <f>HYPERLINK("http://dx.doi.org/10.1007/s00428-023-03635-1","http://dx.doi.org/10.1007/s00428-023-03635-1")</f>
        <v>http://dx.doi.org/10.1007/s00428-023-03635-1</v>
      </c>
      <c r="BG110" t="s">
        <v>74</v>
      </c>
      <c r="BH110" t="s">
        <v>2079</v>
      </c>
      <c r="BI110">
        <v>10</v>
      </c>
      <c r="BJ110" t="s">
        <v>2231</v>
      </c>
      <c r="BK110" t="s">
        <v>126</v>
      </c>
      <c r="BL110" t="s">
        <v>2231</v>
      </c>
      <c r="BM110" t="s">
        <v>2232</v>
      </c>
      <c r="BN110">
        <v>37750927</v>
      </c>
      <c r="BO110" t="s">
        <v>74</v>
      </c>
      <c r="BP110" t="s">
        <v>74</v>
      </c>
      <c r="BQ110" t="s">
        <v>74</v>
      </c>
      <c r="BR110" t="s">
        <v>99</v>
      </c>
      <c r="BS110" t="s">
        <v>2233</v>
      </c>
      <c r="BT110" t="str">
        <f>HYPERLINK("https%3A%2F%2Fwww.webofscience.com%2Fwos%2Fwoscc%2Ffull-record%2FWOS:001070800900001","View Full Record in Web of Science")</f>
        <v>View Full Record in Web of Science</v>
      </c>
    </row>
    <row r="111" spans="1:72" x14ac:dyDescent="0.15">
      <c r="A111" t="s">
        <v>72</v>
      </c>
      <c r="B111" t="s">
        <v>2234</v>
      </c>
      <c r="C111" t="s">
        <v>74</v>
      </c>
      <c r="D111" t="s">
        <v>74</v>
      </c>
      <c r="E111" t="s">
        <v>74</v>
      </c>
      <c r="F111" t="s">
        <v>2235</v>
      </c>
      <c r="G111" t="s">
        <v>74</v>
      </c>
      <c r="H111" t="s">
        <v>74</v>
      </c>
      <c r="I111" t="s">
        <v>2236</v>
      </c>
      <c r="J111" t="s">
        <v>2237</v>
      </c>
      <c r="K111" t="s">
        <v>74</v>
      </c>
      <c r="L111" t="s">
        <v>74</v>
      </c>
      <c r="M111" t="s">
        <v>78</v>
      </c>
      <c r="N111" t="s">
        <v>79</v>
      </c>
      <c r="O111" t="s">
        <v>74</v>
      </c>
      <c r="P111" t="s">
        <v>74</v>
      </c>
      <c r="Q111" t="s">
        <v>74</v>
      </c>
      <c r="R111" t="s">
        <v>74</v>
      </c>
      <c r="S111" t="s">
        <v>74</v>
      </c>
      <c r="T111" t="s">
        <v>2238</v>
      </c>
      <c r="U111" t="s">
        <v>2239</v>
      </c>
      <c r="V111" t="s">
        <v>2240</v>
      </c>
      <c r="W111" t="s">
        <v>2241</v>
      </c>
      <c r="X111" t="s">
        <v>2242</v>
      </c>
      <c r="Y111" t="s">
        <v>2243</v>
      </c>
      <c r="Z111" t="s">
        <v>2244</v>
      </c>
      <c r="AA111" t="s">
        <v>74</v>
      </c>
      <c r="AB111" t="s">
        <v>74</v>
      </c>
      <c r="AC111" t="s">
        <v>2245</v>
      </c>
      <c r="AD111" t="s">
        <v>2245</v>
      </c>
      <c r="AE111" t="s">
        <v>2245</v>
      </c>
      <c r="AF111" t="s">
        <v>74</v>
      </c>
      <c r="AG111">
        <v>25</v>
      </c>
      <c r="AH111">
        <v>0</v>
      </c>
      <c r="AI111">
        <v>0</v>
      </c>
      <c r="AJ111">
        <v>0</v>
      </c>
      <c r="AK111">
        <v>0</v>
      </c>
      <c r="AL111" t="s">
        <v>117</v>
      </c>
      <c r="AM111" t="s">
        <v>118</v>
      </c>
      <c r="AN111" t="s">
        <v>119</v>
      </c>
      <c r="AO111" t="s">
        <v>2246</v>
      </c>
      <c r="AP111" t="s">
        <v>74</v>
      </c>
      <c r="AQ111" t="s">
        <v>74</v>
      </c>
      <c r="AR111" t="s">
        <v>2247</v>
      </c>
      <c r="AS111" t="s">
        <v>2248</v>
      </c>
      <c r="AT111" t="s">
        <v>2249</v>
      </c>
      <c r="AU111">
        <v>2023</v>
      </c>
      <c r="AV111">
        <v>13</v>
      </c>
      <c r="AW111">
        <v>1</v>
      </c>
      <c r="AX111" t="s">
        <v>74</v>
      </c>
      <c r="AY111" t="s">
        <v>74</v>
      </c>
      <c r="AZ111" t="s">
        <v>74</v>
      </c>
      <c r="BA111" t="s">
        <v>74</v>
      </c>
      <c r="BB111" t="s">
        <v>74</v>
      </c>
      <c r="BC111" t="s">
        <v>74</v>
      </c>
      <c r="BD111">
        <v>91</v>
      </c>
      <c r="BE111" t="s">
        <v>2250</v>
      </c>
      <c r="BF111" t="str">
        <f>HYPERLINK("http://dx.doi.org/10.1186/s13613-023-01180-3","http://dx.doi.org/10.1186/s13613-023-01180-3")</f>
        <v>http://dx.doi.org/10.1186/s13613-023-01180-3</v>
      </c>
      <c r="BG111" t="s">
        <v>74</v>
      </c>
      <c r="BH111" t="s">
        <v>74</v>
      </c>
      <c r="BI111">
        <v>12</v>
      </c>
      <c r="BJ111" t="s">
        <v>2251</v>
      </c>
      <c r="BK111" t="s">
        <v>126</v>
      </c>
      <c r="BL111" t="s">
        <v>1239</v>
      </c>
      <c r="BM111" t="s">
        <v>2252</v>
      </c>
      <c r="BN111">
        <v>37752365</v>
      </c>
      <c r="BO111" t="s">
        <v>540</v>
      </c>
      <c r="BP111" t="s">
        <v>74</v>
      </c>
      <c r="BQ111" t="s">
        <v>74</v>
      </c>
      <c r="BR111" t="s">
        <v>99</v>
      </c>
      <c r="BS111" t="s">
        <v>2253</v>
      </c>
      <c r="BT111" t="str">
        <f>HYPERLINK("https%3A%2F%2Fwww.webofscience.com%2Fwos%2Fwoscc%2Ffull-record%2FWOS:001073838400001","View Full Record in Web of Science")</f>
        <v>View Full Record in Web of Science</v>
      </c>
    </row>
    <row r="112" spans="1:72" x14ac:dyDescent="0.15">
      <c r="A112" t="s">
        <v>72</v>
      </c>
      <c r="B112" t="s">
        <v>2254</v>
      </c>
      <c r="C112" t="s">
        <v>74</v>
      </c>
      <c r="D112" t="s">
        <v>74</v>
      </c>
      <c r="E112" t="s">
        <v>74</v>
      </c>
      <c r="F112" t="s">
        <v>2255</v>
      </c>
      <c r="G112" t="s">
        <v>74</v>
      </c>
      <c r="H112" t="s">
        <v>74</v>
      </c>
      <c r="I112" t="s">
        <v>2256</v>
      </c>
      <c r="J112" t="s">
        <v>2257</v>
      </c>
      <c r="K112" t="s">
        <v>74</v>
      </c>
      <c r="L112" t="s">
        <v>74</v>
      </c>
      <c r="M112" t="s">
        <v>78</v>
      </c>
      <c r="N112" t="s">
        <v>1246</v>
      </c>
      <c r="O112" t="s">
        <v>74</v>
      </c>
      <c r="P112" t="s">
        <v>74</v>
      </c>
      <c r="Q112" t="s">
        <v>74</v>
      </c>
      <c r="R112" t="s">
        <v>74</v>
      </c>
      <c r="S112" t="s">
        <v>74</v>
      </c>
      <c r="T112" t="s">
        <v>2258</v>
      </c>
      <c r="U112" t="s">
        <v>2259</v>
      </c>
      <c r="V112" t="s">
        <v>2260</v>
      </c>
      <c r="W112" t="s">
        <v>2261</v>
      </c>
      <c r="X112" t="s">
        <v>2262</v>
      </c>
      <c r="Y112" t="s">
        <v>2263</v>
      </c>
      <c r="Z112" t="s">
        <v>2264</v>
      </c>
      <c r="AA112" t="s">
        <v>74</v>
      </c>
      <c r="AB112" t="s">
        <v>74</v>
      </c>
      <c r="AC112" t="s">
        <v>74</v>
      </c>
      <c r="AD112" t="s">
        <v>74</v>
      </c>
      <c r="AE112" t="s">
        <v>74</v>
      </c>
      <c r="AF112" t="s">
        <v>74</v>
      </c>
      <c r="AG112">
        <v>49</v>
      </c>
      <c r="AH112">
        <v>0</v>
      </c>
      <c r="AI112">
        <v>0</v>
      </c>
      <c r="AJ112">
        <v>0</v>
      </c>
      <c r="AK112">
        <v>0</v>
      </c>
      <c r="AL112" t="s">
        <v>705</v>
      </c>
      <c r="AM112" t="s">
        <v>706</v>
      </c>
      <c r="AN112" t="s">
        <v>707</v>
      </c>
      <c r="AO112" t="s">
        <v>2265</v>
      </c>
      <c r="AP112" t="s">
        <v>2266</v>
      </c>
      <c r="AQ112" t="s">
        <v>74</v>
      </c>
      <c r="AR112" t="s">
        <v>2267</v>
      </c>
      <c r="AS112" t="s">
        <v>2268</v>
      </c>
      <c r="AT112" t="s">
        <v>2166</v>
      </c>
      <c r="AU112">
        <v>2023</v>
      </c>
      <c r="AV112" t="s">
        <v>74</v>
      </c>
      <c r="AW112" t="s">
        <v>74</v>
      </c>
      <c r="AX112" t="s">
        <v>74</v>
      </c>
      <c r="AY112" t="s">
        <v>74</v>
      </c>
      <c r="AZ112" t="s">
        <v>74</v>
      </c>
      <c r="BA112" t="s">
        <v>74</v>
      </c>
      <c r="BB112" t="s">
        <v>74</v>
      </c>
      <c r="BC112" t="s">
        <v>74</v>
      </c>
      <c r="BD112" t="s">
        <v>74</v>
      </c>
      <c r="BE112" t="s">
        <v>2269</v>
      </c>
      <c r="BF112" t="str">
        <f>HYPERLINK("http://dx.doi.org/10.1057/s41311-023-00505-0","http://dx.doi.org/10.1057/s41311-023-00505-0")</f>
        <v>http://dx.doi.org/10.1057/s41311-023-00505-0</v>
      </c>
      <c r="BG112" t="s">
        <v>74</v>
      </c>
      <c r="BH112" t="s">
        <v>2079</v>
      </c>
      <c r="BI112">
        <v>20</v>
      </c>
      <c r="BJ112" t="s">
        <v>2270</v>
      </c>
      <c r="BK112" t="s">
        <v>425</v>
      </c>
      <c r="BL112" t="s">
        <v>2271</v>
      </c>
      <c r="BM112" t="s">
        <v>2272</v>
      </c>
      <c r="BN112" t="s">
        <v>74</v>
      </c>
      <c r="BO112" t="s">
        <v>74</v>
      </c>
      <c r="BP112" t="s">
        <v>74</v>
      </c>
      <c r="BQ112" t="s">
        <v>74</v>
      </c>
      <c r="BR112" t="s">
        <v>99</v>
      </c>
      <c r="BS112" t="s">
        <v>2273</v>
      </c>
      <c r="BT112" t="str">
        <f>HYPERLINK("https%3A%2F%2Fwww.webofscience.com%2Fwos%2Fwoscc%2Ffull-record%2FWOS:001072256400001","View Full Record in Web of Science")</f>
        <v>View Full Record in Web of Science</v>
      </c>
    </row>
    <row r="113" spans="1:72" x14ac:dyDescent="0.15">
      <c r="A113" t="s">
        <v>72</v>
      </c>
      <c r="B113" t="s">
        <v>2274</v>
      </c>
      <c r="C113" t="s">
        <v>74</v>
      </c>
      <c r="D113" t="s">
        <v>74</v>
      </c>
      <c r="E113" t="s">
        <v>74</v>
      </c>
      <c r="F113" t="s">
        <v>2275</v>
      </c>
      <c r="G113" t="s">
        <v>74</v>
      </c>
      <c r="H113" t="s">
        <v>74</v>
      </c>
      <c r="I113" t="s">
        <v>2276</v>
      </c>
      <c r="J113" t="s">
        <v>2277</v>
      </c>
      <c r="K113" t="s">
        <v>74</v>
      </c>
      <c r="L113" t="s">
        <v>74</v>
      </c>
      <c r="M113" t="s">
        <v>78</v>
      </c>
      <c r="N113" t="s">
        <v>1246</v>
      </c>
      <c r="O113" t="s">
        <v>74</v>
      </c>
      <c r="P113" t="s">
        <v>74</v>
      </c>
      <c r="Q113" t="s">
        <v>74</v>
      </c>
      <c r="R113" t="s">
        <v>74</v>
      </c>
      <c r="S113" t="s">
        <v>74</v>
      </c>
      <c r="T113" t="s">
        <v>2278</v>
      </c>
      <c r="U113" t="s">
        <v>2279</v>
      </c>
      <c r="V113" t="s">
        <v>2280</v>
      </c>
      <c r="W113" t="s">
        <v>2281</v>
      </c>
      <c r="X113" t="s">
        <v>2282</v>
      </c>
      <c r="Y113" t="s">
        <v>2283</v>
      </c>
      <c r="Z113" t="s">
        <v>2284</v>
      </c>
      <c r="AA113" t="s">
        <v>74</v>
      </c>
      <c r="AB113" t="s">
        <v>74</v>
      </c>
      <c r="AC113" t="s">
        <v>2285</v>
      </c>
      <c r="AD113" t="s">
        <v>2285</v>
      </c>
      <c r="AE113" t="s">
        <v>2286</v>
      </c>
      <c r="AF113" t="s">
        <v>74</v>
      </c>
      <c r="AG113">
        <v>113</v>
      </c>
      <c r="AH113">
        <v>0</v>
      </c>
      <c r="AI113">
        <v>0</v>
      </c>
      <c r="AJ113">
        <v>0</v>
      </c>
      <c r="AK113">
        <v>0</v>
      </c>
      <c r="AL113" t="s">
        <v>117</v>
      </c>
      <c r="AM113" t="s">
        <v>627</v>
      </c>
      <c r="AN113" t="s">
        <v>628</v>
      </c>
      <c r="AO113" t="s">
        <v>2287</v>
      </c>
      <c r="AP113" t="s">
        <v>2288</v>
      </c>
      <c r="AQ113" t="s">
        <v>74</v>
      </c>
      <c r="AR113" t="s">
        <v>2289</v>
      </c>
      <c r="AS113" t="s">
        <v>2290</v>
      </c>
      <c r="AT113" t="s">
        <v>2166</v>
      </c>
      <c r="AU113">
        <v>2023</v>
      </c>
      <c r="AV113" t="s">
        <v>74</v>
      </c>
      <c r="AW113" t="s">
        <v>74</v>
      </c>
      <c r="AX113" t="s">
        <v>74</v>
      </c>
      <c r="AY113" t="s">
        <v>74</v>
      </c>
      <c r="AZ113" t="s">
        <v>74</v>
      </c>
      <c r="BA113" t="s">
        <v>74</v>
      </c>
      <c r="BB113" t="s">
        <v>74</v>
      </c>
      <c r="BC113" t="s">
        <v>74</v>
      </c>
      <c r="BD113" t="s">
        <v>74</v>
      </c>
      <c r="BE113" t="s">
        <v>2291</v>
      </c>
      <c r="BF113" t="str">
        <f>HYPERLINK("http://dx.doi.org/10.1007/s10832-023-00331","http://dx.doi.org/10.1007/s10832-023-00331")</f>
        <v>http://dx.doi.org/10.1007/s10832-023-00331</v>
      </c>
      <c r="BG113" t="s">
        <v>74</v>
      </c>
      <c r="BH113" t="s">
        <v>2079</v>
      </c>
      <c r="BI113">
        <v>12</v>
      </c>
      <c r="BJ113" t="s">
        <v>2292</v>
      </c>
      <c r="BK113" t="s">
        <v>126</v>
      </c>
      <c r="BL113" t="s">
        <v>2293</v>
      </c>
      <c r="BM113" t="s">
        <v>2294</v>
      </c>
      <c r="BN113" t="s">
        <v>74</v>
      </c>
      <c r="BO113" t="s">
        <v>74</v>
      </c>
      <c r="BP113" t="s">
        <v>74</v>
      </c>
      <c r="BQ113" t="s">
        <v>74</v>
      </c>
      <c r="BR113" t="s">
        <v>99</v>
      </c>
      <c r="BS113" t="s">
        <v>2295</v>
      </c>
      <c r="BT113" t="str">
        <f>HYPERLINK("https%3A%2F%2Fwww.webofscience.com%2Fwos%2Fwoscc%2Ffull-record%2FWOS:001070613400001","View Full Record in Web of Science")</f>
        <v>View Full Record in Web of Science</v>
      </c>
    </row>
    <row r="114" spans="1:72" x14ac:dyDescent="0.15">
      <c r="A114" t="s">
        <v>72</v>
      </c>
      <c r="B114" t="s">
        <v>2296</v>
      </c>
      <c r="C114" t="s">
        <v>74</v>
      </c>
      <c r="D114" t="s">
        <v>74</v>
      </c>
      <c r="E114" t="s">
        <v>74</v>
      </c>
      <c r="F114" t="s">
        <v>2297</v>
      </c>
      <c r="G114" t="s">
        <v>74</v>
      </c>
      <c r="H114" t="s">
        <v>74</v>
      </c>
      <c r="I114" t="s">
        <v>2298</v>
      </c>
      <c r="J114" t="s">
        <v>2299</v>
      </c>
      <c r="K114" t="s">
        <v>74</v>
      </c>
      <c r="L114" t="s">
        <v>74</v>
      </c>
      <c r="M114" t="s">
        <v>78</v>
      </c>
      <c r="N114" t="s">
        <v>1246</v>
      </c>
      <c r="O114" t="s">
        <v>74</v>
      </c>
      <c r="P114" t="s">
        <v>74</v>
      </c>
      <c r="Q114" t="s">
        <v>74</v>
      </c>
      <c r="R114" t="s">
        <v>74</v>
      </c>
      <c r="S114" t="s">
        <v>74</v>
      </c>
      <c r="T114" t="s">
        <v>74</v>
      </c>
      <c r="U114" t="s">
        <v>2300</v>
      </c>
      <c r="V114" t="s">
        <v>2301</v>
      </c>
      <c r="W114" t="s">
        <v>2302</v>
      </c>
      <c r="X114" t="s">
        <v>2303</v>
      </c>
      <c r="Y114" t="s">
        <v>2304</v>
      </c>
      <c r="Z114" t="s">
        <v>2305</v>
      </c>
      <c r="AA114" t="s">
        <v>74</v>
      </c>
      <c r="AB114" t="s">
        <v>74</v>
      </c>
      <c r="AC114" t="s">
        <v>2306</v>
      </c>
      <c r="AD114" t="s">
        <v>2307</v>
      </c>
      <c r="AE114" t="s">
        <v>2308</v>
      </c>
      <c r="AF114" t="s">
        <v>74</v>
      </c>
      <c r="AG114">
        <v>50</v>
      </c>
      <c r="AH114">
        <v>0</v>
      </c>
      <c r="AI114">
        <v>0</v>
      </c>
      <c r="AJ114">
        <v>1</v>
      </c>
      <c r="AK114">
        <v>1</v>
      </c>
      <c r="AL114" t="s">
        <v>146</v>
      </c>
      <c r="AM114" t="s">
        <v>147</v>
      </c>
      <c r="AN114" t="s">
        <v>148</v>
      </c>
      <c r="AO114" t="s">
        <v>2309</v>
      </c>
      <c r="AP114" t="s">
        <v>2310</v>
      </c>
      <c r="AQ114" t="s">
        <v>74</v>
      </c>
      <c r="AR114" t="s">
        <v>2311</v>
      </c>
      <c r="AS114" t="s">
        <v>2312</v>
      </c>
      <c r="AT114" t="s">
        <v>2166</v>
      </c>
      <c r="AU114">
        <v>2023</v>
      </c>
      <c r="AV114" t="s">
        <v>74</v>
      </c>
      <c r="AW114" t="s">
        <v>74</v>
      </c>
      <c r="AX114" t="s">
        <v>74</v>
      </c>
      <c r="AY114" t="s">
        <v>74</v>
      </c>
      <c r="AZ114" t="s">
        <v>74</v>
      </c>
      <c r="BA114" t="s">
        <v>74</v>
      </c>
      <c r="BB114" t="s">
        <v>74</v>
      </c>
      <c r="BC114" t="s">
        <v>74</v>
      </c>
      <c r="BD114" t="s">
        <v>74</v>
      </c>
      <c r="BE114" t="s">
        <v>2313</v>
      </c>
      <c r="BF114" t="str">
        <f>HYPERLINK("http://dx.doi.org/10.1007/s00707-023-03721-0","http://dx.doi.org/10.1007/s00707-023-03721-0")</f>
        <v>http://dx.doi.org/10.1007/s00707-023-03721-0</v>
      </c>
      <c r="BG114" t="s">
        <v>74</v>
      </c>
      <c r="BH114" t="s">
        <v>2079</v>
      </c>
      <c r="BI114">
        <v>15</v>
      </c>
      <c r="BJ114" t="s">
        <v>2314</v>
      </c>
      <c r="BK114" t="s">
        <v>126</v>
      </c>
      <c r="BL114" t="s">
        <v>2314</v>
      </c>
      <c r="BM114" t="s">
        <v>2315</v>
      </c>
      <c r="BN114" t="s">
        <v>74</v>
      </c>
      <c r="BO114" t="s">
        <v>74</v>
      </c>
      <c r="BP114" t="s">
        <v>74</v>
      </c>
      <c r="BQ114" t="s">
        <v>74</v>
      </c>
      <c r="BR114" t="s">
        <v>99</v>
      </c>
      <c r="BS114" t="s">
        <v>2316</v>
      </c>
      <c r="BT114" t="str">
        <f>HYPERLINK("https%3A%2F%2Fwww.webofscience.com%2Fwos%2Fwoscc%2Ffull-record%2FWOS:001070800400001","View Full Record in Web of Science")</f>
        <v>View Full Record in Web of Science</v>
      </c>
    </row>
    <row r="115" spans="1:72" x14ac:dyDescent="0.15">
      <c r="A115" t="s">
        <v>72</v>
      </c>
      <c r="B115" t="s">
        <v>2317</v>
      </c>
      <c r="C115" t="s">
        <v>74</v>
      </c>
      <c r="D115" t="s">
        <v>74</v>
      </c>
      <c r="E115" t="s">
        <v>74</v>
      </c>
      <c r="F115" t="s">
        <v>2318</v>
      </c>
      <c r="G115" t="s">
        <v>74</v>
      </c>
      <c r="H115" t="s">
        <v>74</v>
      </c>
      <c r="I115" t="s">
        <v>2319</v>
      </c>
      <c r="J115" t="s">
        <v>2320</v>
      </c>
      <c r="K115" t="s">
        <v>74</v>
      </c>
      <c r="L115" t="s">
        <v>74</v>
      </c>
      <c r="M115" t="s">
        <v>78</v>
      </c>
      <c r="N115" t="s">
        <v>1246</v>
      </c>
      <c r="O115" t="s">
        <v>74</v>
      </c>
      <c r="P115" t="s">
        <v>74</v>
      </c>
      <c r="Q115" t="s">
        <v>74</v>
      </c>
      <c r="R115" t="s">
        <v>74</v>
      </c>
      <c r="S115" t="s">
        <v>74</v>
      </c>
      <c r="T115" t="s">
        <v>2321</v>
      </c>
      <c r="U115" t="s">
        <v>74</v>
      </c>
      <c r="V115" t="s">
        <v>2322</v>
      </c>
      <c r="W115" t="s">
        <v>2323</v>
      </c>
      <c r="X115" t="s">
        <v>2324</v>
      </c>
      <c r="Y115" t="s">
        <v>2325</v>
      </c>
      <c r="Z115" t="s">
        <v>2326</v>
      </c>
      <c r="AA115" t="s">
        <v>74</v>
      </c>
      <c r="AB115" t="s">
        <v>74</v>
      </c>
      <c r="AC115" t="s">
        <v>74</v>
      </c>
      <c r="AD115" t="s">
        <v>74</v>
      </c>
      <c r="AE115" t="s">
        <v>74</v>
      </c>
      <c r="AF115" t="s">
        <v>74</v>
      </c>
      <c r="AG115">
        <v>28</v>
      </c>
      <c r="AH115">
        <v>0</v>
      </c>
      <c r="AI115">
        <v>0</v>
      </c>
      <c r="AJ115">
        <v>0</v>
      </c>
      <c r="AK115">
        <v>0</v>
      </c>
      <c r="AL115" t="s">
        <v>117</v>
      </c>
      <c r="AM115" t="s">
        <v>118</v>
      </c>
      <c r="AN115" t="s">
        <v>119</v>
      </c>
      <c r="AO115" t="s">
        <v>2327</v>
      </c>
      <c r="AP115" t="s">
        <v>2328</v>
      </c>
      <c r="AQ115" t="s">
        <v>74</v>
      </c>
      <c r="AR115" t="s">
        <v>2329</v>
      </c>
      <c r="AS115" t="s">
        <v>2330</v>
      </c>
      <c r="AT115" t="s">
        <v>2331</v>
      </c>
      <c r="AU115">
        <v>2023</v>
      </c>
      <c r="AV115" t="s">
        <v>74</v>
      </c>
      <c r="AW115" t="s">
        <v>74</v>
      </c>
      <c r="AX115" t="s">
        <v>74</v>
      </c>
      <c r="AY115" t="s">
        <v>74</v>
      </c>
      <c r="AZ115" t="s">
        <v>74</v>
      </c>
      <c r="BA115" t="s">
        <v>74</v>
      </c>
      <c r="BB115" t="s">
        <v>74</v>
      </c>
      <c r="BC115" t="s">
        <v>74</v>
      </c>
      <c r="BD115" t="s">
        <v>74</v>
      </c>
      <c r="BE115" t="s">
        <v>2332</v>
      </c>
      <c r="BF115" t="str">
        <f>HYPERLINK("http://dx.doi.org/10.1007/s00202-023-02025-9","http://dx.doi.org/10.1007/s00202-023-02025-9")</f>
        <v>http://dx.doi.org/10.1007/s00202-023-02025-9</v>
      </c>
      <c r="BG115" t="s">
        <v>74</v>
      </c>
      <c r="BH115" t="s">
        <v>2079</v>
      </c>
      <c r="BI115">
        <v>13</v>
      </c>
      <c r="BJ115" t="s">
        <v>2333</v>
      </c>
      <c r="BK115" t="s">
        <v>126</v>
      </c>
      <c r="BL115" t="s">
        <v>277</v>
      </c>
      <c r="BM115" t="s">
        <v>2334</v>
      </c>
      <c r="BN115" t="s">
        <v>74</v>
      </c>
      <c r="BO115" t="s">
        <v>74</v>
      </c>
      <c r="BP115" t="s">
        <v>74</v>
      </c>
      <c r="BQ115" t="s">
        <v>74</v>
      </c>
      <c r="BR115" t="s">
        <v>99</v>
      </c>
      <c r="BS115" t="s">
        <v>2335</v>
      </c>
      <c r="BT115" t="str">
        <f>HYPERLINK("https%3A%2F%2Fwww.webofscience.com%2Fwos%2Fwoscc%2Ffull-record%2FWOS:001071596700001","View Full Record in Web of Science")</f>
        <v>View Full Record in Web of Science</v>
      </c>
    </row>
    <row r="116" spans="1:72" x14ac:dyDescent="0.15">
      <c r="A116" t="s">
        <v>72</v>
      </c>
      <c r="B116" t="s">
        <v>2336</v>
      </c>
      <c r="C116" t="s">
        <v>74</v>
      </c>
      <c r="D116" t="s">
        <v>74</v>
      </c>
      <c r="E116" t="s">
        <v>74</v>
      </c>
      <c r="F116" t="s">
        <v>2337</v>
      </c>
      <c r="G116" t="s">
        <v>74</v>
      </c>
      <c r="H116" t="s">
        <v>74</v>
      </c>
      <c r="I116" t="s">
        <v>2338</v>
      </c>
      <c r="J116" t="s">
        <v>2339</v>
      </c>
      <c r="K116" t="s">
        <v>74</v>
      </c>
      <c r="L116" t="s">
        <v>74</v>
      </c>
      <c r="M116" t="s">
        <v>78</v>
      </c>
      <c r="N116" t="s">
        <v>1246</v>
      </c>
      <c r="O116" t="s">
        <v>74</v>
      </c>
      <c r="P116" t="s">
        <v>74</v>
      </c>
      <c r="Q116" t="s">
        <v>74</v>
      </c>
      <c r="R116" t="s">
        <v>74</v>
      </c>
      <c r="S116" t="s">
        <v>74</v>
      </c>
      <c r="T116" t="s">
        <v>2340</v>
      </c>
      <c r="U116" t="s">
        <v>2341</v>
      </c>
      <c r="V116" t="s">
        <v>2342</v>
      </c>
      <c r="W116" t="s">
        <v>2343</v>
      </c>
      <c r="X116" t="s">
        <v>2344</v>
      </c>
      <c r="Y116" t="s">
        <v>2345</v>
      </c>
      <c r="Z116" t="s">
        <v>2346</v>
      </c>
      <c r="AA116" t="s">
        <v>74</v>
      </c>
      <c r="AB116" t="s">
        <v>74</v>
      </c>
      <c r="AC116" t="s">
        <v>2347</v>
      </c>
      <c r="AD116" t="s">
        <v>2347</v>
      </c>
      <c r="AE116" t="s">
        <v>2348</v>
      </c>
      <c r="AF116" t="s">
        <v>74</v>
      </c>
      <c r="AG116">
        <v>104</v>
      </c>
      <c r="AH116">
        <v>0</v>
      </c>
      <c r="AI116">
        <v>0</v>
      </c>
      <c r="AJ116">
        <v>0</v>
      </c>
      <c r="AK116">
        <v>0</v>
      </c>
      <c r="AL116" t="s">
        <v>117</v>
      </c>
      <c r="AM116" t="s">
        <v>118</v>
      </c>
      <c r="AN116" t="s">
        <v>119</v>
      </c>
      <c r="AO116" t="s">
        <v>2349</v>
      </c>
      <c r="AP116" t="s">
        <v>2350</v>
      </c>
      <c r="AQ116" t="s">
        <v>74</v>
      </c>
      <c r="AR116" t="s">
        <v>2339</v>
      </c>
      <c r="AS116" t="s">
        <v>2351</v>
      </c>
      <c r="AT116" t="s">
        <v>2331</v>
      </c>
      <c r="AU116">
        <v>2023</v>
      </c>
      <c r="AV116" t="s">
        <v>74</v>
      </c>
      <c r="AW116" t="s">
        <v>74</v>
      </c>
      <c r="AX116" t="s">
        <v>74</v>
      </c>
      <c r="AY116" t="s">
        <v>74</v>
      </c>
      <c r="AZ116" t="s">
        <v>74</v>
      </c>
      <c r="BA116" t="s">
        <v>74</v>
      </c>
      <c r="BB116" t="s">
        <v>74</v>
      </c>
      <c r="BC116" t="s">
        <v>74</v>
      </c>
      <c r="BD116" t="s">
        <v>74</v>
      </c>
      <c r="BE116" t="s">
        <v>2352</v>
      </c>
      <c r="BF116" t="str">
        <f>HYPERLINK("http://dx.doi.org/10.1007/s00213-023-06468-7","http://dx.doi.org/10.1007/s00213-023-06468-7")</f>
        <v>http://dx.doi.org/10.1007/s00213-023-06468-7</v>
      </c>
      <c r="BG116" t="s">
        <v>74</v>
      </c>
      <c r="BH116" t="s">
        <v>2079</v>
      </c>
      <c r="BI116">
        <v>20</v>
      </c>
      <c r="BJ116" t="s">
        <v>2353</v>
      </c>
      <c r="BK116" t="s">
        <v>126</v>
      </c>
      <c r="BL116" t="s">
        <v>2354</v>
      </c>
      <c r="BM116" t="s">
        <v>2355</v>
      </c>
      <c r="BN116">
        <v>37747506</v>
      </c>
      <c r="BO116" t="s">
        <v>74</v>
      </c>
      <c r="BP116" t="s">
        <v>74</v>
      </c>
      <c r="BQ116" t="s">
        <v>74</v>
      </c>
      <c r="BR116" t="s">
        <v>99</v>
      </c>
      <c r="BS116" t="s">
        <v>2356</v>
      </c>
      <c r="BT116" t="str">
        <f>HYPERLINK("https%3A%2F%2Fwww.webofscience.com%2Fwos%2Fwoscc%2Ffull-record%2FWOS:001070280000001","View Full Record in Web of Science")</f>
        <v>View Full Record in Web of Science</v>
      </c>
    </row>
    <row r="117" spans="1:72" x14ac:dyDescent="0.15">
      <c r="A117" t="s">
        <v>72</v>
      </c>
      <c r="B117" t="s">
        <v>2357</v>
      </c>
      <c r="C117" t="s">
        <v>74</v>
      </c>
      <c r="D117" t="s">
        <v>74</v>
      </c>
      <c r="E117" t="s">
        <v>74</v>
      </c>
      <c r="F117" t="s">
        <v>2358</v>
      </c>
      <c r="G117" t="s">
        <v>74</v>
      </c>
      <c r="H117" t="s">
        <v>74</v>
      </c>
      <c r="I117" t="s">
        <v>2359</v>
      </c>
      <c r="J117" t="s">
        <v>2360</v>
      </c>
      <c r="K117" t="s">
        <v>74</v>
      </c>
      <c r="L117" t="s">
        <v>74</v>
      </c>
      <c r="M117" t="s">
        <v>78</v>
      </c>
      <c r="N117" t="s">
        <v>1246</v>
      </c>
      <c r="O117" t="s">
        <v>74</v>
      </c>
      <c r="P117" t="s">
        <v>74</v>
      </c>
      <c r="Q117" t="s">
        <v>74</v>
      </c>
      <c r="R117" t="s">
        <v>74</v>
      </c>
      <c r="S117" t="s">
        <v>74</v>
      </c>
      <c r="T117" t="s">
        <v>2361</v>
      </c>
      <c r="U117" t="s">
        <v>2362</v>
      </c>
      <c r="V117" t="s">
        <v>2363</v>
      </c>
      <c r="W117" t="s">
        <v>2364</v>
      </c>
      <c r="X117" t="s">
        <v>74</v>
      </c>
      <c r="Y117" t="s">
        <v>2365</v>
      </c>
      <c r="Z117" t="s">
        <v>2366</v>
      </c>
      <c r="AA117" t="s">
        <v>74</v>
      </c>
      <c r="AB117" t="s">
        <v>74</v>
      </c>
      <c r="AC117" t="s">
        <v>2367</v>
      </c>
      <c r="AD117" t="s">
        <v>2367</v>
      </c>
      <c r="AE117" t="s">
        <v>2367</v>
      </c>
      <c r="AF117" t="s">
        <v>74</v>
      </c>
      <c r="AG117">
        <v>19</v>
      </c>
      <c r="AH117">
        <v>0</v>
      </c>
      <c r="AI117">
        <v>0</v>
      </c>
      <c r="AJ117">
        <v>0</v>
      </c>
      <c r="AK117">
        <v>0</v>
      </c>
      <c r="AL117" t="s">
        <v>87</v>
      </c>
      <c r="AM117" t="s">
        <v>88</v>
      </c>
      <c r="AN117" t="s">
        <v>89</v>
      </c>
      <c r="AO117" t="s">
        <v>2368</v>
      </c>
      <c r="AP117" t="s">
        <v>2369</v>
      </c>
      <c r="AQ117" t="s">
        <v>74</v>
      </c>
      <c r="AR117" t="s">
        <v>2370</v>
      </c>
      <c r="AS117" t="s">
        <v>2371</v>
      </c>
      <c r="AT117" t="s">
        <v>2331</v>
      </c>
      <c r="AU117">
        <v>2023</v>
      </c>
      <c r="AV117" t="s">
        <v>74</v>
      </c>
      <c r="AW117" t="s">
        <v>74</v>
      </c>
      <c r="AX117" t="s">
        <v>74</v>
      </c>
      <c r="AY117" t="s">
        <v>74</v>
      </c>
      <c r="AZ117" t="s">
        <v>74</v>
      </c>
      <c r="BA117" t="s">
        <v>74</v>
      </c>
      <c r="BB117" t="s">
        <v>74</v>
      </c>
      <c r="BC117" t="s">
        <v>74</v>
      </c>
      <c r="BD117" t="s">
        <v>74</v>
      </c>
      <c r="BE117" t="s">
        <v>2372</v>
      </c>
      <c r="BF117" t="str">
        <f>HYPERLINK("http://dx.doi.org/10.1007/s12070-023-04205-2","http://dx.doi.org/10.1007/s12070-023-04205-2")</f>
        <v>http://dx.doi.org/10.1007/s12070-023-04205-2</v>
      </c>
      <c r="BG117" t="s">
        <v>74</v>
      </c>
      <c r="BH117" t="s">
        <v>2079</v>
      </c>
      <c r="BI117">
        <v>4</v>
      </c>
      <c r="BJ117" t="s">
        <v>2373</v>
      </c>
      <c r="BK117" t="s">
        <v>97</v>
      </c>
      <c r="BL117" t="s">
        <v>2373</v>
      </c>
      <c r="BM117" t="s">
        <v>2374</v>
      </c>
      <c r="BN117" t="s">
        <v>74</v>
      </c>
      <c r="BO117" t="s">
        <v>74</v>
      </c>
      <c r="BP117" t="s">
        <v>74</v>
      </c>
      <c r="BQ117" t="s">
        <v>74</v>
      </c>
      <c r="BR117" t="s">
        <v>99</v>
      </c>
      <c r="BS117" t="s">
        <v>2375</v>
      </c>
      <c r="BT117" t="str">
        <f>HYPERLINK("https%3A%2F%2Fwww.webofscience.com%2Fwos%2Fwoscc%2Ffull-record%2FWOS:001073511000001","View Full Record in Web of Science")</f>
        <v>View Full Record in Web of Science</v>
      </c>
    </row>
    <row r="118" spans="1:72" x14ac:dyDescent="0.15">
      <c r="A118" t="s">
        <v>72</v>
      </c>
      <c r="B118" t="s">
        <v>2376</v>
      </c>
      <c r="C118" t="s">
        <v>74</v>
      </c>
      <c r="D118" t="s">
        <v>74</v>
      </c>
      <c r="E118" t="s">
        <v>74</v>
      </c>
      <c r="F118" t="s">
        <v>2377</v>
      </c>
      <c r="G118" t="s">
        <v>74</v>
      </c>
      <c r="H118" t="s">
        <v>74</v>
      </c>
      <c r="I118" t="s">
        <v>2378</v>
      </c>
      <c r="J118" t="s">
        <v>2379</v>
      </c>
      <c r="K118" t="s">
        <v>74</v>
      </c>
      <c r="L118" t="s">
        <v>74</v>
      </c>
      <c r="M118" t="s">
        <v>78</v>
      </c>
      <c r="N118" t="s">
        <v>1246</v>
      </c>
      <c r="O118" t="s">
        <v>74</v>
      </c>
      <c r="P118" t="s">
        <v>74</v>
      </c>
      <c r="Q118" t="s">
        <v>74</v>
      </c>
      <c r="R118" t="s">
        <v>74</v>
      </c>
      <c r="S118" t="s">
        <v>74</v>
      </c>
      <c r="T118" t="s">
        <v>2380</v>
      </c>
      <c r="U118" t="s">
        <v>2381</v>
      </c>
      <c r="V118" t="s">
        <v>2382</v>
      </c>
      <c r="W118" t="s">
        <v>2383</v>
      </c>
      <c r="X118" t="s">
        <v>2384</v>
      </c>
      <c r="Y118" t="s">
        <v>2385</v>
      </c>
      <c r="Z118" t="s">
        <v>2386</v>
      </c>
      <c r="AA118" t="s">
        <v>2387</v>
      </c>
      <c r="AB118" t="s">
        <v>2388</v>
      </c>
      <c r="AC118" t="s">
        <v>2389</v>
      </c>
      <c r="AD118" t="s">
        <v>2389</v>
      </c>
      <c r="AE118" t="s">
        <v>2390</v>
      </c>
      <c r="AF118" t="s">
        <v>74</v>
      </c>
      <c r="AG118">
        <v>47</v>
      </c>
      <c r="AH118">
        <v>0</v>
      </c>
      <c r="AI118">
        <v>0</v>
      </c>
      <c r="AJ118">
        <v>0</v>
      </c>
      <c r="AK118">
        <v>0</v>
      </c>
      <c r="AL118" t="s">
        <v>117</v>
      </c>
      <c r="AM118" t="s">
        <v>118</v>
      </c>
      <c r="AN118" t="s">
        <v>119</v>
      </c>
      <c r="AO118" t="s">
        <v>2391</v>
      </c>
      <c r="AP118" t="s">
        <v>2392</v>
      </c>
      <c r="AQ118" t="s">
        <v>74</v>
      </c>
      <c r="AR118" t="s">
        <v>2393</v>
      </c>
      <c r="AS118" t="s">
        <v>2394</v>
      </c>
      <c r="AT118" t="s">
        <v>2331</v>
      </c>
      <c r="AU118">
        <v>2023</v>
      </c>
      <c r="AV118" t="s">
        <v>74</v>
      </c>
      <c r="AW118" t="s">
        <v>74</v>
      </c>
      <c r="AX118" t="s">
        <v>74</v>
      </c>
      <c r="AY118" t="s">
        <v>74</v>
      </c>
      <c r="AZ118" t="s">
        <v>74</v>
      </c>
      <c r="BA118" t="s">
        <v>74</v>
      </c>
      <c r="BB118" t="s">
        <v>74</v>
      </c>
      <c r="BC118" t="s">
        <v>74</v>
      </c>
      <c r="BD118" t="s">
        <v>74</v>
      </c>
      <c r="BE118" t="s">
        <v>2395</v>
      </c>
      <c r="BF118" t="str">
        <f>HYPERLINK("http://dx.doi.org/10.1007/s11307-023-01858-x","http://dx.doi.org/10.1007/s11307-023-01858-x")</f>
        <v>http://dx.doi.org/10.1007/s11307-023-01858-x</v>
      </c>
      <c r="BG118" t="s">
        <v>74</v>
      </c>
      <c r="BH118" t="s">
        <v>2079</v>
      </c>
      <c r="BI118">
        <v>11</v>
      </c>
      <c r="BJ118" t="s">
        <v>2396</v>
      </c>
      <c r="BK118" t="s">
        <v>126</v>
      </c>
      <c r="BL118" t="s">
        <v>2396</v>
      </c>
      <c r="BM118" t="s">
        <v>2397</v>
      </c>
      <c r="BN118">
        <v>37749438</v>
      </c>
      <c r="BO118" t="s">
        <v>183</v>
      </c>
      <c r="BP118" t="s">
        <v>74</v>
      </c>
      <c r="BQ118" t="s">
        <v>74</v>
      </c>
      <c r="BR118" t="s">
        <v>99</v>
      </c>
      <c r="BS118" t="s">
        <v>2398</v>
      </c>
      <c r="BT118" t="str">
        <f>HYPERLINK("https%3A%2F%2Fwww.webofscience.com%2Fwos%2Fwoscc%2Ffull-record%2FWOS:001073514000001","View Full Record in Web of Science")</f>
        <v>View Full Record in Web of Science</v>
      </c>
    </row>
    <row r="119" spans="1:72" x14ac:dyDescent="0.15">
      <c r="A119" t="s">
        <v>72</v>
      </c>
      <c r="B119" t="s">
        <v>2399</v>
      </c>
      <c r="C119" t="s">
        <v>74</v>
      </c>
      <c r="D119" t="s">
        <v>74</v>
      </c>
      <c r="E119" t="s">
        <v>74</v>
      </c>
      <c r="F119" t="s">
        <v>2400</v>
      </c>
      <c r="G119" t="s">
        <v>74</v>
      </c>
      <c r="H119" t="s">
        <v>74</v>
      </c>
      <c r="I119" t="s">
        <v>2401</v>
      </c>
      <c r="J119" t="s">
        <v>2320</v>
      </c>
      <c r="K119" t="s">
        <v>74</v>
      </c>
      <c r="L119" t="s">
        <v>74</v>
      </c>
      <c r="M119" t="s">
        <v>78</v>
      </c>
      <c r="N119" t="s">
        <v>1246</v>
      </c>
      <c r="O119" t="s">
        <v>74</v>
      </c>
      <c r="P119" t="s">
        <v>74</v>
      </c>
      <c r="Q119" t="s">
        <v>74</v>
      </c>
      <c r="R119" t="s">
        <v>74</v>
      </c>
      <c r="S119" t="s">
        <v>74</v>
      </c>
      <c r="T119" t="s">
        <v>2402</v>
      </c>
      <c r="U119" t="s">
        <v>2403</v>
      </c>
      <c r="V119" t="s">
        <v>2404</v>
      </c>
      <c r="W119" t="s">
        <v>2405</v>
      </c>
      <c r="X119" t="s">
        <v>2406</v>
      </c>
      <c r="Y119" t="s">
        <v>2407</v>
      </c>
      <c r="Z119" t="s">
        <v>2408</v>
      </c>
      <c r="AA119" t="s">
        <v>74</v>
      </c>
      <c r="AB119" t="s">
        <v>74</v>
      </c>
      <c r="AC119" t="s">
        <v>74</v>
      </c>
      <c r="AD119" t="s">
        <v>74</v>
      </c>
      <c r="AE119" t="s">
        <v>74</v>
      </c>
      <c r="AF119" t="s">
        <v>74</v>
      </c>
      <c r="AG119">
        <v>39</v>
      </c>
      <c r="AH119">
        <v>0</v>
      </c>
      <c r="AI119">
        <v>0</v>
      </c>
      <c r="AJ119">
        <v>0</v>
      </c>
      <c r="AK119">
        <v>0</v>
      </c>
      <c r="AL119" t="s">
        <v>117</v>
      </c>
      <c r="AM119" t="s">
        <v>118</v>
      </c>
      <c r="AN119" t="s">
        <v>119</v>
      </c>
      <c r="AO119" t="s">
        <v>2327</v>
      </c>
      <c r="AP119" t="s">
        <v>2328</v>
      </c>
      <c r="AQ119" t="s">
        <v>74</v>
      </c>
      <c r="AR119" t="s">
        <v>2329</v>
      </c>
      <c r="AS119" t="s">
        <v>2330</v>
      </c>
      <c r="AT119" t="s">
        <v>2331</v>
      </c>
      <c r="AU119">
        <v>2023</v>
      </c>
      <c r="AV119" t="s">
        <v>74</v>
      </c>
      <c r="AW119" t="s">
        <v>74</v>
      </c>
      <c r="AX119" t="s">
        <v>74</v>
      </c>
      <c r="AY119" t="s">
        <v>74</v>
      </c>
      <c r="AZ119" t="s">
        <v>74</v>
      </c>
      <c r="BA119" t="s">
        <v>74</v>
      </c>
      <c r="BB119" t="s">
        <v>74</v>
      </c>
      <c r="BC119" t="s">
        <v>74</v>
      </c>
      <c r="BD119" t="s">
        <v>74</v>
      </c>
      <c r="BE119" t="s">
        <v>2409</v>
      </c>
      <c r="BF119" t="str">
        <f>HYPERLINK("http://dx.doi.org/10.1007/s00202-023-02006","http://dx.doi.org/10.1007/s00202-023-02006")</f>
        <v>http://dx.doi.org/10.1007/s00202-023-02006</v>
      </c>
      <c r="BG119" t="s">
        <v>74</v>
      </c>
      <c r="BH119" t="s">
        <v>2079</v>
      </c>
      <c r="BI119">
        <v>21</v>
      </c>
      <c r="BJ119" t="s">
        <v>2333</v>
      </c>
      <c r="BK119" t="s">
        <v>126</v>
      </c>
      <c r="BL119" t="s">
        <v>277</v>
      </c>
      <c r="BM119" t="s">
        <v>2410</v>
      </c>
      <c r="BN119" t="s">
        <v>74</v>
      </c>
      <c r="BO119" t="s">
        <v>74</v>
      </c>
      <c r="BP119" t="s">
        <v>74</v>
      </c>
      <c r="BQ119" t="s">
        <v>74</v>
      </c>
      <c r="BR119" t="s">
        <v>99</v>
      </c>
      <c r="BS119" t="s">
        <v>2411</v>
      </c>
      <c r="BT119" t="str">
        <f>HYPERLINK("https%3A%2F%2Fwww.webofscience.com%2Fwos%2Fwoscc%2Ffull-record%2FWOS:001070604400002","View Full Record in Web of Science")</f>
        <v>View Full Record in Web of Science</v>
      </c>
    </row>
    <row r="120" spans="1:72" x14ac:dyDescent="0.15">
      <c r="A120" t="s">
        <v>72</v>
      </c>
      <c r="B120" t="s">
        <v>2412</v>
      </c>
      <c r="C120" t="s">
        <v>74</v>
      </c>
      <c r="D120" t="s">
        <v>74</v>
      </c>
      <c r="E120" t="s">
        <v>74</v>
      </c>
      <c r="F120" t="s">
        <v>2413</v>
      </c>
      <c r="G120" t="s">
        <v>74</v>
      </c>
      <c r="H120" t="s">
        <v>74</v>
      </c>
      <c r="I120" t="s">
        <v>2414</v>
      </c>
      <c r="J120" t="s">
        <v>2415</v>
      </c>
      <c r="K120" t="s">
        <v>74</v>
      </c>
      <c r="L120" t="s">
        <v>74</v>
      </c>
      <c r="M120" t="s">
        <v>78</v>
      </c>
      <c r="N120" t="s">
        <v>79</v>
      </c>
      <c r="O120" t="s">
        <v>74</v>
      </c>
      <c r="P120" t="s">
        <v>74</v>
      </c>
      <c r="Q120" t="s">
        <v>74</v>
      </c>
      <c r="R120" t="s">
        <v>74</v>
      </c>
      <c r="S120" t="s">
        <v>74</v>
      </c>
      <c r="T120" t="s">
        <v>2416</v>
      </c>
      <c r="U120" t="s">
        <v>2417</v>
      </c>
      <c r="V120" t="s">
        <v>2418</v>
      </c>
      <c r="W120" t="s">
        <v>2419</v>
      </c>
      <c r="X120" t="s">
        <v>2420</v>
      </c>
      <c r="Y120" t="s">
        <v>2421</v>
      </c>
      <c r="Z120" t="s">
        <v>2422</v>
      </c>
      <c r="AA120" t="s">
        <v>74</v>
      </c>
      <c r="AB120" t="s">
        <v>2423</v>
      </c>
      <c r="AC120" t="s">
        <v>2424</v>
      </c>
      <c r="AD120" t="s">
        <v>2424</v>
      </c>
      <c r="AE120" t="s">
        <v>2424</v>
      </c>
      <c r="AF120" t="s">
        <v>74</v>
      </c>
      <c r="AG120">
        <v>91</v>
      </c>
      <c r="AH120">
        <v>0</v>
      </c>
      <c r="AI120">
        <v>0</v>
      </c>
      <c r="AJ120">
        <v>0</v>
      </c>
      <c r="AK120">
        <v>0</v>
      </c>
      <c r="AL120" t="s">
        <v>443</v>
      </c>
      <c r="AM120" t="s">
        <v>245</v>
      </c>
      <c r="AN120" t="s">
        <v>444</v>
      </c>
      <c r="AO120" t="s">
        <v>74</v>
      </c>
      <c r="AP120" t="s">
        <v>2425</v>
      </c>
      <c r="AQ120" t="s">
        <v>74</v>
      </c>
      <c r="AR120" t="s">
        <v>2426</v>
      </c>
      <c r="AS120" t="s">
        <v>2427</v>
      </c>
      <c r="AT120" t="s">
        <v>2428</v>
      </c>
      <c r="AU120">
        <v>2023</v>
      </c>
      <c r="AV120">
        <v>23</v>
      </c>
      <c r="AW120">
        <v>1</v>
      </c>
      <c r="AX120" t="s">
        <v>74</v>
      </c>
      <c r="AY120" t="s">
        <v>74</v>
      </c>
      <c r="AZ120" t="s">
        <v>74</v>
      </c>
      <c r="BA120" t="s">
        <v>74</v>
      </c>
      <c r="BB120" t="s">
        <v>74</v>
      </c>
      <c r="BC120" t="s">
        <v>74</v>
      </c>
      <c r="BD120">
        <v>591</v>
      </c>
      <c r="BE120" t="s">
        <v>2429</v>
      </c>
      <c r="BF120" t="str">
        <f>HYPERLINK("http://dx.doi.org/10.1186/s12877-023-04256-8","http://dx.doi.org/10.1186/s12877-023-04256-8")</f>
        <v>http://dx.doi.org/10.1186/s12877-023-04256-8</v>
      </c>
      <c r="BG120" t="s">
        <v>74</v>
      </c>
      <c r="BH120" t="s">
        <v>74</v>
      </c>
      <c r="BI120">
        <v>28</v>
      </c>
      <c r="BJ120" t="s">
        <v>2430</v>
      </c>
      <c r="BK120" t="s">
        <v>2431</v>
      </c>
      <c r="BL120" t="s">
        <v>672</v>
      </c>
      <c r="BM120" t="s">
        <v>2432</v>
      </c>
      <c r="BN120">
        <v>37743469</v>
      </c>
      <c r="BO120" t="s">
        <v>302</v>
      </c>
      <c r="BP120" t="s">
        <v>74</v>
      </c>
      <c r="BQ120" t="s">
        <v>74</v>
      </c>
      <c r="BR120" t="s">
        <v>99</v>
      </c>
      <c r="BS120" t="s">
        <v>2433</v>
      </c>
      <c r="BT120" t="str">
        <f>HYPERLINK("https%3A%2F%2Fwww.webofscience.com%2Fwos%2Fwoscc%2Ffull-record%2FWOS:001070741700002","View Full Record in Web of Science")</f>
        <v>View Full Record in Web of Science</v>
      </c>
    </row>
    <row r="121" spans="1:72" x14ac:dyDescent="0.15">
      <c r="A121" t="s">
        <v>72</v>
      </c>
      <c r="B121" t="s">
        <v>2434</v>
      </c>
      <c r="C121" t="s">
        <v>74</v>
      </c>
      <c r="D121" t="s">
        <v>74</v>
      </c>
      <c r="E121" t="s">
        <v>74</v>
      </c>
      <c r="F121" t="s">
        <v>2435</v>
      </c>
      <c r="G121" t="s">
        <v>74</v>
      </c>
      <c r="H121" t="s">
        <v>74</v>
      </c>
      <c r="I121" t="s">
        <v>2436</v>
      </c>
      <c r="J121" t="s">
        <v>2437</v>
      </c>
      <c r="K121" t="s">
        <v>74</v>
      </c>
      <c r="L121" t="s">
        <v>74</v>
      </c>
      <c r="M121" t="s">
        <v>78</v>
      </c>
      <c r="N121" t="s">
        <v>1246</v>
      </c>
      <c r="O121" t="s">
        <v>74</v>
      </c>
      <c r="P121" t="s">
        <v>74</v>
      </c>
      <c r="Q121" t="s">
        <v>74</v>
      </c>
      <c r="R121" t="s">
        <v>74</v>
      </c>
      <c r="S121" t="s">
        <v>74</v>
      </c>
      <c r="T121" t="s">
        <v>2438</v>
      </c>
      <c r="U121" t="s">
        <v>2439</v>
      </c>
      <c r="V121" t="s">
        <v>2440</v>
      </c>
      <c r="W121" t="s">
        <v>2441</v>
      </c>
      <c r="X121" t="s">
        <v>2442</v>
      </c>
      <c r="Y121" t="s">
        <v>2443</v>
      </c>
      <c r="Z121" t="s">
        <v>2444</v>
      </c>
      <c r="AA121" t="s">
        <v>74</v>
      </c>
      <c r="AB121" t="s">
        <v>74</v>
      </c>
      <c r="AC121" t="s">
        <v>2445</v>
      </c>
      <c r="AD121" t="s">
        <v>2445</v>
      </c>
      <c r="AE121" t="s">
        <v>2446</v>
      </c>
      <c r="AF121" t="s">
        <v>74</v>
      </c>
      <c r="AG121">
        <v>33</v>
      </c>
      <c r="AH121">
        <v>0</v>
      </c>
      <c r="AI121">
        <v>0</v>
      </c>
      <c r="AJ121">
        <v>0</v>
      </c>
      <c r="AK121">
        <v>0</v>
      </c>
      <c r="AL121" t="s">
        <v>244</v>
      </c>
      <c r="AM121" t="s">
        <v>245</v>
      </c>
      <c r="AN121" t="s">
        <v>246</v>
      </c>
      <c r="AO121" t="s">
        <v>2447</v>
      </c>
      <c r="AP121" t="s">
        <v>2448</v>
      </c>
      <c r="AQ121" t="s">
        <v>74</v>
      </c>
      <c r="AR121" t="s">
        <v>2449</v>
      </c>
      <c r="AS121" t="s">
        <v>2450</v>
      </c>
      <c r="AT121" t="s">
        <v>2331</v>
      </c>
      <c r="AU121">
        <v>2023</v>
      </c>
      <c r="AV121" t="s">
        <v>74</v>
      </c>
      <c r="AW121" t="s">
        <v>74</v>
      </c>
      <c r="AX121" t="s">
        <v>74</v>
      </c>
      <c r="AY121" t="s">
        <v>74</v>
      </c>
      <c r="AZ121" t="s">
        <v>74</v>
      </c>
      <c r="BA121" t="s">
        <v>74</v>
      </c>
      <c r="BB121" t="s">
        <v>74</v>
      </c>
      <c r="BC121" t="s">
        <v>74</v>
      </c>
      <c r="BD121" t="s">
        <v>74</v>
      </c>
      <c r="BE121" t="s">
        <v>2451</v>
      </c>
      <c r="BF121" t="str">
        <f>HYPERLINK("http://dx.doi.org/10.1007/s10067-023-06759-6","http://dx.doi.org/10.1007/s10067-023-06759-6")</f>
        <v>http://dx.doi.org/10.1007/s10067-023-06759-6</v>
      </c>
      <c r="BG121" t="s">
        <v>74</v>
      </c>
      <c r="BH121" t="s">
        <v>2079</v>
      </c>
      <c r="BI121">
        <v>10</v>
      </c>
      <c r="BJ121" t="s">
        <v>2452</v>
      </c>
      <c r="BK121" t="s">
        <v>126</v>
      </c>
      <c r="BL121" t="s">
        <v>2452</v>
      </c>
      <c r="BM121" t="s">
        <v>2453</v>
      </c>
      <c r="BN121">
        <v>37749409</v>
      </c>
      <c r="BO121" t="s">
        <v>74</v>
      </c>
      <c r="BP121" t="s">
        <v>74</v>
      </c>
      <c r="BQ121" t="s">
        <v>74</v>
      </c>
      <c r="BR121" t="s">
        <v>99</v>
      </c>
      <c r="BS121" t="s">
        <v>2454</v>
      </c>
      <c r="BT121" t="str">
        <f>HYPERLINK("https%3A%2F%2Fwww.webofscience.com%2Fwos%2Fwoscc%2Ffull-record%2FWOS:001070283100001","View Full Record in Web of Science")</f>
        <v>View Full Record in Web of Science</v>
      </c>
    </row>
    <row r="122" spans="1:72" x14ac:dyDescent="0.15">
      <c r="A122" t="s">
        <v>72</v>
      </c>
      <c r="B122" t="s">
        <v>2455</v>
      </c>
      <c r="C122" t="s">
        <v>74</v>
      </c>
      <c r="D122" t="s">
        <v>74</v>
      </c>
      <c r="E122" t="s">
        <v>74</v>
      </c>
      <c r="F122" t="s">
        <v>2456</v>
      </c>
      <c r="G122" t="s">
        <v>74</v>
      </c>
      <c r="H122" t="s">
        <v>74</v>
      </c>
      <c r="I122" t="s">
        <v>2457</v>
      </c>
      <c r="J122" t="s">
        <v>2458</v>
      </c>
      <c r="K122" t="s">
        <v>74</v>
      </c>
      <c r="L122" t="s">
        <v>74</v>
      </c>
      <c r="M122" t="s">
        <v>78</v>
      </c>
      <c r="N122" t="s">
        <v>1246</v>
      </c>
      <c r="O122" t="s">
        <v>74</v>
      </c>
      <c r="P122" t="s">
        <v>74</v>
      </c>
      <c r="Q122" t="s">
        <v>74</v>
      </c>
      <c r="R122" t="s">
        <v>74</v>
      </c>
      <c r="S122" t="s">
        <v>74</v>
      </c>
      <c r="T122" t="s">
        <v>2459</v>
      </c>
      <c r="U122" t="s">
        <v>2460</v>
      </c>
      <c r="V122" t="s">
        <v>2461</v>
      </c>
      <c r="W122" t="s">
        <v>2462</v>
      </c>
      <c r="X122" t="s">
        <v>2463</v>
      </c>
      <c r="Y122" t="s">
        <v>2464</v>
      </c>
      <c r="Z122" t="s">
        <v>2465</v>
      </c>
      <c r="AA122" t="s">
        <v>74</v>
      </c>
      <c r="AB122" t="s">
        <v>74</v>
      </c>
      <c r="AC122" t="s">
        <v>649</v>
      </c>
      <c r="AD122" t="s">
        <v>649</v>
      </c>
      <c r="AE122" t="s">
        <v>2466</v>
      </c>
      <c r="AF122" t="s">
        <v>74</v>
      </c>
      <c r="AG122">
        <v>65</v>
      </c>
      <c r="AH122">
        <v>0</v>
      </c>
      <c r="AI122">
        <v>0</v>
      </c>
      <c r="AJ122">
        <v>0</v>
      </c>
      <c r="AK122">
        <v>0</v>
      </c>
      <c r="AL122" t="s">
        <v>172</v>
      </c>
      <c r="AM122" t="s">
        <v>173</v>
      </c>
      <c r="AN122" t="s">
        <v>174</v>
      </c>
      <c r="AO122" t="s">
        <v>2467</v>
      </c>
      <c r="AP122" t="s">
        <v>2468</v>
      </c>
      <c r="AQ122" t="s">
        <v>74</v>
      </c>
      <c r="AR122" t="s">
        <v>2469</v>
      </c>
      <c r="AS122" t="s">
        <v>2470</v>
      </c>
      <c r="AT122" t="s">
        <v>2471</v>
      </c>
      <c r="AU122">
        <v>2023</v>
      </c>
      <c r="AV122" t="s">
        <v>74</v>
      </c>
      <c r="AW122" t="s">
        <v>74</v>
      </c>
      <c r="AX122" t="s">
        <v>74</v>
      </c>
      <c r="AY122" t="s">
        <v>74</v>
      </c>
      <c r="AZ122" t="s">
        <v>74</v>
      </c>
      <c r="BA122" t="s">
        <v>74</v>
      </c>
      <c r="BB122" t="s">
        <v>74</v>
      </c>
      <c r="BC122" t="s">
        <v>74</v>
      </c>
      <c r="BD122" t="s">
        <v>74</v>
      </c>
      <c r="BE122" t="s">
        <v>2472</v>
      </c>
      <c r="BF122" t="str">
        <f>HYPERLINK("http://dx.doi.org/10.1007/s11846-023-00698","http://dx.doi.org/10.1007/s11846-023-00698")</f>
        <v>http://dx.doi.org/10.1007/s11846-023-00698</v>
      </c>
      <c r="BG122" t="s">
        <v>74</v>
      </c>
      <c r="BH122" t="s">
        <v>2079</v>
      </c>
      <c r="BI122">
        <v>27</v>
      </c>
      <c r="BJ122" t="s">
        <v>2473</v>
      </c>
      <c r="BK122" t="s">
        <v>425</v>
      </c>
      <c r="BL122" t="s">
        <v>426</v>
      </c>
      <c r="BM122" t="s">
        <v>2474</v>
      </c>
      <c r="BN122" t="s">
        <v>74</v>
      </c>
      <c r="BO122" t="s">
        <v>74</v>
      </c>
      <c r="BP122" t="s">
        <v>74</v>
      </c>
      <c r="BQ122" t="s">
        <v>74</v>
      </c>
      <c r="BR122" t="s">
        <v>99</v>
      </c>
      <c r="BS122" t="s">
        <v>2475</v>
      </c>
      <c r="BT122" t="str">
        <f>HYPERLINK("https%3A%2F%2Fwww.webofscience.com%2Fwos%2Fwoscc%2Ffull-record%2FWOS:001070591200001","View Full Record in Web of Science")</f>
        <v>View Full Record in Web of Science</v>
      </c>
    </row>
    <row r="123" spans="1:72" x14ac:dyDescent="0.15">
      <c r="A123" t="s">
        <v>72</v>
      </c>
      <c r="B123" t="s">
        <v>2476</v>
      </c>
      <c r="C123" t="s">
        <v>74</v>
      </c>
      <c r="D123" t="s">
        <v>74</v>
      </c>
      <c r="E123" t="s">
        <v>74</v>
      </c>
      <c r="F123" t="s">
        <v>2477</v>
      </c>
      <c r="G123" t="s">
        <v>74</v>
      </c>
      <c r="H123" t="s">
        <v>74</v>
      </c>
      <c r="I123" t="s">
        <v>2478</v>
      </c>
      <c r="J123" t="s">
        <v>2479</v>
      </c>
      <c r="K123" t="s">
        <v>74</v>
      </c>
      <c r="L123" t="s">
        <v>74</v>
      </c>
      <c r="M123" t="s">
        <v>78</v>
      </c>
      <c r="N123" t="s">
        <v>1246</v>
      </c>
      <c r="O123" t="s">
        <v>74</v>
      </c>
      <c r="P123" t="s">
        <v>74</v>
      </c>
      <c r="Q123" t="s">
        <v>74</v>
      </c>
      <c r="R123" t="s">
        <v>74</v>
      </c>
      <c r="S123" t="s">
        <v>74</v>
      </c>
      <c r="T123" t="s">
        <v>2480</v>
      </c>
      <c r="U123" t="s">
        <v>2481</v>
      </c>
      <c r="V123" t="s">
        <v>2482</v>
      </c>
      <c r="W123" t="s">
        <v>2483</v>
      </c>
      <c r="X123" t="s">
        <v>2484</v>
      </c>
      <c r="Y123" t="s">
        <v>2485</v>
      </c>
      <c r="Z123" t="s">
        <v>2486</v>
      </c>
      <c r="AA123" t="s">
        <v>74</v>
      </c>
      <c r="AB123" t="s">
        <v>74</v>
      </c>
      <c r="AC123" t="s">
        <v>74</v>
      </c>
      <c r="AD123" t="s">
        <v>74</v>
      </c>
      <c r="AE123" t="s">
        <v>74</v>
      </c>
      <c r="AF123" t="s">
        <v>74</v>
      </c>
      <c r="AG123">
        <v>35</v>
      </c>
      <c r="AH123">
        <v>0</v>
      </c>
      <c r="AI123">
        <v>0</v>
      </c>
      <c r="AJ123">
        <v>0</v>
      </c>
      <c r="AK123">
        <v>0</v>
      </c>
      <c r="AL123" t="s">
        <v>117</v>
      </c>
      <c r="AM123" t="s">
        <v>627</v>
      </c>
      <c r="AN123" t="s">
        <v>628</v>
      </c>
      <c r="AO123" t="s">
        <v>2487</v>
      </c>
      <c r="AP123" t="s">
        <v>2488</v>
      </c>
      <c r="AQ123" t="s">
        <v>74</v>
      </c>
      <c r="AR123" t="s">
        <v>2489</v>
      </c>
      <c r="AS123" t="s">
        <v>2490</v>
      </c>
      <c r="AT123" t="s">
        <v>2471</v>
      </c>
      <c r="AU123">
        <v>2023</v>
      </c>
      <c r="AV123" t="s">
        <v>74</v>
      </c>
      <c r="AW123" t="s">
        <v>74</v>
      </c>
      <c r="AX123" t="s">
        <v>74</v>
      </c>
      <c r="AY123" t="s">
        <v>74</v>
      </c>
      <c r="AZ123" t="s">
        <v>74</v>
      </c>
      <c r="BA123" t="s">
        <v>74</v>
      </c>
      <c r="BB123" t="s">
        <v>74</v>
      </c>
      <c r="BC123" t="s">
        <v>74</v>
      </c>
      <c r="BD123" t="s">
        <v>74</v>
      </c>
      <c r="BE123" t="s">
        <v>2491</v>
      </c>
      <c r="BF123" t="str">
        <f>HYPERLINK("http://dx.doi.org/10.1007/s11227-023-05657-7","http://dx.doi.org/10.1007/s11227-023-05657-7")</f>
        <v>http://dx.doi.org/10.1007/s11227-023-05657-7</v>
      </c>
      <c r="BG123" t="s">
        <v>74</v>
      </c>
      <c r="BH123" t="s">
        <v>2079</v>
      </c>
      <c r="BI123">
        <v>28</v>
      </c>
      <c r="BJ123" t="s">
        <v>2492</v>
      </c>
      <c r="BK123" t="s">
        <v>126</v>
      </c>
      <c r="BL123" t="s">
        <v>2493</v>
      </c>
      <c r="BM123" t="s">
        <v>2494</v>
      </c>
      <c r="BN123" t="s">
        <v>74</v>
      </c>
      <c r="BO123" t="s">
        <v>327</v>
      </c>
      <c r="BP123" t="s">
        <v>74</v>
      </c>
      <c r="BQ123" t="s">
        <v>74</v>
      </c>
      <c r="BR123" t="s">
        <v>99</v>
      </c>
      <c r="BS123" t="s">
        <v>2495</v>
      </c>
      <c r="BT123" t="str">
        <f>HYPERLINK("https%3A%2F%2Fwww.webofscience.com%2Fwos%2Fwoscc%2Ffull-record%2FWOS:001070601500002","View Full Record in Web of Science")</f>
        <v>View Full Record in Web of Science</v>
      </c>
    </row>
    <row r="124" spans="1:72" x14ac:dyDescent="0.15">
      <c r="A124" t="s">
        <v>72</v>
      </c>
      <c r="B124" t="s">
        <v>2496</v>
      </c>
      <c r="C124" t="s">
        <v>74</v>
      </c>
      <c r="D124" t="s">
        <v>74</v>
      </c>
      <c r="E124" t="s">
        <v>74</v>
      </c>
      <c r="F124" t="s">
        <v>2497</v>
      </c>
      <c r="G124" t="s">
        <v>74</v>
      </c>
      <c r="H124" t="s">
        <v>74</v>
      </c>
      <c r="I124" t="s">
        <v>2498</v>
      </c>
      <c r="J124" t="s">
        <v>2499</v>
      </c>
      <c r="K124" t="s">
        <v>74</v>
      </c>
      <c r="L124" t="s">
        <v>74</v>
      </c>
      <c r="M124" t="s">
        <v>78</v>
      </c>
      <c r="N124" t="s">
        <v>2174</v>
      </c>
      <c r="O124" t="s">
        <v>74</v>
      </c>
      <c r="P124" t="s">
        <v>74</v>
      </c>
      <c r="Q124" t="s">
        <v>74</v>
      </c>
      <c r="R124" t="s">
        <v>74</v>
      </c>
      <c r="S124" t="s">
        <v>74</v>
      </c>
      <c r="T124" t="s">
        <v>2500</v>
      </c>
      <c r="U124" t="s">
        <v>2501</v>
      </c>
      <c r="V124" t="s">
        <v>2502</v>
      </c>
      <c r="W124" t="s">
        <v>2503</v>
      </c>
      <c r="X124" t="s">
        <v>2504</v>
      </c>
      <c r="Y124" t="s">
        <v>2505</v>
      </c>
      <c r="Z124" t="s">
        <v>2506</v>
      </c>
      <c r="AA124" t="s">
        <v>74</v>
      </c>
      <c r="AB124" t="s">
        <v>74</v>
      </c>
      <c r="AC124" t="s">
        <v>74</v>
      </c>
      <c r="AD124" t="s">
        <v>74</v>
      </c>
      <c r="AE124" t="s">
        <v>74</v>
      </c>
      <c r="AF124" t="s">
        <v>74</v>
      </c>
      <c r="AG124">
        <v>36</v>
      </c>
      <c r="AH124">
        <v>0</v>
      </c>
      <c r="AI124">
        <v>0</v>
      </c>
      <c r="AJ124">
        <v>0</v>
      </c>
      <c r="AK124">
        <v>0</v>
      </c>
      <c r="AL124" t="s">
        <v>172</v>
      </c>
      <c r="AM124" t="s">
        <v>173</v>
      </c>
      <c r="AN124" t="s">
        <v>174</v>
      </c>
      <c r="AO124" t="s">
        <v>2507</v>
      </c>
      <c r="AP124" t="s">
        <v>2508</v>
      </c>
      <c r="AQ124" t="s">
        <v>74</v>
      </c>
      <c r="AR124" t="s">
        <v>2509</v>
      </c>
      <c r="AS124" t="s">
        <v>2510</v>
      </c>
      <c r="AT124" t="s">
        <v>2471</v>
      </c>
      <c r="AU124">
        <v>2023</v>
      </c>
      <c r="AV124" t="s">
        <v>74</v>
      </c>
      <c r="AW124" t="s">
        <v>74</v>
      </c>
      <c r="AX124" t="s">
        <v>74</v>
      </c>
      <c r="AY124" t="s">
        <v>74</v>
      </c>
      <c r="AZ124" t="s">
        <v>74</v>
      </c>
      <c r="BA124" t="s">
        <v>74</v>
      </c>
      <c r="BB124" t="s">
        <v>74</v>
      </c>
      <c r="BC124" t="s">
        <v>74</v>
      </c>
      <c r="BD124" t="s">
        <v>74</v>
      </c>
      <c r="BE124" t="s">
        <v>2511</v>
      </c>
      <c r="BF124" t="str">
        <f>HYPERLINK("http://dx.doi.org/10.1007/s43465-023-01000-7","http://dx.doi.org/10.1007/s43465-023-01000-7")</f>
        <v>http://dx.doi.org/10.1007/s43465-023-01000-7</v>
      </c>
      <c r="BG124" t="s">
        <v>74</v>
      </c>
      <c r="BH124" t="s">
        <v>2079</v>
      </c>
      <c r="BI124">
        <v>19</v>
      </c>
      <c r="BJ124" t="s">
        <v>2512</v>
      </c>
      <c r="BK124" t="s">
        <v>126</v>
      </c>
      <c r="BL124" t="s">
        <v>2512</v>
      </c>
      <c r="BM124" t="s">
        <v>2513</v>
      </c>
      <c r="BN124" t="s">
        <v>74</v>
      </c>
      <c r="BO124" t="s">
        <v>74</v>
      </c>
      <c r="BP124" t="s">
        <v>74</v>
      </c>
      <c r="BQ124" t="s">
        <v>74</v>
      </c>
      <c r="BR124" t="s">
        <v>99</v>
      </c>
      <c r="BS124" t="s">
        <v>2514</v>
      </c>
      <c r="BT124" t="str">
        <f>HYPERLINK("https%3A%2F%2Fwww.webofscience.com%2Fwos%2Fwoscc%2Ffull-record%2FWOS:001070586800001","View Full Record in Web of Science")</f>
        <v>View Full Record in Web of Science</v>
      </c>
    </row>
    <row r="125" spans="1:72" x14ac:dyDescent="0.15">
      <c r="A125" t="s">
        <v>72</v>
      </c>
      <c r="B125" t="s">
        <v>2515</v>
      </c>
      <c r="C125" t="s">
        <v>74</v>
      </c>
      <c r="D125" t="s">
        <v>74</v>
      </c>
      <c r="E125" t="s">
        <v>74</v>
      </c>
      <c r="F125" t="s">
        <v>2516</v>
      </c>
      <c r="G125" t="s">
        <v>74</v>
      </c>
      <c r="H125" t="s">
        <v>74</v>
      </c>
      <c r="I125" t="s">
        <v>2517</v>
      </c>
      <c r="J125" t="s">
        <v>2518</v>
      </c>
      <c r="K125" t="s">
        <v>74</v>
      </c>
      <c r="L125" t="s">
        <v>74</v>
      </c>
      <c r="M125" t="s">
        <v>78</v>
      </c>
      <c r="N125" t="s">
        <v>1246</v>
      </c>
      <c r="O125" t="s">
        <v>74</v>
      </c>
      <c r="P125" t="s">
        <v>74</v>
      </c>
      <c r="Q125" t="s">
        <v>74</v>
      </c>
      <c r="R125" t="s">
        <v>74</v>
      </c>
      <c r="S125" t="s">
        <v>74</v>
      </c>
      <c r="T125" t="s">
        <v>2519</v>
      </c>
      <c r="U125" t="s">
        <v>2520</v>
      </c>
      <c r="V125" t="s">
        <v>2521</v>
      </c>
      <c r="W125" t="s">
        <v>2522</v>
      </c>
      <c r="X125" t="s">
        <v>2523</v>
      </c>
      <c r="Y125" t="s">
        <v>2524</v>
      </c>
      <c r="Z125" t="s">
        <v>2525</v>
      </c>
      <c r="AA125" t="s">
        <v>74</v>
      </c>
      <c r="AB125" t="s">
        <v>74</v>
      </c>
      <c r="AC125" t="s">
        <v>74</v>
      </c>
      <c r="AD125" t="s">
        <v>74</v>
      </c>
      <c r="AE125" t="s">
        <v>74</v>
      </c>
      <c r="AF125" t="s">
        <v>74</v>
      </c>
      <c r="AG125">
        <v>60</v>
      </c>
      <c r="AH125">
        <v>0</v>
      </c>
      <c r="AI125">
        <v>0</v>
      </c>
      <c r="AJ125">
        <v>0</v>
      </c>
      <c r="AK125">
        <v>0</v>
      </c>
      <c r="AL125" t="s">
        <v>117</v>
      </c>
      <c r="AM125" t="s">
        <v>627</v>
      </c>
      <c r="AN125" t="s">
        <v>628</v>
      </c>
      <c r="AO125" t="s">
        <v>2526</v>
      </c>
      <c r="AP125" t="s">
        <v>2527</v>
      </c>
      <c r="AQ125" t="s">
        <v>74</v>
      </c>
      <c r="AR125" t="s">
        <v>2528</v>
      </c>
      <c r="AS125" t="s">
        <v>2529</v>
      </c>
      <c r="AT125" t="s">
        <v>2530</v>
      </c>
      <c r="AU125">
        <v>2023</v>
      </c>
      <c r="AV125" t="s">
        <v>74</v>
      </c>
      <c r="AW125" t="s">
        <v>74</v>
      </c>
      <c r="AX125" t="s">
        <v>74</v>
      </c>
      <c r="AY125" t="s">
        <v>74</v>
      </c>
      <c r="AZ125" t="s">
        <v>74</v>
      </c>
      <c r="BA125" t="s">
        <v>74</v>
      </c>
      <c r="BB125" t="s">
        <v>74</v>
      </c>
      <c r="BC125" t="s">
        <v>74</v>
      </c>
      <c r="BD125" t="s">
        <v>74</v>
      </c>
      <c r="BE125" t="s">
        <v>2531</v>
      </c>
      <c r="BF125" t="str">
        <f>HYPERLINK("http://dx.doi.org/10.1007/s11145-023-10478-4","http://dx.doi.org/10.1007/s11145-023-10478-4")</f>
        <v>http://dx.doi.org/10.1007/s11145-023-10478-4</v>
      </c>
      <c r="BG125" t="s">
        <v>74</v>
      </c>
      <c r="BH125" t="s">
        <v>2079</v>
      </c>
      <c r="BI125">
        <v>27</v>
      </c>
      <c r="BJ125" t="s">
        <v>2532</v>
      </c>
      <c r="BK125" t="s">
        <v>425</v>
      </c>
      <c r="BL125" t="s">
        <v>2533</v>
      </c>
      <c r="BM125" t="s">
        <v>2534</v>
      </c>
      <c r="BN125" t="s">
        <v>74</v>
      </c>
      <c r="BO125" t="s">
        <v>74</v>
      </c>
      <c r="BP125" t="s">
        <v>74</v>
      </c>
      <c r="BQ125" t="s">
        <v>74</v>
      </c>
      <c r="BR125" t="s">
        <v>99</v>
      </c>
      <c r="BS125" t="s">
        <v>2535</v>
      </c>
      <c r="BT125" t="str">
        <f>HYPERLINK("https%3A%2F%2Fwww.webofscience.com%2Fwos%2Fwoscc%2Ffull-record%2FWOS:001070376400001","View Full Record in Web of Science")</f>
        <v>View Full Record in Web of Science</v>
      </c>
    </row>
    <row r="126" spans="1:72" x14ac:dyDescent="0.15">
      <c r="A126" t="s">
        <v>72</v>
      </c>
      <c r="B126" t="s">
        <v>2536</v>
      </c>
      <c r="C126" t="s">
        <v>74</v>
      </c>
      <c r="D126" t="s">
        <v>74</v>
      </c>
      <c r="E126" t="s">
        <v>74</v>
      </c>
      <c r="F126" t="s">
        <v>2537</v>
      </c>
      <c r="G126" t="s">
        <v>74</v>
      </c>
      <c r="H126" t="s">
        <v>74</v>
      </c>
      <c r="I126" t="s">
        <v>2538</v>
      </c>
      <c r="J126" t="s">
        <v>2539</v>
      </c>
      <c r="K126" t="s">
        <v>74</v>
      </c>
      <c r="L126" t="s">
        <v>74</v>
      </c>
      <c r="M126" t="s">
        <v>78</v>
      </c>
      <c r="N126" t="s">
        <v>1246</v>
      </c>
      <c r="O126" t="s">
        <v>74</v>
      </c>
      <c r="P126" t="s">
        <v>74</v>
      </c>
      <c r="Q126" t="s">
        <v>74</v>
      </c>
      <c r="R126" t="s">
        <v>74</v>
      </c>
      <c r="S126" t="s">
        <v>74</v>
      </c>
      <c r="T126" t="s">
        <v>2540</v>
      </c>
      <c r="U126" t="s">
        <v>2541</v>
      </c>
      <c r="V126" t="s">
        <v>2542</v>
      </c>
      <c r="W126" t="s">
        <v>2543</v>
      </c>
      <c r="X126" t="s">
        <v>2544</v>
      </c>
      <c r="Y126" t="s">
        <v>2545</v>
      </c>
      <c r="Z126" t="s">
        <v>2546</v>
      </c>
      <c r="AA126" t="s">
        <v>74</v>
      </c>
      <c r="AB126" t="s">
        <v>74</v>
      </c>
      <c r="AC126" t="s">
        <v>74</v>
      </c>
      <c r="AD126" t="s">
        <v>74</v>
      </c>
      <c r="AE126" t="s">
        <v>74</v>
      </c>
      <c r="AF126" t="s">
        <v>74</v>
      </c>
      <c r="AG126">
        <v>61</v>
      </c>
      <c r="AH126">
        <v>0</v>
      </c>
      <c r="AI126">
        <v>0</v>
      </c>
      <c r="AJ126">
        <v>0</v>
      </c>
      <c r="AK126">
        <v>0</v>
      </c>
      <c r="AL126" t="s">
        <v>705</v>
      </c>
      <c r="AM126" t="s">
        <v>706</v>
      </c>
      <c r="AN126" t="s">
        <v>707</v>
      </c>
      <c r="AO126" t="s">
        <v>2547</v>
      </c>
      <c r="AP126" t="s">
        <v>2548</v>
      </c>
      <c r="AQ126" t="s">
        <v>74</v>
      </c>
      <c r="AR126" t="s">
        <v>2549</v>
      </c>
      <c r="AS126" t="s">
        <v>2550</v>
      </c>
      <c r="AT126" t="s">
        <v>2530</v>
      </c>
      <c r="AU126">
        <v>2023</v>
      </c>
      <c r="AV126" t="s">
        <v>74</v>
      </c>
      <c r="AW126" t="s">
        <v>74</v>
      </c>
      <c r="AX126" t="s">
        <v>74</v>
      </c>
      <c r="AY126" t="s">
        <v>74</v>
      </c>
      <c r="AZ126" t="s">
        <v>74</v>
      </c>
      <c r="BA126" t="s">
        <v>74</v>
      </c>
      <c r="BB126" t="s">
        <v>74</v>
      </c>
      <c r="BC126" t="s">
        <v>74</v>
      </c>
      <c r="BD126" t="s">
        <v>74</v>
      </c>
      <c r="BE126" t="s">
        <v>2551</v>
      </c>
      <c r="BF126" t="str">
        <f>HYPERLINK("http://dx.doi.org/10.1057/s41284-023-00399","http://dx.doi.org/10.1057/s41284-023-00399")</f>
        <v>http://dx.doi.org/10.1057/s41284-023-00399</v>
      </c>
      <c r="BG126" t="s">
        <v>74</v>
      </c>
      <c r="BH126" t="s">
        <v>2079</v>
      </c>
      <c r="BI126">
        <v>28</v>
      </c>
      <c r="BJ126" t="s">
        <v>2552</v>
      </c>
      <c r="BK126" t="s">
        <v>425</v>
      </c>
      <c r="BL126" t="s">
        <v>2552</v>
      </c>
      <c r="BM126" t="s">
        <v>2553</v>
      </c>
      <c r="BN126" t="s">
        <v>74</v>
      </c>
      <c r="BO126" t="s">
        <v>74</v>
      </c>
      <c r="BP126" t="s">
        <v>74</v>
      </c>
      <c r="BQ126" t="s">
        <v>74</v>
      </c>
      <c r="BR126" t="s">
        <v>99</v>
      </c>
      <c r="BS126" t="s">
        <v>2554</v>
      </c>
      <c r="BT126" t="str">
        <f>HYPERLINK("https%3A%2F%2Fwww.webofscience.com%2Fwos%2Fwoscc%2Ffull-record%2FWOS:001070373600001","View Full Record in Web of Science")</f>
        <v>View Full Record in Web of Science</v>
      </c>
    </row>
    <row r="127" spans="1:72" x14ac:dyDescent="0.15">
      <c r="A127" t="s">
        <v>72</v>
      </c>
      <c r="B127" t="s">
        <v>2555</v>
      </c>
      <c r="C127" t="s">
        <v>74</v>
      </c>
      <c r="D127" t="s">
        <v>74</v>
      </c>
      <c r="E127" t="s">
        <v>74</v>
      </c>
      <c r="F127" t="s">
        <v>2556</v>
      </c>
      <c r="G127" t="s">
        <v>74</v>
      </c>
      <c r="H127" t="s">
        <v>74</v>
      </c>
      <c r="I127" t="s">
        <v>2557</v>
      </c>
      <c r="J127" t="s">
        <v>2558</v>
      </c>
      <c r="K127" t="s">
        <v>74</v>
      </c>
      <c r="L127" t="s">
        <v>74</v>
      </c>
      <c r="M127" t="s">
        <v>78</v>
      </c>
      <c r="N127" t="s">
        <v>79</v>
      </c>
      <c r="O127" t="s">
        <v>74</v>
      </c>
      <c r="P127" t="s">
        <v>74</v>
      </c>
      <c r="Q127" t="s">
        <v>74</v>
      </c>
      <c r="R127" t="s">
        <v>74</v>
      </c>
      <c r="S127" t="s">
        <v>74</v>
      </c>
      <c r="T127" t="s">
        <v>2559</v>
      </c>
      <c r="U127" t="s">
        <v>2560</v>
      </c>
      <c r="V127" t="s">
        <v>2561</v>
      </c>
      <c r="W127" t="s">
        <v>2562</v>
      </c>
      <c r="X127" t="s">
        <v>2563</v>
      </c>
      <c r="Y127" t="s">
        <v>2564</v>
      </c>
      <c r="Z127" t="s">
        <v>2565</v>
      </c>
      <c r="AA127" t="s">
        <v>74</v>
      </c>
      <c r="AB127" t="s">
        <v>74</v>
      </c>
      <c r="AC127" t="s">
        <v>932</v>
      </c>
      <c r="AD127" t="s">
        <v>932</v>
      </c>
      <c r="AE127" t="s">
        <v>932</v>
      </c>
      <c r="AF127" t="s">
        <v>74</v>
      </c>
      <c r="AG127">
        <v>35</v>
      </c>
      <c r="AH127">
        <v>0</v>
      </c>
      <c r="AI127">
        <v>0</v>
      </c>
      <c r="AJ127">
        <v>0</v>
      </c>
      <c r="AK127">
        <v>0</v>
      </c>
      <c r="AL127" t="s">
        <v>117</v>
      </c>
      <c r="AM127" t="s">
        <v>118</v>
      </c>
      <c r="AN127" t="s">
        <v>119</v>
      </c>
      <c r="AO127" t="s">
        <v>2566</v>
      </c>
      <c r="AP127" t="s">
        <v>2567</v>
      </c>
      <c r="AQ127" t="s">
        <v>74</v>
      </c>
      <c r="AR127" t="s">
        <v>2568</v>
      </c>
      <c r="AS127" t="s">
        <v>2569</v>
      </c>
      <c r="AT127" t="s">
        <v>2570</v>
      </c>
      <c r="AU127">
        <v>2023</v>
      </c>
      <c r="AV127">
        <v>33</v>
      </c>
      <c r="AW127">
        <v>1</v>
      </c>
      <c r="AX127" t="s">
        <v>74</v>
      </c>
      <c r="AY127" t="s">
        <v>74</v>
      </c>
      <c r="AZ127" t="s">
        <v>74</v>
      </c>
      <c r="BA127" t="s">
        <v>74</v>
      </c>
      <c r="BB127" t="s">
        <v>74</v>
      </c>
      <c r="BC127" t="s">
        <v>74</v>
      </c>
      <c r="BD127">
        <v>96</v>
      </c>
      <c r="BE127" t="s">
        <v>2571</v>
      </c>
      <c r="BF127" t="str">
        <f>HYPERLINK("http://dx.doi.org/10.1186/s41938-023-00741-9","http://dx.doi.org/10.1186/s41938-023-00741-9")</f>
        <v>http://dx.doi.org/10.1186/s41938-023-00741-9</v>
      </c>
      <c r="BG127" t="s">
        <v>74</v>
      </c>
      <c r="BH127" t="s">
        <v>74</v>
      </c>
      <c r="BI127">
        <v>9</v>
      </c>
      <c r="BJ127" t="s">
        <v>2572</v>
      </c>
      <c r="BK127" t="s">
        <v>126</v>
      </c>
      <c r="BL127" t="s">
        <v>2572</v>
      </c>
      <c r="BM127" t="s">
        <v>2573</v>
      </c>
      <c r="BN127" t="s">
        <v>74</v>
      </c>
      <c r="BO127" t="s">
        <v>302</v>
      </c>
      <c r="BP127" t="s">
        <v>74</v>
      </c>
      <c r="BQ127" t="s">
        <v>74</v>
      </c>
      <c r="BR127" t="s">
        <v>99</v>
      </c>
      <c r="BS127" t="s">
        <v>2574</v>
      </c>
      <c r="BT127" t="str">
        <f>HYPERLINK("https%3A%2F%2Fwww.webofscience.com%2Fwos%2Fwoscc%2Ffull-record%2FWOS:001070868600001","View Full Record in Web of Science")</f>
        <v>View Full Record in Web of Science</v>
      </c>
    </row>
    <row r="128" spans="1:72" x14ac:dyDescent="0.15">
      <c r="A128" t="s">
        <v>72</v>
      </c>
      <c r="B128" t="s">
        <v>2575</v>
      </c>
      <c r="C128" t="s">
        <v>74</v>
      </c>
      <c r="D128" t="s">
        <v>74</v>
      </c>
      <c r="E128" t="s">
        <v>74</v>
      </c>
      <c r="F128" t="s">
        <v>2576</v>
      </c>
      <c r="G128" t="s">
        <v>74</v>
      </c>
      <c r="H128" t="s">
        <v>74</v>
      </c>
      <c r="I128" t="s">
        <v>2577</v>
      </c>
      <c r="J128" t="s">
        <v>2578</v>
      </c>
      <c r="K128" t="s">
        <v>74</v>
      </c>
      <c r="L128" t="s">
        <v>74</v>
      </c>
      <c r="M128" t="s">
        <v>78</v>
      </c>
      <c r="N128" t="s">
        <v>1246</v>
      </c>
      <c r="O128" t="s">
        <v>74</v>
      </c>
      <c r="P128" t="s">
        <v>74</v>
      </c>
      <c r="Q128" t="s">
        <v>74</v>
      </c>
      <c r="R128" t="s">
        <v>74</v>
      </c>
      <c r="S128" t="s">
        <v>74</v>
      </c>
      <c r="T128" t="s">
        <v>2579</v>
      </c>
      <c r="U128" t="s">
        <v>2580</v>
      </c>
      <c r="V128" t="s">
        <v>2581</v>
      </c>
      <c r="W128" t="s">
        <v>2582</v>
      </c>
      <c r="X128" t="s">
        <v>2583</v>
      </c>
      <c r="Y128" t="s">
        <v>2584</v>
      </c>
      <c r="Z128" t="s">
        <v>2585</v>
      </c>
      <c r="AA128" t="s">
        <v>74</v>
      </c>
      <c r="AB128" t="s">
        <v>74</v>
      </c>
      <c r="AC128" t="s">
        <v>2586</v>
      </c>
      <c r="AD128" t="s">
        <v>2587</v>
      </c>
      <c r="AE128" t="s">
        <v>2588</v>
      </c>
      <c r="AF128" t="s">
        <v>74</v>
      </c>
      <c r="AG128">
        <v>36</v>
      </c>
      <c r="AH128">
        <v>0</v>
      </c>
      <c r="AI128">
        <v>0</v>
      </c>
      <c r="AJ128">
        <v>0</v>
      </c>
      <c r="AK128">
        <v>0</v>
      </c>
      <c r="AL128" t="s">
        <v>117</v>
      </c>
      <c r="AM128" t="s">
        <v>627</v>
      </c>
      <c r="AN128" t="s">
        <v>628</v>
      </c>
      <c r="AO128" t="s">
        <v>2589</v>
      </c>
      <c r="AP128" t="s">
        <v>2590</v>
      </c>
      <c r="AQ128" t="s">
        <v>74</v>
      </c>
      <c r="AR128" t="s">
        <v>2591</v>
      </c>
      <c r="AS128" t="s">
        <v>2592</v>
      </c>
      <c r="AT128" t="s">
        <v>2593</v>
      </c>
      <c r="AU128">
        <v>2023</v>
      </c>
      <c r="AV128" t="s">
        <v>74</v>
      </c>
      <c r="AW128" t="s">
        <v>74</v>
      </c>
      <c r="AX128" t="s">
        <v>74</v>
      </c>
      <c r="AY128" t="s">
        <v>74</v>
      </c>
      <c r="AZ128" t="s">
        <v>74</v>
      </c>
      <c r="BA128" t="s">
        <v>74</v>
      </c>
      <c r="BB128" t="s">
        <v>74</v>
      </c>
      <c r="BC128" t="s">
        <v>74</v>
      </c>
      <c r="BD128" t="s">
        <v>74</v>
      </c>
      <c r="BE128" t="s">
        <v>2594</v>
      </c>
      <c r="BF128" t="str">
        <f>HYPERLINK("http://dx.doi.org/10.1007/s11136-023-03515","http://dx.doi.org/10.1007/s11136-023-03515")</f>
        <v>http://dx.doi.org/10.1007/s11136-023-03515</v>
      </c>
      <c r="BG128" t="s">
        <v>74</v>
      </c>
      <c r="BH128" t="s">
        <v>2079</v>
      </c>
      <c r="BI128">
        <v>11</v>
      </c>
      <c r="BJ128" t="s">
        <v>2595</v>
      </c>
      <c r="BK128" t="s">
        <v>2431</v>
      </c>
      <c r="BL128" t="s">
        <v>2596</v>
      </c>
      <c r="BM128" t="s">
        <v>2597</v>
      </c>
      <c r="BN128" t="s">
        <v>74</v>
      </c>
      <c r="BO128" t="s">
        <v>74</v>
      </c>
      <c r="BP128" t="s">
        <v>74</v>
      </c>
      <c r="BQ128" t="s">
        <v>74</v>
      </c>
      <c r="BR128" t="s">
        <v>99</v>
      </c>
      <c r="BS128" t="s">
        <v>2598</v>
      </c>
      <c r="BT128" t="str">
        <f>HYPERLINK("https%3A%2F%2Fwww.webofscience.com%2Fwos%2Fwoscc%2Ffull-record%2FWOS:001069962100001","View Full Record in Web of Science")</f>
        <v>View Full Record in Web of Science</v>
      </c>
    </row>
    <row r="129" spans="1:72" x14ac:dyDescent="0.15">
      <c r="A129" t="s">
        <v>72</v>
      </c>
      <c r="B129" t="s">
        <v>2599</v>
      </c>
      <c r="C129" t="s">
        <v>74</v>
      </c>
      <c r="D129" t="s">
        <v>74</v>
      </c>
      <c r="E129" t="s">
        <v>74</v>
      </c>
      <c r="F129" t="s">
        <v>2600</v>
      </c>
      <c r="G129" t="s">
        <v>74</v>
      </c>
      <c r="H129" t="s">
        <v>74</v>
      </c>
      <c r="I129" t="s">
        <v>2601</v>
      </c>
      <c r="J129" t="s">
        <v>2602</v>
      </c>
      <c r="K129" t="s">
        <v>74</v>
      </c>
      <c r="L129" t="s">
        <v>74</v>
      </c>
      <c r="M129" t="s">
        <v>78</v>
      </c>
      <c r="N129" t="s">
        <v>79</v>
      </c>
      <c r="O129" t="s">
        <v>74</v>
      </c>
      <c r="P129" t="s">
        <v>74</v>
      </c>
      <c r="Q129" t="s">
        <v>74</v>
      </c>
      <c r="R129" t="s">
        <v>74</v>
      </c>
      <c r="S129" t="s">
        <v>74</v>
      </c>
      <c r="T129" t="s">
        <v>2603</v>
      </c>
      <c r="U129" t="s">
        <v>2604</v>
      </c>
      <c r="V129" t="s">
        <v>2605</v>
      </c>
      <c r="W129" t="s">
        <v>2606</v>
      </c>
      <c r="X129" t="s">
        <v>2607</v>
      </c>
      <c r="Y129" t="s">
        <v>2608</v>
      </c>
      <c r="Z129" t="s">
        <v>2609</v>
      </c>
      <c r="AA129" t="s">
        <v>2610</v>
      </c>
      <c r="AB129" t="s">
        <v>2611</v>
      </c>
      <c r="AC129" t="s">
        <v>2612</v>
      </c>
      <c r="AD129" t="s">
        <v>2612</v>
      </c>
      <c r="AE129" t="s">
        <v>2612</v>
      </c>
      <c r="AF129" t="s">
        <v>74</v>
      </c>
      <c r="AG129">
        <v>45</v>
      </c>
      <c r="AH129">
        <v>0</v>
      </c>
      <c r="AI129">
        <v>0</v>
      </c>
      <c r="AJ129">
        <v>0</v>
      </c>
      <c r="AK129">
        <v>0</v>
      </c>
      <c r="AL129" t="s">
        <v>443</v>
      </c>
      <c r="AM129" t="s">
        <v>245</v>
      </c>
      <c r="AN129" t="s">
        <v>444</v>
      </c>
      <c r="AO129" t="s">
        <v>74</v>
      </c>
      <c r="AP129" t="s">
        <v>2613</v>
      </c>
      <c r="AQ129" t="s">
        <v>74</v>
      </c>
      <c r="AR129" t="s">
        <v>2614</v>
      </c>
      <c r="AS129" t="s">
        <v>2615</v>
      </c>
      <c r="AT129" t="s">
        <v>2616</v>
      </c>
      <c r="AU129">
        <v>2023</v>
      </c>
      <c r="AV129">
        <v>20</v>
      </c>
      <c r="AW129">
        <v>1</v>
      </c>
      <c r="AX129" t="s">
        <v>74</v>
      </c>
      <c r="AY129" t="s">
        <v>74</v>
      </c>
      <c r="AZ129" t="s">
        <v>74</v>
      </c>
      <c r="BA129" t="s">
        <v>74</v>
      </c>
      <c r="BB129" t="s">
        <v>74</v>
      </c>
      <c r="BC129" t="s">
        <v>74</v>
      </c>
      <c r="BD129">
        <v>216</v>
      </c>
      <c r="BE129" t="s">
        <v>2617</v>
      </c>
      <c r="BF129" t="str">
        <f>HYPERLINK("http://dx.doi.org/10.1186/s12985-023-02184-y","http://dx.doi.org/10.1186/s12985-023-02184-y")</f>
        <v>http://dx.doi.org/10.1186/s12985-023-02184-y</v>
      </c>
      <c r="BG129" t="s">
        <v>74</v>
      </c>
      <c r="BH129" t="s">
        <v>74</v>
      </c>
      <c r="BI129">
        <v>11</v>
      </c>
      <c r="BJ129" t="s">
        <v>2618</v>
      </c>
      <c r="BK129" t="s">
        <v>126</v>
      </c>
      <c r="BL129" t="s">
        <v>2618</v>
      </c>
      <c r="BM129" t="s">
        <v>2619</v>
      </c>
      <c r="BN129">
        <v>37737192</v>
      </c>
      <c r="BO129" t="s">
        <v>157</v>
      </c>
      <c r="BP129" t="s">
        <v>74</v>
      </c>
      <c r="BQ129" t="s">
        <v>74</v>
      </c>
      <c r="BR129" t="s">
        <v>99</v>
      </c>
      <c r="BS129" t="s">
        <v>2620</v>
      </c>
      <c r="BT129" t="str">
        <f>HYPERLINK("https%3A%2F%2Fwww.webofscience.com%2Fwos%2Fwoscc%2Ffull-record%2FWOS:001070913100001","View Full Record in Web of Science")</f>
        <v>View Full Record in Web of Science</v>
      </c>
    </row>
    <row r="130" spans="1:72" x14ac:dyDescent="0.15">
      <c r="A130" t="s">
        <v>72</v>
      </c>
      <c r="B130" t="s">
        <v>2621</v>
      </c>
      <c r="C130" t="s">
        <v>74</v>
      </c>
      <c r="D130" t="s">
        <v>74</v>
      </c>
      <c r="E130" t="s">
        <v>74</v>
      </c>
      <c r="F130" t="s">
        <v>2622</v>
      </c>
      <c r="G130" t="s">
        <v>74</v>
      </c>
      <c r="H130" t="s">
        <v>74</v>
      </c>
      <c r="I130" t="s">
        <v>2623</v>
      </c>
      <c r="J130" t="s">
        <v>2624</v>
      </c>
      <c r="K130" t="s">
        <v>74</v>
      </c>
      <c r="L130" t="s">
        <v>74</v>
      </c>
      <c r="M130" t="s">
        <v>78</v>
      </c>
      <c r="N130" t="s">
        <v>1246</v>
      </c>
      <c r="O130" t="s">
        <v>74</v>
      </c>
      <c r="P130" t="s">
        <v>74</v>
      </c>
      <c r="Q130" t="s">
        <v>74</v>
      </c>
      <c r="R130" t="s">
        <v>74</v>
      </c>
      <c r="S130" t="s">
        <v>74</v>
      </c>
      <c r="T130" t="s">
        <v>2625</v>
      </c>
      <c r="U130" t="s">
        <v>2626</v>
      </c>
      <c r="V130" t="s">
        <v>2627</v>
      </c>
      <c r="W130" t="s">
        <v>2628</v>
      </c>
      <c r="X130" t="s">
        <v>2629</v>
      </c>
      <c r="Y130" t="s">
        <v>2630</v>
      </c>
      <c r="Z130" t="s">
        <v>2631</v>
      </c>
      <c r="AA130" t="s">
        <v>74</v>
      </c>
      <c r="AB130" t="s">
        <v>74</v>
      </c>
      <c r="AC130" t="s">
        <v>2632</v>
      </c>
      <c r="AD130" t="s">
        <v>2633</v>
      </c>
      <c r="AE130" t="s">
        <v>2634</v>
      </c>
      <c r="AF130" t="s">
        <v>74</v>
      </c>
      <c r="AG130">
        <v>84</v>
      </c>
      <c r="AH130">
        <v>0</v>
      </c>
      <c r="AI130">
        <v>0</v>
      </c>
      <c r="AJ130">
        <v>0</v>
      </c>
      <c r="AK130">
        <v>0</v>
      </c>
      <c r="AL130" t="s">
        <v>117</v>
      </c>
      <c r="AM130" t="s">
        <v>118</v>
      </c>
      <c r="AN130" t="s">
        <v>119</v>
      </c>
      <c r="AO130" t="s">
        <v>2635</v>
      </c>
      <c r="AP130" t="s">
        <v>2636</v>
      </c>
      <c r="AQ130" t="s">
        <v>74</v>
      </c>
      <c r="AR130" t="s">
        <v>2637</v>
      </c>
      <c r="AS130" t="s">
        <v>2638</v>
      </c>
      <c r="AT130" t="s">
        <v>2593</v>
      </c>
      <c r="AU130">
        <v>2023</v>
      </c>
      <c r="AV130" t="s">
        <v>74</v>
      </c>
      <c r="AW130" t="s">
        <v>74</v>
      </c>
      <c r="AX130" t="s">
        <v>74</v>
      </c>
      <c r="AY130" t="s">
        <v>74</v>
      </c>
      <c r="AZ130" t="s">
        <v>74</v>
      </c>
      <c r="BA130" t="s">
        <v>74</v>
      </c>
      <c r="BB130" t="s">
        <v>74</v>
      </c>
      <c r="BC130" t="s">
        <v>74</v>
      </c>
      <c r="BD130" t="s">
        <v>74</v>
      </c>
      <c r="BE130" t="s">
        <v>2639</v>
      </c>
      <c r="BF130" t="str">
        <f>HYPERLINK("http://dx.doi.org/10.1007/s11365-023-00896-9","http://dx.doi.org/10.1007/s11365-023-00896-9")</f>
        <v>http://dx.doi.org/10.1007/s11365-023-00896-9</v>
      </c>
      <c r="BG130" t="s">
        <v>74</v>
      </c>
      <c r="BH130" t="s">
        <v>2079</v>
      </c>
      <c r="BI130">
        <v>27</v>
      </c>
      <c r="BJ130" t="s">
        <v>424</v>
      </c>
      <c r="BK130" t="s">
        <v>425</v>
      </c>
      <c r="BL130" t="s">
        <v>426</v>
      </c>
      <c r="BM130" t="s">
        <v>2640</v>
      </c>
      <c r="BN130" t="s">
        <v>74</v>
      </c>
      <c r="BO130" t="s">
        <v>74</v>
      </c>
      <c r="BP130" t="s">
        <v>74</v>
      </c>
      <c r="BQ130" t="s">
        <v>74</v>
      </c>
      <c r="BR130" t="s">
        <v>99</v>
      </c>
      <c r="BS130" t="s">
        <v>2641</v>
      </c>
      <c r="BT130" t="str">
        <f>HYPERLINK("https%3A%2F%2Fwww.webofscience.com%2Fwos%2Fwoscc%2Ffull-record%2FWOS:001069807400001","View Full Record in Web of Science")</f>
        <v>View Full Record in Web of Science</v>
      </c>
    </row>
    <row r="131" spans="1:72" x14ac:dyDescent="0.15">
      <c r="A131" t="s">
        <v>72</v>
      </c>
      <c r="B131" t="s">
        <v>2642</v>
      </c>
      <c r="C131" t="s">
        <v>74</v>
      </c>
      <c r="D131" t="s">
        <v>74</v>
      </c>
      <c r="E131" t="s">
        <v>74</v>
      </c>
      <c r="F131" t="s">
        <v>2643</v>
      </c>
      <c r="G131" t="s">
        <v>74</v>
      </c>
      <c r="H131" t="s">
        <v>74</v>
      </c>
      <c r="I131" t="s">
        <v>2644</v>
      </c>
      <c r="J131" t="s">
        <v>2645</v>
      </c>
      <c r="K131" t="s">
        <v>74</v>
      </c>
      <c r="L131" t="s">
        <v>74</v>
      </c>
      <c r="M131" t="s">
        <v>78</v>
      </c>
      <c r="N131" t="s">
        <v>1246</v>
      </c>
      <c r="O131" t="s">
        <v>74</v>
      </c>
      <c r="P131" t="s">
        <v>74</v>
      </c>
      <c r="Q131" t="s">
        <v>74</v>
      </c>
      <c r="R131" t="s">
        <v>74</v>
      </c>
      <c r="S131" t="s">
        <v>74</v>
      </c>
      <c r="T131" t="s">
        <v>2646</v>
      </c>
      <c r="U131" t="s">
        <v>2647</v>
      </c>
      <c r="V131" t="s">
        <v>2648</v>
      </c>
      <c r="W131" t="s">
        <v>2649</v>
      </c>
      <c r="X131" t="s">
        <v>2650</v>
      </c>
      <c r="Y131" t="s">
        <v>2651</v>
      </c>
      <c r="Z131" t="s">
        <v>2652</v>
      </c>
      <c r="AA131" t="s">
        <v>74</v>
      </c>
      <c r="AB131" t="s">
        <v>74</v>
      </c>
      <c r="AC131" t="s">
        <v>74</v>
      </c>
      <c r="AD131" t="s">
        <v>74</v>
      </c>
      <c r="AE131" t="s">
        <v>74</v>
      </c>
      <c r="AF131" t="s">
        <v>74</v>
      </c>
      <c r="AG131">
        <v>73</v>
      </c>
      <c r="AH131">
        <v>0</v>
      </c>
      <c r="AI131">
        <v>0</v>
      </c>
      <c r="AJ131">
        <v>0</v>
      </c>
      <c r="AK131">
        <v>0</v>
      </c>
      <c r="AL131" t="s">
        <v>172</v>
      </c>
      <c r="AM131" t="s">
        <v>173</v>
      </c>
      <c r="AN131" t="s">
        <v>174</v>
      </c>
      <c r="AO131" t="s">
        <v>2653</v>
      </c>
      <c r="AP131" t="s">
        <v>2654</v>
      </c>
      <c r="AQ131" t="s">
        <v>74</v>
      </c>
      <c r="AR131" t="s">
        <v>2655</v>
      </c>
      <c r="AS131" t="s">
        <v>2656</v>
      </c>
      <c r="AT131" t="s">
        <v>2593</v>
      </c>
      <c r="AU131">
        <v>2023</v>
      </c>
      <c r="AV131" t="s">
        <v>74</v>
      </c>
      <c r="AW131" t="s">
        <v>74</v>
      </c>
      <c r="AX131" t="s">
        <v>74</v>
      </c>
      <c r="AY131" t="s">
        <v>74</v>
      </c>
      <c r="AZ131" t="s">
        <v>74</v>
      </c>
      <c r="BA131" t="s">
        <v>74</v>
      </c>
      <c r="BB131" t="s">
        <v>74</v>
      </c>
      <c r="BC131" t="s">
        <v>74</v>
      </c>
      <c r="BD131" t="s">
        <v>74</v>
      </c>
      <c r="BE131" t="s">
        <v>2657</v>
      </c>
      <c r="BF131" t="str">
        <f>HYPERLINK("http://dx.doi.org/10.1007/s11370-023-00485-3","http://dx.doi.org/10.1007/s11370-023-00485-3")</f>
        <v>http://dx.doi.org/10.1007/s11370-023-00485-3</v>
      </c>
      <c r="BG131" t="s">
        <v>74</v>
      </c>
      <c r="BH131" t="s">
        <v>2079</v>
      </c>
      <c r="BI131">
        <v>20</v>
      </c>
      <c r="BJ131" t="s">
        <v>2658</v>
      </c>
      <c r="BK131" t="s">
        <v>126</v>
      </c>
      <c r="BL131" t="s">
        <v>2658</v>
      </c>
      <c r="BM131" t="s">
        <v>2659</v>
      </c>
      <c r="BN131" t="s">
        <v>74</v>
      </c>
      <c r="BO131" t="s">
        <v>327</v>
      </c>
      <c r="BP131" t="s">
        <v>74</v>
      </c>
      <c r="BQ131" t="s">
        <v>74</v>
      </c>
      <c r="BR131" t="s">
        <v>99</v>
      </c>
      <c r="BS131" t="s">
        <v>2660</v>
      </c>
      <c r="BT131" t="str">
        <f>HYPERLINK("https%3A%2F%2Fwww.webofscience.com%2Fwos%2Fwoscc%2Ffull-record%2FWOS:001069946200001","View Full Record in Web of Science")</f>
        <v>View Full Record in Web of Science</v>
      </c>
    </row>
    <row r="132" spans="1:72" x14ac:dyDescent="0.15">
      <c r="A132" t="s">
        <v>72</v>
      </c>
      <c r="B132" t="s">
        <v>2661</v>
      </c>
      <c r="C132" t="s">
        <v>74</v>
      </c>
      <c r="D132" t="s">
        <v>74</v>
      </c>
      <c r="E132" t="s">
        <v>74</v>
      </c>
      <c r="F132" t="s">
        <v>2662</v>
      </c>
      <c r="G132" t="s">
        <v>74</v>
      </c>
      <c r="H132" t="s">
        <v>74</v>
      </c>
      <c r="I132" t="s">
        <v>2663</v>
      </c>
      <c r="J132" t="s">
        <v>2664</v>
      </c>
      <c r="K132" t="s">
        <v>74</v>
      </c>
      <c r="L132" t="s">
        <v>74</v>
      </c>
      <c r="M132" t="s">
        <v>78</v>
      </c>
      <c r="N132" t="s">
        <v>1246</v>
      </c>
      <c r="O132" t="s">
        <v>74</v>
      </c>
      <c r="P132" t="s">
        <v>74</v>
      </c>
      <c r="Q132" t="s">
        <v>74</v>
      </c>
      <c r="R132" t="s">
        <v>74</v>
      </c>
      <c r="S132" t="s">
        <v>74</v>
      </c>
      <c r="T132" t="s">
        <v>2665</v>
      </c>
      <c r="U132" t="s">
        <v>2666</v>
      </c>
      <c r="V132" t="s">
        <v>2667</v>
      </c>
      <c r="W132" t="s">
        <v>2668</v>
      </c>
      <c r="X132" t="s">
        <v>2669</v>
      </c>
      <c r="Y132" t="s">
        <v>2670</v>
      </c>
      <c r="Z132" t="s">
        <v>2671</v>
      </c>
      <c r="AA132" t="s">
        <v>74</v>
      </c>
      <c r="AB132" t="s">
        <v>74</v>
      </c>
      <c r="AC132" t="s">
        <v>2672</v>
      </c>
      <c r="AD132" t="s">
        <v>2673</v>
      </c>
      <c r="AE132" t="s">
        <v>2674</v>
      </c>
      <c r="AF132" t="s">
        <v>74</v>
      </c>
      <c r="AG132">
        <v>61</v>
      </c>
      <c r="AH132">
        <v>0</v>
      </c>
      <c r="AI132">
        <v>0</v>
      </c>
      <c r="AJ132">
        <v>0</v>
      </c>
      <c r="AK132">
        <v>0</v>
      </c>
      <c r="AL132" t="s">
        <v>269</v>
      </c>
      <c r="AM132" t="s">
        <v>118</v>
      </c>
      <c r="AN132" t="s">
        <v>270</v>
      </c>
      <c r="AO132" t="s">
        <v>2675</v>
      </c>
      <c r="AP132" t="s">
        <v>2676</v>
      </c>
      <c r="AQ132" t="s">
        <v>74</v>
      </c>
      <c r="AR132" t="s">
        <v>2664</v>
      </c>
      <c r="AS132" t="s">
        <v>2677</v>
      </c>
      <c r="AT132" t="s">
        <v>2593</v>
      </c>
      <c r="AU132">
        <v>2023</v>
      </c>
      <c r="AV132" t="s">
        <v>74</v>
      </c>
      <c r="AW132" t="s">
        <v>74</v>
      </c>
      <c r="AX132" t="s">
        <v>74</v>
      </c>
      <c r="AY132" t="s">
        <v>74</v>
      </c>
      <c r="AZ132" t="s">
        <v>74</v>
      </c>
      <c r="BA132" t="s">
        <v>74</v>
      </c>
      <c r="BB132" t="s">
        <v>74</v>
      </c>
      <c r="BC132" t="s">
        <v>74</v>
      </c>
      <c r="BD132" t="s">
        <v>74</v>
      </c>
      <c r="BE132" t="s">
        <v>2678</v>
      </c>
      <c r="BF132" t="str">
        <f>HYPERLINK("http://dx.doi.org/10.1007/s11199-023-01424-3","http://dx.doi.org/10.1007/s11199-023-01424-3")</f>
        <v>http://dx.doi.org/10.1007/s11199-023-01424-3</v>
      </c>
      <c r="BG132" t="s">
        <v>74</v>
      </c>
      <c r="BH132" t="s">
        <v>2079</v>
      </c>
      <c r="BI132">
        <v>15</v>
      </c>
      <c r="BJ132" t="s">
        <v>2679</v>
      </c>
      <c r="BK132" t="s">
        <v>425</v>
      </c>
      <c r="BL132" t="s">
        <v>2680</v>
      </c>
      <c r="BM132" t="s">
        <v>2681</v>
      </c>
      <c r="BN132" t="s">
        <v>74</v>
      </c>
      <c r="BO132" t="s">
        <v>183</v>
      </c>
      <c r="BP132" t="s">
        <v>74</v>
      </c>
      <c r="BQ132" t="s">
        <v>74</v>
      </c>
      <c r="BR132" t="s">
        <v>99</v>
      </c>
      <c r="BS132" t="s">
        <v>2682</v>
      </c>
      <c r="BT132" t="str">
        <f>HYPERLINK("https%3A%2F%2Fwww.webofscience.com%2Fwos%2Fwoscc%2Ffull-record%2FWOS:001069976500001","View Full Record in Web of Science")</f>
        <v>View Full Record in Web of Science</v>
      </c>
    </row>
    <row r="133" spans="1:72" x14ac:dyDescent="0.15">
      <c r="A133" t="s">
        <v>72</v>
      </c>
      <c r="B133" t="s">
        <v>2683</v>
      </c>
      <c r="C133" t="s">
        <v>74</v>
      </c>
      <c r="D133" t="s">
        <v>74</v>
      </c>
      <c r="E133" t="s">
        <v>74</v>
      </c>
      <c r="F133" t="s">
        <v>2684</v>
      </c>
      <c r="G133" t="s">
        <v>74</v>
      </c>
      <c r="H133" t="s">
        <v>74</v>
      </c>
      <c r="I133" t="s">
        <v>2685</v>
      </c>
      <c r="J133" t="s">
        <v>2686</v>
      </c>
      <c r="K133" t="s">
        <v>74</v>
      </c>
      <c r="L133" t="s">
        <v>74</v>
      </c>
      <c r="M133" t="s">
        <v>78</v>
      </c>
      <c r="N133" t="s">
        <v>1246</v>
      </c>
      <c r="O133" t="s">
        <v>74</v>
      </c>
      <c r="P133" t="s">
        <v>74</v>
      </c>
      <c r="Q133" t="s">
        <v>74</v>
      </c>
      <c r="R133" t="s">
        <v>74</v>
      </c>
      <c r="S133" t="s">
        <v>74</v>
      </c>
      <c r="T133" t="s">
        <v>2687</v>
      </c>
      <c r="U133" t="s">
        <v>2688</v>
      </c>
      <c r="V133" t="s">
        <v>2689</v>
      </c>
      <c r="W133" t="s">
        <v>2690</v>
      </c>
      <c r="X133" t="s">
        <v>2691</v>
      </c>
      <c r="Y133" t="s">
        <v>2692</v>
      </c>
      <c r="Z133" t="s">
        <v>2693</v>
      </c>
      <c r="AA133" t="s">
        <v>74</v>
      </c>
      <c r="AB133" t="s">
        <v>74</v>
      </c>
      <c r="AC133" t="s">
        <v>2694</v>
      </c>
      <c r="AD133" t="s">
        <v>2695</v>
      </c>
      <c r="AE133" t="s">
        <v>2696</v>
      </c>
      <c r="AF133" t="s">
        <v>74</v>
      </c>
      <c r="AG133">
        <v>55</v>
      </c>
      <c r="AH133">
        <v>0</v>
      </c>
      <c r="AI133">
        <v>0</v>
      </c>
      <c r="AJ133">
        <v>0</v>
      </c>
      <c r="AK133">
        <v>0</v>
      </c>
      <c r="AL133" t="s">
        <v>117</v>
      </c>
      <c r="AM133" t="s">
        <v>627</v>
      </c>
      <c r="AN133" t="s">
        <v>628</v>
      </c>
      <c r="AO133" t="s">
        <v>2697</v>
      </c>
      <c r="AP133" t="s">
        <v>2698</v>
      </c>
      <c r="AQ133" t="s">
        <v>74</v>
      </c>
      <c r="AR133" t="s">
        <v>2699</v>
      </c>
      <c r="AS133" t="s">
        <v>2700</v>
      </c>
      <c r="AT133" t="s">
        <v>2593</v>
      </c>
      <c r="AU133">
        <v>2023</v>
      </c>
      <c r="AV133" t="s">
        <v>74</v>
      </c>
      <c r="AW133" t="s">
        <v>74</v>
      </c>
      <c r="AX133" t="s">
        <v>74</v>
      </c>
      <c r="AY133" t="s">
        <v>74</v>
      </c>
      <c r="AZ133" t="s">
        <v>74</v>
      </c>
      <c r="BA133" t="s">
        <v>74</v>
      </c>
      <c r="BB133" t="s">
        <v>74</v>
      </c>
      <c r="BC133" t="s">
        <v>74</v>
      </c>
      <c r="BD133" t="s">
        <v>74</v>
      </c>
      <c r="BE133" t="s">
        <v>2701</v>
      </c>
      <c r="BF133" t="str">
        <f>HYPERLINK("http://dx.doi.org/10.1007/s11211-023-00427-5","http://dx.doi.org/10.1007/s11211-023-00427-5")</f>
        <v>http://dx.doi.org/10.1007/s11211-023-00427-5</v>
      </c>
      <c r="BG133" t="s">
        <v>74</v>
      </c>
      <c r="BH133" t="s">
        <v>2079</v>
      </c>
      <c r="BI133">
        <v>24</v>
      </c>
      <c r="BJ133" t="s">
        <v>2702</v>
      </c>
      <c r="BK133" t="s">
        <v>425</v>
      </c>
      <c r="BL133" t="s">
        <v>2703</v>
      </c>
      <c r="BM133" t="s">
        <v>2704</v>
      </c>
      <c r="BN133" t="s">
        <v>74</v>
      </c>
      <c r="BO133" t="s">
        <v>74</v>
      </c>
      <c r="BP133" t="s">
        <v>74</v>
      </c>
      <c r="BQ133" t="s">
        <v>74</v>
      </c>
      <c r="BR133" t="s">
        <v>99</v>
      </c>
      <c r="BS133" t="s">
        <v>2705</v>
      </c>
      <c r="BT133" t="str">
        <f>HYPERLINK("https%3A%2F%2Fwww.webofscience.com%2Fwos%2Fwoscc%2Ffull-record%2FWOS:001069808700001","View Full Record in Web of Science")</f>
        <v>View Full Record in Web of Science</v>
      </c>
    </row>
    <row r="134" spans="1:72" x14ac:dyDescent="0.15">
      <c r="A134" t="s">
        <v>72</v>
      </c>
      <c r="B134" t="s">
        <v>2706</v>
      </c>
      <c r="C134" t="s">
        <v>74</v>
      </c>
      <c r="D134" t="s">
        <v>74</v>
      </c>
      <c r="E134" t="s">
        <v>74</v>
      </c>
      <c r="F134" t="s">
        <v>2707</v>
      </c>
      <c r="G134" t="s">
        <v>74</v>
      </c>
      <c r="H134" t="s">
        <v>74</v>
      </c>
      <c r="I134" t="s">
        <v>2708</v>
      </c>
      <c r="J134" t="s">
        <v>2709</v>
      </c>
      <c r="K134" t="s">
        <v>74</v>
      </c>
      <c r="L134" t="s">
        <v>74</v>
      </c>
      <c r="M134" t="s">
        <v>78</v>
      </c>
      <c r="N134" t="s">
        <v>1246</v>
      </c>
      <c r="O134" t="s">
        <v>74</v>
      </c>
      <c r="P134" t="s">
        <v>74</v>
      </c>
      <c r="Q134" t="s">
        <v>74</v>
      </c>
      <c r="R134" t="s">
        <v>74</v>
      </c>
      <c r="S134" t="s">
        <v>74</v>
      </c>
      <c r="T134" t="s">
        <v>2710</v>
      </c>
      <c r="U134" t="s">
        <v>2711</v>
      </c>
      <c r="V134" t="s">
        <v>2712</v>
      </c>
      <c r="W134" t="s">
        <v>2713</v>
      </c>
      <c r="X134" t="s">
        <v>2714</v>
      </c>
      <c r="Y134" t="s">
        <v>2715</v>
      </c>
      <c r="Z134" t="s">
        <v>2716</v>
      </c>
      <c r="AA134" t="s">
        <v>74</v>
      </c>
      <c r="AB134" t="s">
        <v>74</v>
      </c>
      <c r="AC134" t="s">
        <v>2717</v>
      </c>
      <c r="AD134" t="s">
        <v>2718</v>
      </c>
      <c r="AE134" t="s">
        <v>2719</v>
      </c>
      <c r="AF134" t="s">
        <v>74</v>
      </c>
      <c r="AG134">
        <v>75</v>
      </c>
      <c r="AH134">
        <v>0</v>
      </c>
      <c r="AI134">
        <v>0</v>
      </c>
      <c r="AJ134">
        <v>0</v>
      </c>
      <c r="AK134">
        <v>0</v>
      </c>
      <c r="AL134" t="s">
        <v>172</v>
      </c>
      <c r="AM134" t="s">
        <v>173</v>
      </c>
      <c r="AN134" t="s">
        <v>174</v>
      </c>
      <c r="AO134" t="s">
        <v>2720</v>
      </c>
      <c r="AP134" t="s">
        <v>2721</v>
      </c>
      <c r="AQ134" t="s">
        <v>74</v>
      </c>
      <c r="AR134" t="s">
        <v>2722</v>
      </c>
      <c r="AS134" t="s">
        <v>2723</v>
      </c>
      <c r="AT134" t="s">
        <v>2593</v>
      </c>
      <c r="AU134">
        <v>2023</v>
      </c>
      <c r="AV134" t="s">
        <v>74</v>
      </c>
      <c r="AW134" t="s">
        <v>74</v>
      </c>
      <c r="AX134" t="s">
        <v>74</v>
      </c>
      <c r="AY134" t="s">
        <v>74</v>
      </c>
      <c r="AZ134" t="s">
        <v>74</v>
      </c>
      <c r="BA134" t="s">
        <v>74</v>
      </c>
      <c r="BB134" t="s">
        <v>74</v>
      </c>
      <c r="BC134" t="s">
        <v>74</v>
      </c>
      <c r="BD134" t="s">
        <v>74</v>
      </c>
      <c r="BE134" t="s">
        <v>2724</v>
      </c>
      <c r="BF134" t="str">
        <f>HYPERLINK("http://dx.doi.org/10.1007/s11628-023-00543","http://dx.doi.org/10.1007/s11628-023-00543")</f>
        <v>http://dx.doi.org/10.1007/s11628-023-00543</v>
      </c>
      <c r="BG134" t="s">
        <v>74</v>
      </c>
      <c r="BH134" t="s">
        <v>2079</v>
      </c>
      <c r="BI134">
        <v>33</v>
      </c>
      <c r="BJ134" t="s">
        <v>424</v>
      </c>
      <c r="BK134" t="s">
        <v>425</v>
      </c>
      <c r="BL134" t="s">
        <v>426</v>
      </c>
      <c r="BM134" t="s">
        <v>2725</v>
      </c>
      <c r="BN134" t="s">
        <v>74</v>
      </c>
      <c r="BO134" t="s">
        <v>74</v>
      </c>
      <c r="BP134" t="s">
        <v>74</v>
      </c>
      <c r="BQ134" t="s">
        <v>74</v>
      </c>
      <c r="BR134" t="s">
        <v>99</v>
      </c>
      <c r="BS134" t="s">
        <v>2726</v>
      </c>
      <c r="BT134" t="str">
        <f>HYPERLINK("https%3A%2F%2Fwww.webofscience.com%2Fwos%2Fwoscc%2Ffull-record%2FWOS:001069947500001","View Full Record in Web of Science")</f>
        <v>View Full Record in Web of Science</v>
      </c>
    </row>
    <row r="135" spans="1:72" x14ac:dyDescent="0.15">
      <c r="A135" t="s">
        <v>72</v>
      </c>
      <c r="B135" t="s">
        <v>2727</v>
      </c>
      <c r="C135" t="s">
        <v>74</v>
      </c>
      <c r="D135" t="s">
        <v>74</v>
      </c>
      <c r="E135" t="s">
        <v>74</v>
      </c>
      <c r="F135" t="s">
        <v>2728</v>
      </c>
      <c r="G135" t="s">
        <v>74</v>
      </c>
      <c r="H135" t="s">
        <v>74</v>
      </c>
      <c r="I135" t="s">
        <v>2729</v>
      </c>
      <c r="J135" t="s">
        <v>2730</v>
      </c>
      <c r="K135" t="s">
        <v>74</v>
      </c>
      <c r="L135" t="s">
        <v>74</v>
      </c>
      <c r="M135" t="s">
        <v>78</v>
      </c>
      <c r="N135" t="s">
        <v>79</v>
      </c>
      <c r="O135" t="s">
        <v>74</v>
      </c>
      <c r="P135" t="s">
        <v>74</v>
      </c>
      <c r="Q135" t="s">
        <v>74</v>
      </c>
      <c r="R135" t="s">
        <v>74</v>
      </c>
      <c r="S135" t="s">
        <v>74</v>
      </c>
      <c r="T135" t="s">
        <v>74</v>
      </c>
      <c r="U135" t="s">
        <v>2731</v>
      </c>
      <c r="V135" t="s">
        <v>2732</v>
      </c>
      <c r="W135" t="s">
        <v>2733</v>
      </c>
      <c r="X135" t="s">
        <v>2734</v>
      </c>
      <c r="Y135" t="s">
        <v>2735</v>
      </c>
      <c r="Z135" t="s">
        <v>2736</v>
      </c>
      <c r="AA135" t="s">
        <v>74</v>
      </c>
      <c r="AB135" t="s">
        <v>74</v>
      </c>
      <c r="AC135" t="s">
        <v>2737</v>
      </c>
      <c r="AD135" t="s">
        <v>2738</v>
      </c>
      <c r="AE135" t="s">
        <v>2739</v>
      </c>
      <c r="AF135" t="s">
        <v>74</v>
      </c>
      <c r="AG135">
        <v>56</v>
      </c>
      <c r="AH135">
        <v>0</v>
      </c>
      <c r="AI135">
        <v>0</v>
      </c>
      <c r="AJ135">
        <v>0</v>
      </c>
      <c r="AK135">
        <v>0</v>
      </c>
      <c r="AL135" t="s">
        <v>443</v>
      </c>
      <c r="AM135" t="s">
        <v>245</v>
      </c>
      <c r="AN135" t="s">
        <v>444</v>
      </c>
      <c r="AO135" t="s">
        <v>74</v>
      </c>
      <c r="AP135" t="s">
        <v>2740</v>
      </c>
      <c r="AQ135" t="s">
        <v>74</v>
      </c>
      <c r="AR135" t="s">
        <v>2741</v>
      </c>
      <c r="AS135" t="s">
        <v>2742</v>
      </c>
      <c r="AT135" t="s">
        <v>2616</v>
      </c>
      <c r="AU135">
        <v>2023</v>
      </c>
      <c r="AV135">
        <v>20</v>
      </c>
      <c r="AW135">
        <v>1</v>
      </c>
      <c r="AX135" t="s">
        <v>74</v>
      </c>
      <c r="AY135" t="s">
        <v>74</v>
      </c>
      <c r="AZ135" t="s">
        <v>74</v>
      </c>
      <c r="BA135" t="s">
        <v>74</v>
      </c>
      <c r="BB135" t="s">
        <v>74</v>
      </c>
      <c r="BC135" t="s">
        <v>74</v>
      </c>
      <c r="BD135">
        <v>142</v>
      </c>
      <c r="BE135" t="s">
        <v>2743</v>
      </c>
      <c r="BF135" t="str">
        <f>HYPERLINK("http://dx.doi.org/10.1186/s12978-023-01688-8","http://dx.doi.org/10.1186/s12978-023-01688-8")</f>
        <v>http://dx.doi.org/10.1186/s12978-023-01688-8</v>
      </c>
      <c r="BG135" t="s">
        <v>74</v>
      </c>
      <c r="BH135" t="s">
        <v>74</v>
      </c>
      <c r="BI135">
        <v>12</v>
      </c>
      <c r="BJ135" t="s">
        <v>2744</v>
      </c>
      <c r="BK135" t="s">
        <v>2431</v>
      </c>
      <c r="BL135" t="s">
        <v>2744</v>
      </c>
      <c r="BM135" t="s">
        <v>2745</v>
      </c>
      <c r="BN135">
        <v>37736687</v>
      </c>
      <c r="BO135" t="s">
        <v>302</v>
      </c>
      <c r="BP135" t="s">
        <v>74</v>
      </c>
      <c r="BQ135" t="s">
        <v>74</v>
      </c>
      <c r="BR135" t="s">
        <v>99</v>
      </c>
      <c r="BS135" t="s">
        <v>2746</v>
      </c>
      <c r="BT135" t="str">
        <f>HYPERLINK("https%3A%2F%2Fwww.webofscience.com%2Fwos%2Fwoscc%2Ffull-record%2FWOS:001070900200002","View Full Record in Web of Science")</f>
        <v>View Full Record in Web of Science</v>
      </c>
    </row>
    <row r="136" spans="1:72" x14ac:dyDescent="0.15">
      <c r="A136" t="s">
        <v>72</v>
      </c>
      <c r="B136" t="s">
        <v>2747</v>
      </c>
      <c r="C136" t="s">
        <v>74</v>
      </c>
      <c r="D136" t="s">
        <v>74</v>
      </c>
      <c r="E136" t="s">
        <v>74</v>
      </c>
      <c r="F136" t="s">
        <v>2748</v>
      </c>
      <c r="G136" t="s">
        <v>74</v>
      </c>
      <c r="H136" t="s">
        <v>74</v>
      </c>
      <c r="I136" t="s">
        <v>2749</v>
      </c>
      <c r="J136" t="s">
        <v>2750</v>
      </c>
      <c r="K136" t="s">
        <v>74</v>
      </c>
      <c r="L136" t="s">
        <v>74</v>
      </c>
      <c r="M136" t="s">
        <v>78</v>
      </c>
      <c r="N136" t="s">
        <v>79</v>
      </c>
      <c r="O136" t="s">
        <v>74</v>
      </c>
      <c r="P136" t="s">
        <v>74</v>
      </c>
      <c r="Q136" t="s">
        <v>74</v>
      </c>
      <c r="R136" t="s">
        <v>74</v>
      </c>
      <c r="S136" t="s">
        <v>74</v>
      </c>
      <c r="T136" t="s">
        <v>74</v>
      </c>
      <c r="U136" t="s">
        <v>74</v>
      </c>
      <c r="V136" t="s">
        <v>74</v>
      </c>
      <c r="W136" t="s">
        <v>2751</v>
      </c>
      <c r="X136" t="s">
        <v>2752</v>
      </c>
      <c r="Y136" t="s">
        <v>2753</v>
      </c>
      <c r="Z136" t="s">
        <v>2754</v>
      </c>
      <c r="AA136" t="s">
        <v>74</v>
      </c>
      <c r="AB136" t="s">
        <v>74</v>
      </c>
      <c r="AC136" t="s">
        <v>2755</v>
      </c>
      <c r="AD136" t="s">
        <v>2755</v>
      </c>
      <c r="AE136" t="s">
        <v>2755</v>
      </c>
      <c r="AF136" t="s">
        <v>74</v>
      </c>
      <c r="AG136">
        <v>4</v>
      </c>
      <c r="AH136">
        <v>0</v>
      </c>
      <c r="AI136">
        <v>0</v>
      </c>
      <c r="AJ136">
        <v>0</v>
      </c>
      <c r="AK136">
        <v>0</v>
      </c>
      <c r="AL136" t="s">
        <v>317</v>
      </c>
      <c r="AM136" t="s">
        <v>245</v>
      </c>
      <c r="AN136" t="s">
        <v>318</v>
      </c>
      <c r="AO136" t="s">
        <v>74</v>
      </c>
      <c r="AP136" t="s">
        <v>2756</v>
      </c>
      <c r="AQ136" t="s">
        <v>74</v>
      </c>
      <c r="AR136" t="s">
        <v>2757</v>
      </c>
      <c r="AS136" t="s">
        <v>2758</v>
      </c>
      <c r="AT136" t="s">
        <v>2616</v>
      </c>
      <c r="AU136">
        <v>2023</v>
      </c>
      <c r="AV136">
        <v>4</v>
      </c>
      <c r="AW136">
        <v>1</v>
      </c>
      <c r="AX136" t="s">
        <v>74</v>
      </c>
      <c r="AY136" t="s">
        <v>74</v>
      </c>
      <c r="AZ136" t="s">
        <v>74</v>
      </c>
      <c r="BA136" t="s">
        <v>74</v>
      </c>
      <c r="BB136" t="s">
        <v>74</v>
      </c>
      <c r="BC136" t="s">
        <v>74</v>
      </c>
      <c r="BD136">
        <v>30</v>
      </c>
      <c r="BE136" t="s">
        <v>2759</v>
      </c>
      <c r="BF136" t="str">
        <f>HYPERLINK("http://dx.doi.org/10.1186/s43556-023-00140-4","http://dx.doi.org/10.1186/s43556-023-00140-4")</f>
        <v>http://dx.doi.org/10.1186/s43556-023-00140-4</v>
      </c>
      <c r="BG136" t="s">
        <v>74</v>
      </c>
      <c r="BH136" t="s">
        <v>74</v>
      </c>
      <c r="BI136">
        <v>3</v>
      </c>
      <c r="BJ136" t="s">
        <v>2760</v>
      </c>
      <c r="BK136" t="s">
        <v>97</v>
      </c>
      <c r="BL136" t="s">
        <v>2761</v>
      </c>
      <c r="BM136" t="s">
        <v>2762</v>
      </c>
      <c r="BN136">
        <v>37735316</v>
      </c>
      <c r="BO136" t="s">
        <v>302</v>
      </c>
      <c r="BP136" t="s">
        <v>74</v>
      </c>
      <c r="BQ136" t="s">
        <v>74</v>
      </c>
      <c r="BR136" t="s">
        <v>99</v>
      </c>
      <c r="BS136" t="s">
        <v>2763</v>
      </c>
      <c r="BT136" t="str">
        <f>HYPERLINK("https%3A%2F%2Fwww.webofscience.com%2Fwos%2Fwoscc%2Ffull-record%2FWOS:001073445300001","View Full Record in Web of Science")</f>
        <v>View Full Record in Web of Science</v>
      </c>
    </row>
    <row r="137" spans="1:72" x14ac:dyDescent="0.15">
      <c r="A137" t="s">
        <v>72</v>
      </c>
      <c r="B137" t="s">
        <v>2764</v>
      </c>
      <c r="C137" t="s">
        <v>74</v>
      </c>
      <c r="D137" t="s">
        <v>74</v>
      </c>
      <c r="E137" t="s">
        <v>74</v>
      </c>
      <c r="F137" t="s">
        <v>2765</v>
      </c>
      <c r="G137" t="s">
        <v>74</v>
      </c>
      <c r="H137" t="s">
        <v>74</v>
      </c>
      <c r="I137" t="s">
        <v>2766</v>
      </c>
      <c r="J137" t="s">
        <v>2767</v>
      </c>
      <c r="K137" t="s">
        <v>74</v>
      </c>
      <c r="L137" t="s">
        <v>74</v>
      </c>
      <c r="M137" t="s">
        <v>78</v>
      </c>
      <c r="N137" t="s">
        <v>1246</v>
      </c>
      <c r="O137" t="s">
        <v>74</v>
      </c>
      <c r="P137" t="s">
        <v>74</v>
      </c>
      <c r="Q137" t="s">
        <v>74</v>
      </c>
      <c r="R137" t="s">
        <v>74</v>
      </c>
      <c r="S137" t="s">
        <v>74</v>
      </c>
      <c r="T137" t="s">
        <v>2768</v>
      </c>
      <c r="U137" t="s">
        <v>2769</v>
      </c>
      <c r="V137" t="s">
        <v>2770</v>
      </c>
      <c r="W137" t="s">
        <v>2771</v>
      </c>
      <c r="X137" t="s">
        <v>2772</v>
      </c>
      <c r="Y137" t="s">
        <v>2773</v>
      </c>
      <c r="Z137" t="s">
        <v>2774</v>
      </c>
      <c r="AA137" t="s">
        <v>74</v>
      </c>
      <c r="AB137" t="s">
        <v>74</v>
      </c>
      <c r="AC137" t="s">
        <v>74</v>
      </c>
      <c r="AD137" t="s">
        <v>74</v>
      </c>
      <c r="AE137" t="s">
        <v>74</v>
      </c>
      <c r="AF137" t="s">
        <v>74</v>
      </c>
      <c r="AG137">
        <v>41</v>
      </c>
      <c r="AH137">
        <v>0</v>
      </c>
      <c r="AI137">
        <v>0</v>
      </c>
      <c r="AJ137">
        <v>0</v>
      </c>
      <c r="AK137">
        <v>0</v>
      </c>
      <c r="AL137" t="s">
        <v>172</v>
      </c>
      <c r="AM137" t="s">
        <v>173</v>
      </c>
      <c r="AN137" t="s">
        <v>174</v>
      </c>
      <c r="AO137" t="s">
        <v>2775</v>
      </c>
      <c r="AP137" t="s">
        <v>2776</v>
      </c>
      <c r="AQ137" t="s">
        <v>74</v>
      </c>
      <c r="AR137" t="s">
        <v>2777</v>
      </c>
      <c r="AS137" t="s">
        <v>2778</v>
      </c>
      <c r="AT137" t="s">
        <v>2779</v>
      </c>
      <c r="AU137">
        <v>2023</v>
      </c>
      <c r="AV137" t="s">
        <v>74</v>
      </c>
      <c r="AW137" t="s">
        <v>74</v>
      </c>
      <c r="AX137" t="s">
        <v>74</v>
      </c>
      <c r="AY137" t="s">
        <v>74</v>
      </c>
      <c r="AZ137" t="s">
        <v>74</v>
      </c>
      <c r="BA137" t="s">
        <v>74</v>
      </c>
      <c r="BB137" t="s">
        <v>74</v>
      </c>
      <c r="BC137" t="s">
        <v>74</v>
      </c>
      <c r="BD137" t="s">
        <v>74</v>
      </c>
      <c r="BE137" t="s">
        <v>2780</v>
      </c>
      <c r="BF137" t="str">
        <f>HYPERLINK("http://dx.doi.org/10.1007/s10258-023-00242-5","http://dx.doi.org/10.1007/s10258-023-00242-5")</f>
        <v>http://dx.doi.org/10.1007/s10258-023-00242-5</v>
      </c>
      <c r="BG137" t="s">
        <v>74</v>
      </c>
      <c r="BH137" t="s">
        <v>2079</v>
      </c>
      <c r="BI137">
        <v>25</v>
      </c>
      <c r="BJ137" t="s">
        <v>2781</v>
      </c>
      <c r="BK137" t="s">
        <v>425</v>
      </c>
      <c r="BL137" t="s">
        <v>426</v>
      </c>
      <c r="BM137" t="s">
        <v>2782</v>
      </c>
      <c r="BN137" t="s">
        <v>74</v>
      </c>
      <c r="BO137" t="s">
        <v>74</v>
      </c>
      <c r="BP137" t="s">
        <v>74</v>
      </c>
      <c r="BQ137" t="s">
        <v>74</v>
      </c>
      <c r="BR137" t="s">
        <v>99</v>
      </c>
      <c r="BS137" t="s">
        <v>2783</v>
      </c>
      <c r="BT137" t="str">
        <f>HYPERLINK("https%3A%2F%2Fwww.webofscience.com%2Fwos%2Fwoscc%2Ffull-record%2FWOS:001069499800001","View Full Record in Web of Science")</f>
        <v>View Full Record in Web of Science</v>
      </c>
    </row>
    <row r="138" spans="1:72" x14ac:dyDescent="0.15">
      <c r="A138" t="s">
        <v>72</v>
      </c>
      <c r="B138" t="s">
        <v>2784</v>
      </c>
      <c r="C138" t="s">
        <v>74</v>
      </c>
      <c r="D138" t="s">
        <v>74</v>
      </c>
      <c r="E138" t="s">
        <v>74</v>
      </c>
      <c r="F138" t="s">
        <v>2785</v>
      </c>
      <c r="G138" t="s">
        <v>74</v>
      </c>
      <c r="H138" t="s">
        <v>74</v>
      </c>
      <c r="I138" t="s">
        <v>2786</v>
      </c>
      <c r="J138" t="s">
        <v>2787</v>
      </c>
      <c r="K138" t="s">
        <v>74</v>
      </c>
      <c r="L138" t="s">
        <v>74</v>
      </c>
      <c r="M138" t="s">
        <v>78</v>
      </c>
      <c r="N138" t="s">
        <v>1246</v>
      </c>
      <c r="O138" t="s">
        <v>74</v>
      </c>
      <c r="P138" t="s">
        <v>74</v>
      </c>
      <c r="Q138" t="s">
        <v>74</v>
      </c>
      <c r="R138" t="s">
        <v>74</v>
      </c>
      <c r="S138" t="s">
        <v>74</v>
      </c>
      <c r="T138" t="s">
        <v>2788</v>
      </c>
      <c r="U138" t="s">
        <v>2789</v>
      </c>
      <c r="V138" t="s">
        <v>2790</v>
      </c>
      <c r="W138" t="s">
        <v>2791</v>
      </c>
      <c r="X138" t="s">
        <v>2792</v>
      </c>
      <c r="Y138" t="s">
        <v>2793</v>
      </c>
      <c r="Z138" t="s">
        <v>2794</v>
      </c>
      <c r="AA138" t="s">
        <v>74</v>
      </c>
      <c r="AB138" t="s">
        <v>2795</v>
      </c>
      <c r="AC138" t="s">
        <v>2796</v>
      </c>
      <c r="AD138" t="s">
        <v>2796</v>
      </c>
      <c r="AE138" t="s">
        <v>2797</v>
      </c>
      <c r="AF138" t="s">
        <v>74</v>
      </c>
      <c r="AG138">
        <v>44</v>
      </c>
      <c r="AH138">
        <v>0</v>
      </c>
      <c r="AI138">
        <v>0</v>
      </c>
      <c r="AJ138">
        <v>0</v>
      </c>
      <c r="AK138">
        <v>0</v>
      </c>
      <c r="AL138" t="s">
        <v>172</v>
      </c>
      <c r="AM138" t="s">
        <v>173</v>
      </c>
      <c r="AN138" t="s">
        <v>174</v>
      </c>
      <c r="AO138" t="s">
        <v>2798</v>
      </c>
      <c r="AP138" t="s">
        <v>2799</v>
      </c>
      <c r="AQ138" t="s">
        <v>74</v>
      </c>
      <c r="AR138" t="s">
        <v>2800</v>
      </c>
      <c r="AS138" t="s">
        <v>2801</v>
      </c>
      <c r="AT138" t="s">
        <v>2779</v>
      </c>
      <c r="AU138">
        <v>2023</v>
      </c>
      <c r="AV138" t="s">
        <v>74</v>
      </c>
      <c r="AW138" t="s">
        <v>74</v>
      </c>
      <c r="AX138" t="s">
        <v>74</v>
      </c>
      <c r="AY138" t="s">
        <v>74</v>
      </c>
      <c r="AZ138" t="s">
        <v>74</v>
      </c>
      <c r="BA138" t="s">
        <v>74</v>
      </c>
      <c r="BB138" t="s">
        <v>74</v>
      </c>
      <c r="BC138" t="s">
        <v>74</v>
      </c>
      <c r="BD138" t="s">
        <v>74</v>
      </c>
      <c r="BE138" t="s">
        <v>2802</v>
      </c>
      <c r="BF138" t="str">
        <f>HYPERLINK("http://dx.doi.org/10.1007/s13760-023-02381-0","http://dx.doi.org/10.1007/s13760-023-02381-0")</f>
        <v>http://dx.doi.org/10.1007/s13760-023-02381-0</v>
      </c>
      <c r="BG138" t="s">
        <v>74</v>
      </c>
      <c r="BH138" t="s">
        <v>2079</v>
      </c>
      <c r="BI138">
        <v>8</v>
      </c>
      <c r="BJ138" t="s">
        <v>2803</v>
      </c>
      <c r="BK138" t="s">
        <v>126</v>
      </c>
      <c r="BL138" t="s">
        <v>2057</v>
      </c>
      <c r="BM138" t="s">
        <v>2804</v>
      </c>
      <c r="BN138">
        <v>37733157</v>
      </c>
      <c r="BO138" t="s">
        <v>183</v>
      </c>
      <c r="BP138" t="s">
        <v>74</v>
      </c>
      <c r="BQ138" t="s">
        <v>74</v>
      </c>
      <c r="BR138" t="s">
        <v>99</v>
      </c>
      <c r="BS138" t="s">
        <v>2805</v>
      </c>
      <c r="BT138" t="str">
        <f>HYPERLINK("https%3A%2F%2Fwww.webofscience.com%2Fwos%2Fwoscc%2Ffull-record%2FWOS:001071106300001","View Full Record in Web of Science")</f>
        <v>View Full Record in Web of Science</v>
      </c>
    </row>
    <row r="139" spans="1:72" x14ac:dyDescent="0.15">
      <c r="A139" t="s">
        <v>72</v>
      </c>
      <c r="B139" t="s">
        <v>2806</v>
      </c>
      <c r="C139" t="s">
        <v>74</v>
      </c>
      <c r="D139" t="s">
        <v>74</v>
      </c>
      <c r="E139" t="s">
        <v>74</v>
      </c>
      <c r="F139" t="s">
        <v>2807</v>
      </c>
      <c r="G139" t="s">
        <v>74</v>
      </c>
      <c r="H139" t="s">
        <v>74</v>
      </c>
      <c r="I139" t="s">
        <v>2808</v>
      </c>
      <c r="J139" t="s">
        <v>2809</v>
      </c>
      <c r="K139" t="s">
        <v>74</v>
      </c>
      <c r="L139" t="s">
        <v>74</v>
      </c>
      <c r="M139" t="s">
        <v>78</v>
      </c>
      <c r="N139" t="s">
        <v>1246</v>
      </c>
      <c r="O139" t="s">
        <v>74</v>
      </c>
      <c r="P139" t="s">
        <v>74</v>
      </c>
      <c r="Q139" t="s">
        <v>74</v>
      </c>
      <c r="R139" t="s">
        <v>74</v>
      </c>
      <c r="S139" t="s">
        <v>74</v>
      </c>
      <c r="T139" t="s">
        <v>2810</v>
      </c>
      <c r="U139" t="s">
        <v>2811</v>
      </c>
      <c r="V139" t="s">
        <v>2812</v>
      </c>
      <c r="W139" t="s">
        <v>2813</v>
      </c>
      <c r="X139" t="s">
        <v>2814</v>
      </c>
      <c r="Y139" t="s">
        <v>2815</v>
      </c>
      <c r="Z139" t="s">
        <v>2816</v>
      </c>
      <c r="AA139" t="s">
        <v>74</v>
      </c>
      <c r="AB139" t="s">
        <v>74</v>
      </c>
      <c r="AC139" t="s">
        <v>2817</v>
      </c>
      <c r="AD139" t="s">
        <v>2818</v>
      </c>
      <c r="AE139" t="s">
        <v>2819</v>
      </c>
      <c r="AF139" t="s">
        <v>74</v>
      </c>
      <c r="AG139">
        <v>34</v>
      </c>
      <c r="AH139">
        <v>0</v>
      </c>
      <c r="AI139">
        <v>0</v>
      </c>
      <c r="AJ139">
        <v>0</v>
      </c>
      <c r="AK139">
        <v>0</v>
      </c>
      <c r="AL139" t="s">
        <v>117</v>
      </c>
      <c r="AM139" t="s">
        <v>627</v>
      </c>
      <c r="AN139" t="s">
        <v>628</v>
      </c>
      <c r="AO139" t="s">
        <v>2820</v>
      </c>
      <c r="AP139" t="s">
        <v>2821</v>
      </c>
      <c r="AQ139" t="s">
        <v>74</v>
      </c>
      <c r="AR139" t="s">
        <v>2822</v>
      </c>
      <c r="AS139" t="s">
        <v>2823</v>
      </c>
      <c r="AT139" t="s">
        <v>2779</v>
      </c>
      <c r="AU139">
        <v>2023</v>
      </c>
      <c r="AV139" t="s">
        <v>74</v>
      </c>
      <c r="AW139" t="s">
        <v>74</v>
      </c>
      <c r="AX139" t="s">
        <v>74</v>
      </c>
      <c r="AY139" t="s">
        <v>74</v>
      </c>
      <c r="AZ139" t="s">
        <v>74</v>
      </c>
      <c r="BA139" t="s">
        <v>74</v>
      </c>
      <c r="BB139" t="s">
        <v>74</v>
      </c>
      <c r="BC139" t="s">
        <v>74</v>
      </c>
      <c r="BD139" t="s">
        <v>74</v>
      </c>
      <c r="BE139" t="s">
        <v>2824</v>
      </c>
      <c r="BF139" t="str">
        <f>HYPERLINK("http://dx.doi.org/10.1007/s11164-023-05143","http://dx.doi.org/10.1007/s11164-023-05143")</f>
        <v>http://dx.doi.org/10.1007/s11164-023-05143</v>
      </c>
      <c r="BG139" t="s">
        <v>74</v>
      </c>
      <c r="BH139" t="s">
        <v>2079</v>
      </c>
      <c r="BI139">
        <v>16</v>
      </c>
      <c r="BJ139" t="s">
        <v>2825</v>
      </c>
      <c r="BK139" t="s">
        <v>126</v>
      </c>
      <c r="BL139" t="s">
        <v>2826</v>
      </c>
      <c r="BM139" t="s">
        <v>2827</v>
      </c>
      <c r="BN139" t="s">
        <v>74</v>
      </c>
      <c r="BO139" t="s">
        <v>74</v>
      </c>
      <c r="BP139" t="s">
        <v>74</v>
      </c>
      <c r="BQ139" t="s">
        <v>74</v>
      </c>
      <c r="BR139" t="s">
        <v>99</v>
      </c>
      <c r="BS139" t="s">
        <v>2828</v>
      </c>
      <c r="BT139" t="str">
        <f>HYPERLINK("https%3A%2F%2Fwww.webofscience.com%2Fwos%2Fwoscc%2Ffull-record%2FWOS:001071123100002","View Full Record in Web of Science")</f>
        <v>View Full Record in Web of Science</v>
      </c>
    </row>
    <row r="140" spans="1:72" x14ac:dyDescent="0.15">
      <c r="A140" t="s">
        <v>72</v>
      </c>
      <c r="B140" t="s">
        <v>2829</v>
      </c>
      <c r="C140" t="s">
        <v>74</v>
      </c>
      <c r="D140" t="s">
        <v>74</v>
      </c>
      <c r="E140" t="s">
        <v>74</v>
      </c>
      <c r="F140" t="s">
        <v>2830</v>
      </c>
      <c r="G140" t="s">
        <v>74</v>
      </c>
      <c r="H140" t="s">
        <v>74</v>
      </c>
      <c r="I140" t="s">
        <v>2831</v>
      </c>
      <c r="J140" t="s">
        <v>2832</v>
      </c>
      <c r="K140" t="s">
        <v>74</v>
      </c>
      <c r="L140" t="s">
        <v>74</v>
      </c>
      <c r="M140" t="s">
        <v>78</v>
      </c>
      <c r="N140" t="s">
        <v>1246</v>
      </c>
      <c r="O140" t="s">
        <v>74</v>
      </c>
      <c r="P140" t="s">
        <v>74</v>
      </c>
      <c r="Q140" t="s">
        <v>74</v>
      </c>
      <c r="R140" t="s">
        <v>74</v>
      </c>
      <c r="S140" t="s">
        <v>74</v>
      </c>
      <c r="T140" t="s">
        <v>2833</v>
      </c>
      <c r="U140" t="s">
        <v>74</v>
      </c>
      <c r="V140" t="s">
        <v>2834</v>
      </c>
      <c r="W140" t="s">
        <v>2835</v>
      </c>
      <c r="X140" t="s">
        <v>2836</v>
      </c>
      <c r="Y140" t="s">
        <v>2837</v>
      </c>
      <c r="Z140" t="s">
        <v>2838</v>
      </c>
      <c r="AA140" t="s">
        <v>74</v>
      </c>
      <c r="AB140" t="s">
        <v>74</v>
      </c>
      <c r="AC140" t="s">
        <v>74</v>
      </c>
      <c r="AD140" t="s">
        <v>74</v>
      </c>
      <c r="AE140" t="s">
        <v>74</v>
      </c>
      <c r="AF140" t="s">
        <v>74</v>
      </c>
      <c r="AG140">
        <v>69</v>
      </c>
      <c r="AH140">
        <v>0</v>
      </c>
      <c r="AI140">
        <v>0</v>
      </c>
      <c r="AJ140">
        <v>0</v>
      </c>
      <c r="AK140">
        <v>0</v>
      </c>
      <c r="AL140" t="s">
        <v>117</v>
      </c>
      <c r="AM140" t="s">
        <v>627</v>
      </c>
      <c r="AN140" t="s">
        <v>628</v>
      </c>
      <c r="AO140" t="s">
        <v>2839</v>
      </c>
      <c r="AP140" t="s">
        <v>2840</v>
      </c>
      <c r="AQ140" t="s">
        <v>74</v>
      </c>
      <c r="AR140" t="s">
        <v>2841</v>
      </c>
      <c r="AS140" t="s">
        <v>2842</v>
      </c>
      <c r="AT140" t="s">
        <v>2779</v>
      </c>
      <c r="AU140">
        <v>2023</v>
      </c>
      <c r="AV140" t="s">
        <v>74</v>
      </c>
      <c r="AW140" t="s">
        <v>74</v>
      </c>
      <c r="AX140" t="s">
        <v>74</v>
      </c>
      <c r="AY140" t="s">
        <v>74</v>
      </c>
      <c r="AZ140" t="s">
        <v>74</v>
      </c>
      <c r="BA140" t="s">
        <v>74</v>
      </c>
      <c r="BB140" t="s">
        <v>74</v>
      </c>
      <c r="BC140" t="s">
        <v>74</v>
      </c>
      <c r="BD140" t="s">
        <v>74</v>
      </c>
      <c r="BE140" t="s">
        <v>2843</v>
      </c>
      <c r="BF140" t="str">
        <f>HYPERLINK("http://dx.doi.org/10.1007/s10502-023-09423-9","http://dx.doi.org/10.1007/s10502-023-09423-9")</f>
        <v>http://dx.doi.org/10.1007/s10502-023-09423-9</v>
      </c>
      <c r="BG140" t="s">
        <v>74</v>
      </c>
      <c r="BH140" t="s">
        <v>2079</v>
      </c>
      <c r="BI140">
        <v>20</v>
      </c>
      <c r="BJ140" t="s">
        <v>2844</v>
      </c>
      <c r="BK140" t="s">
        <v>97</v>
      </c>
      <c r="BL140" t="s">
        <v>2844</v>
      </c>
      <c r="BM140" t="s">
        <v>2845</v>
      </c>
      <c r="BN140" t="s">
        <v>74</v>
      </c>
      <c r="BO140" t="s">
        <v>183</v>
      </c>
      <c r="BP140" t="s">
        <v>74</v>
      </c>
      <c r="BQ140" t="s">
        <v>74</v>
      </c>
      <c r="BR140" t="s">
        <v>99</v>
      </c>
      <c r="BS140" t="s">
        <v>2846</v>
      </c>
      <c r="BT140" t="str">
        <f>HYPERLINK("https%3A%2F%2Fwww.webofscience.com%2Fwos%2Fwoscc%2Ffull-record%2FWOS:001069495800001","View Full Record in Web of Science")</f>
        <v>View Full Record in Web of Science</v>
      </c>
    </row>
    <row r="141" spans="1:72" x14ac:dyDescent="0.15">
      <c r="A141" t="s">
        <v>72</v>
      </c>
      <c r="B141" t="s">
        <v>2847</v>
      </c>
      <c r="C141" t="s">
        <v>74</v>
      </c>
      <c r="D141" t="s">
        <v>74</v>
      </c>
      <c r="E141" t="s">
        <v>74</v>
      </c>
      <c r="F141" t="s">
        <v>2848</v>
      </c>
      <c r="G141" t="s">
        <v>74</v>
      </c>
      <c r="H141" t="s">
        <v>74</v>
      </c>
      <c r="I141" t="s">
        <v>2849</v>
      </c>
      <c r="J141" t="s">
        <v>2850</v>
      </c>
      <c r="K141" t="s">
        <v>74</v>
      </c>
      <c r="L141" t="s">
        <v>74</v>
      </c>
      <c r="M141" t="s">
        <v>78</v>
      </c>
      <c r="N141" t="s">
        <v>1246</v>
      </c>
      <c r="O141" t="s">
        <v>74</v>
      </c>
      <c r="P141" t="s">
        <v>74</v>
      </c>
      <c r="Q141" t="s">
        <v>74</v>
      </c>
      <c r="R141" t="s">
        <v>74</v>
      </c>
      <c r="S141" t="s">
        <v>74</v>
      </c>
      <c r="T141" t="s">
        <v>2851</v>
      </c>
      <c r="U141" t="s">
        <v>2852</v>
      </c>
      <c r="V141" t="s">
        <v>2853</v>
      </c>
      <c r="W141" t="s">
        <v>2854</v>
      </c>
      <c r="X141" t="s">
        <v>2855</v>
      </c>
      <c r="Y141" t="s">
        <v>2856</v>
      </c>
      <c r="Z141" t="s">
        <v>2857</v>
      </c>
      <c r="AA141" t="s">
        <v>74</v>
      </c>
      <c r="AB141" t="s">
        <v>74</v>
      </c>
      <c r="AC141" t="s">
        <v>2858</v>
      </c>
      <c r="AD141" t="s">
        <v>2858</v>
      </c>
      <c r="AE141" t="s">
        <v>2859</v>
      </c>
      <c r="AF141" t="s">
        <v>74</v>
      </c>
      <c r="AG141">
        <v>78</v>
      </c>
      <c r="AH141">
        <v>0</v>
      </c>
      <c r="AI141">
        <v>0</v>
      </c>
      <c r="AJ141">
        <v>0</v>
      </c>
      <c r="AK141">
        <v>0</v>
      </c>
      <c r="AL141" t="s">
        <v>705</v>
      </c>
      <c r="AM141" t="s">
        <v>706</v>
      </c>
      <c r="AN141" t="s">
        <v>707</v>
      </c>
      <c r="AO141" t="s">
        <v>2860</v>
      </c>
      <c r="AP141" t="s">
        <v>2861</v>
      </c>
      <c r="AQ141" t="s">
        <v>74</v>
      </c>
      <c r="AR141" t="s">
        <v>2862</v>
      </c>
      <c r="AS141" t="s">
        <v>2863</v>
      </c>
      <c r="AT141" t="s">
        <v>2779</v>
      </c>
      <c r="AU141">
        <v>2023</v>
      </c>
      <c r="AV141" t="s">
        <v>74</v>
      </c>
      <c r="AW141" t="s">
        <v>74</v>
      </c>
      <c r="AX141" t="s">
        <v>74</v>
      </c>
      <c r="AY141" t="s">
        <v>74</v>
      </c>
      <c r="AZ141" t="s">
        <v>74</v>
      </c>
      <c r="BA141" t="s">
        <v>74</v>
      </c>
      <c r="BB141" t="s">
        <v>74</v>
      </c>
      <c r="BC141" t="s">
        <v>74</v>
      </c>
      <c r="BD141" t="s">
        <v>74</v>
      </c>
      <c r="BE141" t="s">
        <v>2864</v>
      </c>
      <c r="BF141" t="str">
        <f>HYPERLINK("http://dx.doi.org/10.1057/s41296-023-00655","http://dx.doi.org/10.1057/s41296-023-00655")</f>
        <v>http://dx.doi.org/10.1057/s41296-023-00655</v>
      </c>
      <c r="BG141" t="s">
        <v>74</v>
      </c>
      <c r="BH141" t="s">
        <v>2079</v>
      </c>
      <c r="BI141">
        <v>21</v>
      </c>
      <c r="BJ141" t="s">
        <v>2865</v>
      </c>
      <c r="BK141" t="s">
        <v>425</v>
      </c>
      <c r="BL141" t="s">
        <v>2866</v>
      </c>
      <c r="BM141" t="s">
        <v>2867</v>
      </c>
      <c r="BN141" t="s">
        <v>74</v>
      </c>
      <c r="BO141" t="s">
        <v>74</v>
      </c>
      <c r="BP141" t="s">
        <v>74</v>
      </c>
      <c r="BQ141" t="s">
        <v>74</v>
      </c>
      <c r="BR141" t="s">
        <v>99</v>
      </c>
      <c r="BS141" t="s">
        <v>2868</v>
      </c>
      <c r="BT141" t="str">
        <f>HYPERLINK("https%3A%2F%2Fwww.webofscience.com%2Fwos%2Fwoscc%2Ffull-record%2FWOS:001068134600001","View Full Record in Web of Science")</f>
        <v>View Full Record in Web of Science</v>
      </c>
    </row>
    <row r="142" spans="1:72" x14ac:dyDescent="0.15">
      <c r="A142" t="s">
        <v>72</v>
      </c>
      <c r="B142" t="s">
        <v>2869</v>
      </c>
      <c r="C142" t="s">
        <v>74</v>
      </c>
      <c r="D142" t="s">
        <v>74</v>
      </c>
      <c r="E142" t="s">
        <v>74</v>
      </c>
      <c r="F142" t="s">
        <v>2870</v>
      </c>
      <c r="G142" t="s">
        <v>74</v>
      </c>
      <c r="H142" t="s">
        <v>74</v>
      </c>
      <c r="I142" t="s">
        <v>2871</v>
      </c>
      <c r="J142" t="s">
        <v>2872</v>
      </c>
      <c r="K142" t="s">
        <v>74</v>
      </c>
      <c r="L142" t="s">
        <v>74</v>
      </c>
      <c r="M142" t="s">
        <v>78</v>
      </c>
      <c r="N142" t="s">
        <v>79</v>
      </c>
      <c r="O142" t="s">
        <v>74</v>
      </c>
      <c r="P142" t="s">
        <v>74</v>
      </c>
      <c r="Q142" t="s">
        <v>74</v>
      </c>
      <c r="R142" t="s">
        <v>74</v>
      </c>
      <c r="S142" t="s">
        <v>74</v>
      </c>
      <c r="T142" t="s">
        <v>2873</v>
      </c>
      <c r="U142" t="s">
        <v>2874</v>
      </c>
      <c r="V142" t="s">
        <v>2875</v>
      </c>
      <c r="W142" t="s">
        <v>2876</v>
      </c>
      <c r="X142" t="s">
        <v>2877</v>
      </c>
      <c r="Y142" t="s">
        <v>2878</v>
      </c>
      <c r="Z142" t="s">
        <v>2879</v>
      </c>
      <c r="AA142" t="s">
        <v>74</v>
      </c>
      <c r="AB142" t="s">
        <v>74</v>
      </c>
      <c r="AC142" t="s">
        <v>2755</v>
      </c>
      <c r="AD142" t="s">
        <v>2755</v>
      </c>
      <c r="AE142" t="s">
        <v>2755</v>
      </c>
      <c r="AF142" t="s">
        <v>74</v>
      </c>
      <c r="AG142">
        <v>40</v>
      </c>
      <c r="AH142">
        <v>0</v>
      </c>
      <c r="AI142">
        <v>0</v>
      </c>
      <c r="AJ142">
        <v>1</v>
      </c>
      <c r="AK142">
        <v>1</v>
      </c>
      <c r="AL142" t="s">
        <v>443</v>
      </c>
      <c r="AM142" t="s">
        <v>245</v>
      </c>
      <c r="AN142" t="s">
        <v>444</v>
      </c>
      <c r="AO142" t="s">
        <v>2880</v>
      </c>
      <c r="AP142" t="s">
        <v>74</v>
      </c>
      <c r="AQ142" t="s">
        <v>74</v>
      </c>
      <c r="AR142" t="s">
        <v>2881</v>
      </c>
      <c r="AS142" t="s">
        <v>2882</v>
      </c>
      <c r="AT142" t="s">
        <v>2883</v>
      </c>
      <c r="AU142">
        <v>2023</v>
      </c>
      <c r="AV142">
        <v>23</v>
      </c>
      <c r="AW142">
        <v>1</v>
      </c>
      <c r="AX142" t="s">
        <v>74</v>
      </c>
      <c r="AY142" t="s">
        <v>74</v>
      </c>
      <c r="AZ142" t="s">
        <v>74</v>
      </c>
      <c r="BA142" t="s">
        <v>74</v>
      </c>
      <c r="BB142" t="s">
        <v>74</v>
      </c>
      <c r="BC142" t="s">
        <v>74</v>
      </c>
      <c r="BD142">
        <v>264</v>
      </c>
      <c r="BE142" t="s">
        <v>2884</v>
      </c>
      <c r="BF142" t="str">
        <f>HYPERLINK("http://dx.doi.org/10.1186/s12866-023-03019-0","http://dx.doi.org/10.1186/s12866-023-03019-0")</f>
        <v>http://dx.doi.org/10.1186/s12866-023-03019-0</v>
      </c>
      <c r="BG142" t="s">
        <v>74</v>
      </c>
      <c r="BH142" t="s">
        <v>74</v>
      </c>
      <c r="BI142">
        <v>11</v>
      </c>
      <c r="BJ142" t="s">
        <v>1967</v>
      </c>
      <c r="BK142" t="s">
        <v>126</v>
      </c>
      <c r="BL142" t="s">
        <v>1967</v>
      </c>
      <c r="BM142" t="s">
        <v>2885</v>
      </c>
      <c r="BN142">
        <v>37735351</v>
      </c>
      <c r="BO142" t="s">
        <v>302</v>
      </c>
      <c r="BP142" t="s">
        <v>74</v>
      </c>
      <c r="BQ142" t="s">
        <v>74</v>
      </c>
      <c r="BR142" t="s">
        <v>99</v>
      </c>
      <c r="BS142" t="s">
        <v>2886</v>
      </c>
      <c r="BT142" t="str">
        <f>HYPERLINK("https%3A%2F%2Fwww.webofscience.com%2Fwos%2Fwoscc%2Ffull-record%2FWOS:001070919200001","View Full Record in Web of Science")</f>
        <v>View Full Record in Web of Science</v>
      </c>
    </row>
    <row r="143" spans="1:72" x14ac:dyDescent="0.15">
      <c r="A143" t="s">
        <v>72</v>
      </c>
      <c r="B143" t="s">
        <v>2887</v>
      </c>
      <c r="C143" t="s">
        <v>74</v>
      </c>
      <c r="D143" t="s">
        <v>74</v>
      </c>
      <c r="E143" t="s">
        <v>74</v>
      </c>
      <c r="F143" t="s">
        <v>2888</v>
      </c>
      <c r="G143" t="s">
        <v>74</v>
      </c>
      <c r="H143" t="s">
        <v>74</v>
      </c>
      <c r="I143" t="s">
        <v>2889</v>
      </c>
      <c r="J143" t="s">
        <v>2890</v>
      </c>
      <c r="K143" t="s">
        <v>74</v>
      </c>
      <c r="L143" t="s">
        <v>74</v>
      </c>
      <c r="M143" t="s">
        <v>78</v>
      </c>
      <c r="N143" t="s">
        <v>1246</v>
      </c>
      <c r="O143" t="s">
        <v>74</v>
      </c>
      <c r="P143" t="s">
        <v>74</v>
      </c>
      <c r="Q143" t="s">
        <v>74</v>
      </c>
      <c r="R143" t="s">
        <v>74</v>
      </c>
      <c r="S143" t="s">
        <v>74</v>
      </c>
      <c r="T143" t="s">
        <v>2891</v>
      </c>
      <c r="U143" t="s">
        <v>2892</v>
      </c>
      <c r="V143" t="s">
        <v>2893</v>
      </c>
      <c r="W143" t="s">
        <v>2894</v>
      </c>
      <c r="X143" t="s">
        <v>2895</v>
      </c>
      <c r="Y143" t="s">
        <v>2896</v>
      </c>
      <c r="Z143" t="s">
        <v>2897</v>
      </c>
      <c r="AA143" t="s">
        <v>74</v>
      </c>
      <c r="AB143" t="s">
        <v>74</v>
      </c>
      <c r="AC143" t="s">
        <v>2898</v>
      </c>
      <c r="AD143" t="s">
        <v>2899</v>
      </c>
      <c r="AE143" t="s">
        <v>2900</v>
      </c>
      <c r="AF143" t="s">
        <v>74</v>
      </c>
      <c r="AG143">
        <v>43</v>
      </c>
      <c r="AH143">
        <v>0</v>
      </c>
      <c r="AI143">
        <v>0</v>
      </c>
      <c r="AJ143">
        <v>1</v>
      </c>
      <c r="AK143">
        <v>1</v>
      </c>
      <c r="AL143" t="s">
        <v>117</v>
      </c>
      <c r="AM143" t="s">
        <v>118</v>
      </c>
      <c r="AN143" t="s">
        <v>119</v>
      </c>
      <c r="AO143" t="s">
        <v>2901</v>
      </c>
      <c r="AP143" t="s">
        <v>2902</v>
      </c>
      <c r="AQ143" t="s">
        <v>74</v>
      </c>
      <c r="AR143" t="s">
        <v>2903</v>
      </c>
      <c r="AS143" t="s">
        <v>2904</v>
      </c>
      <c r="AT143" t="s">
        <v>2779</v>
      </c>
      <c r="AU143">
        <v>2023</v>
      </c>
      <c r="AV143" t="s">
        <v>74</v>
      </c>
      <c r="AW143" t="s">
        <v>74</v>
      </c>
      <c r="AX143" t="s">
        <v>74</v>
      </c>
      <c r="AY143" t="s">
        <v>74</v>
      </c>
      <c r="AZ143" t="s">
        <v>74</v>
      </c>
      <c r="BA143" t="s">
        <v>74</v>
      </c>
      <c r="BB143" t="s">
        <v>74</v>
      </c>
      <c r="BC143" t="s">
        <v>74</v>
      </c>
      <c r="BD143" t="s">
        <v>74</v>
      </c>
      <c r="BE143" t="s">
        <v>2905</v>
      </c>
      <c r="BF143" t="str">
        <f>HYPERLINK("http://dx.doi.org/10.1007/s12144-023-05189-6","http://dx.doi.org/10.1007/s12144-023-05189-6")</f>
        <v>http://dx.doi.org/10.1007/s12144-023-05189-6</v>
      </c>
      <c r="BG143" t="s">
        <v>74</v>
      </c>
      <c r="BH143" t="s">
        <v>2079</v>
      </c>
      <c r="BI143">
        <v>10</v>
      </c>
      <c r="BJ143" t="s">
        <v>2906</v>
      </c>
      <c r="BK143" t="s">
        <v>425</v>
      </c>
      <c r="BL143" t="s">
        <v>2907</v>
      </c>
      <c r="BM143" t="s">
        <v>2908</v>
      </c>
      <c r="BN143" t="s">
        <v>74</v>
      </c>
      <c r="BO143" t="s">
        <v>74</v>
      </c>
      <c r="BP143" t="s">
        <v>74</v>
      </c>
      <c r="BQ143" t="s">
        <v>74</v>
      </c>
      <c r="BR143" t="s">
        <v>99</v>
      </c>
      <c r="BS143" t="s">
        <v>2909</v>
      </c>
      <c r="BT143" t="str">
        <f>HYPERLINK("https%3A%2F%2Fwww.webofscience.com%2Fwos%2Fwoscc%2Ffull-record%2FWOS:001069502300002","View Full Record in Web of Science")</f>
        <v>View Full Record in Web of Science</v>
      </c>
    </row>
    <row r="144" spans="1:72" x14ac:dyDescent="0.15">
      <c r="A144" t="s">
        <v>72</v>
      </c>
      <c r="B144" t="s">
        <v>2910</v>
      </c>
      <c r="C144" t="s">
        <v>74</v>
      </c>
      <c r="D144" t="s">
        <v>74</v>
      </c>
      <c r="E144" t="s">
        <v>74</v>
      </c>
      <c r="F144" t="s">
        <v>2911</v>
      </c>
      <c r="G144" t="s">
        <v>74</v>
      </c>
      <c r="H144" t="s">
        <v>74</v>
      </c>
      <c r="I144" t="s">
        <v>2912</v>
      </c>
      <c r="J144" t="s">
        <v>2913</v>
      </c>
      <c r="K144" t="s">
        <v>74</v>
      </c>
      <c r="L144" t="s">
        <v>74</v>
      </c>
      <c r="M144" t="s">
        <v>78</v>
      </c>
      <c r="N144" t="s">
        <v>1246</v>
      </c>
      <c r="O144" t="s">
        <v>74</v>
      </c>
      <c r="P144" t="s">
        <v>74</v>
      </c>
      <c r="Q144" t="s">
        <v>74</v>
      </c>
      <c r="R144" t="s">
        <v>74</v>
      </c>
      <c r="S144" t="s">
        <v>74</v>
      </c>
      <c r="T144" t="s">
        <v>2914</v>
      </c>
      <c r="U144" t="s">
        <v>2915</v>
      </c>
      <c r="V144" t="s">
        <v>2916</v>
      </c>
      <c r="W144" t="s">
        <v>2917</v>
      </c>
      <c r="X144" t="s">
        <v>2918</v>
      </c>
      <c r="Y144" t="s">
        <v>2919</v>
      </c>
      <c r="Z144" t="s">
        <v>2920</v>
      </c>
      <c r="AA144" t="s">
        <v>74</v>
      </c>
      <c r="AB144" t="s">
        <v>74</v>
      </c>
      <c r="AC144" t="s">
        <v>74</v>
      </c>
      <c r="AD144" t="s">
        <v>74</v>
      </c>
      <c r="AE144" t="s">
        <v>74</v>
      </c>
      <c r="AF144" t="s">
        <v>74</v>
      </c>
      <c r="AG144">
        <v>27</v>
      </c>
      <c r="AH144">
        <v>0</v>
      </c>
      <c r="AI144">
        <v>0</v>
      </c>
      <c r="AJ144">
        <v>0</v>
      </c>
      <c r="AK144">
        <v>0</v>
      </c>
      <c r="AL144" t="s">
        <v>117</v>
      </c>
      <c r="AM144" t="s">
        <v>627</v>
      </c>
      <c r="AN144" t="s">
        <v>628</v>
      </c>
      <c r="AO144" t="s">
        <v>2921</v>
      </c>
      <c r="AP144" t="s">
        <v>2922</v>
      </c>
      <c r="AQ144" t="s">
        <v>74</v>
      </c>
      <c r="AR144" t="s">
        <v>2923</v>
      </c>
      <c r="AS144" t="s">
        <v>2924</v>
      </c>
      <c r="AT144" t="s">
        <v>2779</v>
      </c>
      <c r="AU144">
        <v>2023</v>
      </c>
      <c r="AV144" t="s">
        <v>74</v>
      </c>
      <c r="AW144" t="s">
        <v>74</v>
      </c>
      <c r="AX144" t="s">
        <v>74</v>
      </c>
      <c r="AY144" t="s">
        <v>74</v>
      </c>
      <c r="AZ144" t="s">
        <v>74</v>
      </c>
      <c r="BA144" t="s">
        <v>74</v>
      </c>
      <c r="BB144" t="s">
        <v>74</v>
      </c>
      <c r="BC144" t="s">
        <v>74</v>
      </c>
      <c r="BD144" t="s">
        <v>74</v>
      </c>
      <c r="BE144" t="s">
        <v>2925</v>
      </c>
      <c r="BF144" t="str">
        <f>HYPERLINK("http://dx.doi.org/10.1007/s11042-023-16894-6","http://dx.doi.org/10.1007/s11042-023-16894-6")</f>
        <v>http://dx.doi.org/10.1007/s11042-023-16894-6</v>
      </c>
      <c r="BG144" t="s">
        <v>74</v>
      </c>
      <c r="BH144" t="s">
        <v>2079</v>
      </c>
      <c r="BI144">
        <v>19</v>
      </c>
      <c r="BJ144" t="s">
        <v>2926</v>
      </c>
      <c r="BK144" t="s">
        <v>126</v>
      </c>
      <c r="BL144" t="s">
        <v>2493</v>
      </c>
      <c r="BM144" t="s">
        <v>2927</v>
      </c>
      <c r="BN144" t="s">
        <v>74</v>
      </c>
      <c r="BO144" t="s">
        <v>74</v>
      </c>
      <c r="BP144" t="s">
        <v>74</v>
      </c>
      <c r="BQ144" t="s">
        <v>74</v>
      </c>
      <c r="BR144" t="s">
        <v>99</v>
      </c>
      <c r="BS144" t="s">
        <v>2928</v>
      </c>
      <c r="BT144" t="str">
        <f>HYPERLINK("https%3A%2F%2Fwww.webofscience.com%2Fwos%2Fwoscc%2Ffull-record%2FWOS:001069514100003","View Full Record in Web of Science")</f>
        <v>View Full Record in Web of Science</v>
      </c>
    </row>
    <row r="145" spans="1:72" x14ac:dyDescent="0.15">
      <c r="A145" t="s">
        <v>72</v>
      </c>
      <c r="B145" t="s">
        <v>2929</v>
      </c>
      <c r="C145" t="s">
        <v>74</v>
      </c>
      <c r="D145" t="s">
        <v>74</v>
      </c>
      <c r="E145" t="s">
        <v>74</v>
      </c>
      <c r="F145" t="s">
        <v>2930</v>
      </c>
      <c r="G145" t="s">
        <v>74</v>
      </c>
      <c r="H145" t="s">
        <v>74</v>
      </c>
      <c r="I145" t="s">
        <v>2931</v>
      </c>
      <c r="J145" t="s">
        <v>2932</v>
      </c>
      <c r="K145" t="s">
        <v>74</v>
      </c>
      <c r="L145" t="s">
        <v>74</v>
      </c>
      <c r="M145" t="s">
        <v>78</v>
      </c>
      <c r="N145" t="s">
        <v>1246</v>
      </c>
      <c r="O145" t="s">
        <v>74</v>
      </c>
      <c r="P145" t="s">
        <v>74</v>
      </c>
      <c r="Q145" t="s">
        <v>74</v>
      </c>
      <c r="R145" t="s">
        <v>74</v>
      </c>
      <c r="S145" t="s">
        <v>74</v>
      </c>
      <c r="T145" t="s">
        <v>2933</v>
      </c>
      <c r="U145" t="s">
        <v>2934</v>
      </c>
      <c r="V145" t="s">
        <v>2935</v>
      </c>
      <c r="W145" t="s">
        <v>2936</v>
      </c>
      <c r="X145" t="s">
        <v>2937</v>
      </c>
      <c r="Y145" t="s">
        <v>2938</v>
      </c>
      <c r="Z145" t="s">
        <v>2939</v>
      </c>
      <c r="AA145" t="s">
        <v>74</v>
      </c>
      <c r="AB145" t="s">
        <v>2940</v>
      </c>
      <c r="AC145" t="s">
        <v>2941</v>
      </c>
      <c r="AD145" t="s">
        <v>2941</v>
      </c>
      <c r="AE145" t="s">
        <v>2942</v>
      </c>
      <c r="AF145" t="s">
        <v>74</v>
      </c>
      <c r="AG145">
        <v>58</v>
      </c>
      <c r="AH145">
        <v>0</v>
      </c>
      <c r="AI145">
        <v>0</v>
      </c>
      <c r="AJ145">
        <v>0</v>
      </c>
      <c r="AK145">
        <v>0</v>
      </c>
      <c r="AL145" t="s">
        <v>172</v>
      </c>
      <c r="AM145" t="s">
        <v>173</v>
      </c>
      <c r="AN145" t="s">
        <v>174</v>
      </c>
      <c r="AO145" t="s">
        <v>2943</v>
      </c>
      <c r="AP145" t="s">
        <v>2944</v>
      </c>
      <c r="AQ145" t="s">
        <v>74</v>
      </c>
      <c r="AR145" t="s">
        <v>2945</v>
      </c>
      <c r="AS145" t="s">
        <v>2946</v>
      </c>
      <c r="AT145" t="s">
        <v>2779</v>
      </c>
      <c r="AU145">
        <v>2023</v>
      </c>
      <c r="AV145" t="s">
        <v>74</v>
      </c>
      <c r="AW145" t="s">
        <v>74</v>
      </c>
      <c r="AX145" t="s">
        <v>74</v>
      </c>
      <c r="AY145" t="s">
        <v>74</v>
      </c>
      <c r="AZ145" t="s">
        <v>74</v>
      </c>
      <c r="BA145" t="s">
        <v>74</v>
      </c>
      <c r="BB145" t="s">
        <v>74</v>
      </c>
      <c r="BC145" t="s">
        <v>74</v>
      </c>
      <c r="BD145" t="s">
        <v>74</v>
      </c>
      <c r="BE145" t="s">
        <v>2947</v>
      </c>
      <c r="BF145" t="str">
        <f>HYPERLINK("http://dx.doi.org/10.1007/s10389-023-02091-0","http://dx.doi.org/10.1007/s10389-023-02091-0")</f>
        <v>http://dx.doi.org/10.1007/s10389-023-02091-0</v>
      </c>
      <c r="BG145" t="s">
        <v>74</v>
      </c>
      <c r="BH145" t="s">
        <v>2079</v>
      </c>
      <c r="BI145">
        <v>12</v>
      </c>
      <c r="BJ145" t="s">
        <v>2744</v>
      </c>
      <c r="BK145" t="s">
        <v>97</v>
      </c>
      <c r="BL145" t="s">
        <v>2744</v>
      </c>
      <c r="BM145" t="s">
        <v>2948</v>
      </c>
      <c r="BN145" t="s">
        <v>74</v>
      </c>
      <c r="BO145" t="s">
        <v>74</v>
      </c>
      <c r="BP145" t="s">
        <v>74</v>
      </c>
      <c r="BQ145" t="s">
        <v>74</v>
      </c>
      <c r="BR145" t="s">
        <v>99</v>
      </c>
      <c r="BS145" t="s">
        <v>2949</v>
      </c>
      <c r="BT145" t="str">
        <f>HYPERLINK("https%3A%2F%2Fwww.webofscience.com%2Fwos%2Fwoscc%2Ffull-record%2FWOS:001068129100001","View Full Record in Web of Science")</f>
        <v>View Full Record in Web of Science</v>
      </c>
    </row>
    <row r="146" spans="1:72" x14ac:dyDescent="0.15">
      <c r="A146" t="s">
        <v>72</v>
      </c>
      <c r="B146" t="s">
        <v>2950</v>
      </c>
      <c r="C146" t="s">
        <v>74</v>
      </c>
      <c r="D146" t="s">
        <v>74</v>
      </c>
      <c r="E146" t="s">
        <v>74</v>
      </c>
      <c r="F146" t="s">
        <v>2951</v>
      </c>
      <c r="G146" t="s">
        <v>74</v>
      </c>
      <c r="H146" t="s">
        <v>74</v>
      </c>
      <c r="I146" t="s">
        <v>2952</v>
      </c>
      <c r="J146" t="s">
        <v>2953</v>
      </c>
      <c r="K146" t="s">
        <v>74</v>
      </c>
      <c r="L146" t="s">
        <v>74</v>
      </c>
      <c r="M146" t="s">
        <v>78</v>
      </c>
      <c r="N146" t="s">
        <v>79</v>
      </c>
      <c r="O146" t="s">
        <v>74</v>
      </c>
      <c r="P146" t="s">
        <v>74</v>
      </c>
      <c r="Q146" t="s">
        <v>74</v>
      </c>
      <c r="R146" t="s">
        <v>74</v>
      </c>
      <c r="S146" t="s">
        <v>74</v>
      </c>
      <c r="T146" t="s">
        <v>2954</v>
      </c>
      <c r="U146" t="s">
        <v>2955</v>
      </c>
      <c r="V146" t="s">
        <v>2956</v>
      </c>
      <c r="W146" t="s">
        <v>2957</v>
      </c>
      <c r="X146" t="s">
        <v>2958</v>
      </c>
      <c r="Y146" t="s">
        <v>2959</v>
      </c>
      <c r="Z146" t="s">
        <v>2960</v>
      </c>
      <c r="AA146" t="s">
        <v>74</v>
      </c>
      <c r="AB146" t="s">
        <v>74</v>
      </c>
      <c r="AC146" t="s">
        <v>2961</v>
      </c>
      <c r="AD146" t="s">
        <v>2962</v>
      </c>
      <c r="AE146" t="s">
        <v>2963</v>
      </c>
      <c r="AF146" t="s">
        <v>74</v>
      </c>
      <c r="AG146">
        <v>57</v>
      </c>
      <c r="AH146">
        <v>0</v>
      </c>
      <c r="AI146">
        <v>0</v>
      </c>
      <c r="AJ146">
        <v>1</v>
      </c>
      <c r="AK146">
        <v>1</v>
      </c>
      <c r="AL146" t="s">
        <v>443</v>
      </c>
      <c r="AM146" t="s">
        <v>245</v>
      </c>
      <c r="AN146" t="s">
        <v>444</v>
      </c>
      <c r="AO146" t="s">
        <v>2964</v>
      </c>
      <c r="AP146" t="s">
        <v>74</v>
      </c>
      <c r="AQ146" t="s">
        <v>74</v>
      </c>
      <c r="AR146" t="s">
        <v>2965</v>
      </c>
      <c r="AS146" t="s">
        <v>2966</v>
      </c>
      <c r="AT146" t="s">
        <v>2883</v>
      </c>
      <c r="AU146">
        <v>2023</v>
      </c>
      <c r="AV146">
        <v>24</v>
      </c>
      <c r="AW146">
        <v>1</v>
      </c>
      <c r="AX146" t="s">
        <v>74</v>
      </c>
      <c r="AY146" t="s">
        <v>74</v>
      </c>
      <c r="AZ146" t="s">
        <v>74</v>
      </c>
      <c r="BA146" t="s">
        <v>74</v>
      </c>
      <c r="BB146" t="s">
        <v>74</v>
      </c>
      <c r="BC146" t="s">
        <v>74</v>
      </c>
      <c r="BD146">
        <v>72</v>
      </c>
      <c r="BE146" t="s">
        <v>2967</v>
      </c>
      <c r="BF146" t="str">
        <f>HYPERLINK("http://dx.doi.org/10.1186/s12910-023-00951-8","http://dx.doi.org/10.1186/s12910-023-00951-8")</f>
        <v>http://dx.doi.org/10.1186/s12910-023-00951-8</v>
      </c>
      <c r="BG146" t="s">
        <v>74</v>
      </c>
      <c r="BH146" t="s">
        <v>74</v>
      </c>
      <c r="BI146">
        <v>12</v>
      </c>
      <c r="BJ146" t="s">
        <v>2968</v>
      </c>
      <c r="BK146" t="s">
        <v>2431</v>
      </c>
      <c r="BL146" t="s">
        <v>2969</v>
      </c>
      <c r="BM146" t="s">
        <v>2970</v>
      </c>
      <c r="BN146">
        <v>37735670</v>
      </c>
      <c r="BO146" t="s">
        <v>302</v>
      </c>
      <c r="BP146" t="s">
        <v>74</v>
      </c>
      <c r="BQ146" t="s">
        <v>74</v>
      </c>
      <c r="BR146" t="s">
        <v>99</v>
      </c>
      <c r="BS146" t="s">
        <v>2971</v>
      </c>
      <c r="BT146" t="str">
        <f>HYPERLINK("https%3A%2F%2Fwww.webofscience.com%2Fwos%2Fwoscc%2Ffull-record%2FWOS:001070886300001","View Full Record in Web of Science")</f>
        <v>View Full Record in Web of Science</v>
      </c>
    </row>
    <row r="147" spans="1:72" x14ac:dyDescent="0.15">
      <c r="A147" t="s">
        <v>72</v>
      </c>
      <c r="B147" t="s">
        <v>2972</v>
      </c>
      <c r="C147" t="s">
        <v>74</v>
      </c>
      <c r="D147" t="s">
        <v>74</v>
      </c>
      <c r="E147" t="s">
        <v>74</v>
      </c>
      <c r="F147" t="s">
        <v>2973</v>
      </c>
      <c r="G147" t="s">
        <v>74</v>
      </c>
      <c r="H147" t="s">
        <v>74</v>
      </c>
      <c r="I147" t="s">
        <v>2974</v>
      </c>
      <c r="J147" t="s">
        <v>2975</v>
      </c>
      <c r="K147" t="s">
        <v>74</v>
      </c>
      <c r="L147" t="s">
        <v>74</v>
      </c>
      <c r="M147" t="s">
        <v>78</v>
      </c>
      <c r="N147" t="s">
        <v>1246</v>
      </c>
      <c r="O147" t="s">
        <v>74</v>
      </c>
      <c r="P147" t="s">
        <v>74</v>
      </c>
      <c r="Q147" t="s">
        <v>74</v>
      </c>
      <c r="R147" t="s">
        <v>74</v>
      </c>
      <c r="S147" t="s">
        <v>74</v>
      </c>
      <c r="T147" t="s">
        <v>2976</v>
      </c>
      <c r="U147" t="s">
        <v>2977</v>
      </c>
      <c r="V147" t="s">
        <v>2978</v>
      </c>
      <c r="W147" t="s">
        <v>2979</v>
      </c>
      <c r="X147" t="s">
        <v>2980</v>
      </c>
      <c r="Y147" t="s">
        <v>2981</v>
      </c>
      <c r="Z147" t="s">
        <v>2982</v>
      </c>
      <c r="AA147" t="s">
        <v>74</v>
      </c>
      <c r="AB147" t="s">
        <v>74</v>
      </c>
      <c r="AC147" t="s">
        <v>2983</v>
      </c>
      <c r="AD147" t="s">
        <v>2983</v>
      </c>
      <c r="AE147" t="s">
        <v>2983</v>
      </c>
      <c r="AF147" t="s">
        <v>74</v>
      </c>
      <c r="AG147">
        <v>66</v>
      </c>
      <c r="AH147">
        <v>0</v>
      </c>
      <c r="AI147">
        <v>0</v>
      </c>
      <c r="AJ147">
        <v>0</v>
      </c>
      <c r="AK147">
        <v>0</v>
      </c>
      <c r="AL147" t="s">
        <v>117</v>
      </c>
      <c r="AM147" t="s">
        <v>627</v>
      </c>
      <c r="AN147" t="s">
        <v>628</v>
      </c>
      <c r="AO147" t="s">
        <v>2984</v>
      </c>
      <c r="AP147" t="s">
        <v>2985</v>
      </c>
      <c r="AQ147" t="s">
        <v>74</v>
      </c>
      <c r="AR147" t="s">
        <v>2986</v>
      </c>
      <c r="AS147" t="s">
        <v>2987</v>
      </c>
      <c r="AT147" t="s">
        <v>2988</v>
      </c>
      <c r="AU147">
        <v>2023</v>
      </c>
      <c r="AV147" t="s">
        <v>74</v>
      </c>
      <c r="AW147" t="s">
        <v>74</v>
      </c>
      <c r="AX147" t="s">
        <v>74</v>
      </c>
      <c r="AY147" t="s">
        <v>74</v>
      </c>
      <c r="AZ147" t="s">
        <v>74</v>
      </c>
      <c r="BA147" t="s">
        <v>74</v>
      </c>
      <c r="BB147" t="s">
        <v>74</v>
      </c>
      <c r="BC147" t="s">
        <v>74</v>
      </c>
      <c r="BD147" t="s">
        <v>74</v>
      </c>
      <c r="BE147" t="s">
        <v>2989</v>
      </c>
      <c r="BF147" t="str">
        <f>HYPERLINK("http://dx.doi.org/10.1007/s11251-023-09649-1","http://dx.doi.org/10.1007/s11251-023-09649-1")</f>
        <v>http://dx.doi.org/10.1007/s11251-023-09649-1</v>
      </c>
      <c r="BG147" t="s">
        <v>74</v>
      </c>
      <c r="BH147" t="s">
        <v>2079</v>
      </c>
      <c r="BI147">
        <v>23</v>
      </c>
      <c r="BJ147" t="s">
        <v>2532</v>
      </c>
      <c r="BK147" t="s">
        <v>425</v>
      </c>
      <c r="BL147" t="s">
        <v>2533</v>
      </c>
      <c r="BM147" t="s">
        <v>2990</v>
      </c>
      <c r="BN147" t="s">
        <v>74</v>
      </c>
      <c r="BO147" t="s">
        <v>74</v>
      </c>
      <c r="BP147" t="s">
        <v>74</v>
      </c>
      <c r="BQ147" t="s">
        <v>74</v>
      </c>
      <c r="BR147" t="s">
        <v>99</v>
      </c>
      <c r="BS147" t="s">
        <v>2991</v>
      </c>
      <c r="BT147" t="str">
        <f>HYPERLINK("https%3A%2F%2Fwww.webofscience.com%2Fwos%2Fwoscc%2Ffull-record%2FWOS:001067427300001","View Full Record in Web of Science")</f>
        <v>View Full Record in Web of Science</v>
      </c>
    </row>
    <row r="148" spans="1:72" x14ac:dyDescent="0.15">
      <c r="A148" t="s">
        <v>72</v>
      </c>
      <c r="B148" t="s">
        <v>2992</v>
      </c>
      <c r="C148" t="s">
        <v>74</v>
      </c>
      <c r="D148" t="s">
        <v>74</v>
      </c>
      <c r="E148" t="s">
        <v>74</v>
      </c>
      <c r="F148" t="s">
        <v>2993</v>
      </c>
      <c r="G148" t="s">
        <v>74</v>
      </c>
      <c r="H148" t="s">
        <v>74</v>
      </c>
      <c r="I148" t="s">
        <v>2994</v>
      </c>
      <c r="J148" t="s">
        <v>2995</v>
      </c>
      <c r="K148" t="s">
        <v>74</v>
      </c>
      <c r="L148" t="s">
        <v>74</v>
      </c>
      <c r="M148" t="s">
        <v>78</v>
      </c>
      <c r="N148" t="s">
        <v>1246</v>
      </c>
      <c r="O148" t="s">
        <v>74</v>
      </c>
      <c r="P148" t="s">
        <v>74</v>
      </c>
      <c r="Q148" t="s">
        <v>74</v>
      </c>
      <c r="R148" t="s">
        <v>74</v>
      </c>
      <c r="S148" t="s">
        <v>74</v>
      </c>
      <c r="T148" t="s">
        <v>2996</v>
      </c>
      <c r="U148" t="s">
        <v>74</v>
      </c>
      <c r="V148" t="s">
        <v>2997</v>
      </c>
      <c r="W148" t="s">
        <v>2998</v>
      </c>
      <c r="X148" t="s">
        <v>2999</v>
      </c>
      <c r="Y148" t="s">
        <v>3000</v>
      </c>
      <c r="Z148" t="s">
        <v>3001</v>
      </c>
      <c r="AA148" t="s">
        <v>74</v>
      </c>
      <c r="AB148" t="s">
        <v>74</v>
      </c>
      <c r="AC148" t="s">
        <v>74</v>
      </c>
      <c r="AD148" t="s">
        <v>74</v>
      </c>
      <c r="AE148" t="s">
        <v>74</v>
      </c>
      <c r="AF148" t="s">
        <v>74</v>
      </c>
      <c r="AG148">
        <v>31</v>
      </c>
      <c r="AH148">
        <v>0</v>
      </c>
      <c r="AI148">
        <v>0</v>
      </c>
      <c r="AJ148">
        <v>0</v>
      </c>
      <c r="AK148">
        <v>0</v>
      </c>
      <c r="AL148" t="s">
        <v>117</v>
      </c>
      <c r="AM148" t="s">
        <v>118</v>
      </c>
      <c r="AN148" t="s">
        <v>119</v>
      </c>
      <c r="AO148" t="s">
        <v>3002</v>
      </c>
      <c r="AP148" t="s">
        <v>3003</v>
      </c>
      <c r="AQ148" t="s">
        <v>74</v>
      </c>
      <c r="AR148" t="s">
        <v>3004</v>
      </c>
      <c r="AS148" t="s">
        <v>3005</v>
      </c>
      <c r="AT148" t="s">
        <v>2988</v>
      </c>
      <c r="AU148">
        <v>2023</v>
      </c>
      <c r="AV148" t="s">
        <v>74</v>
      </c>
      <c r="AW148" t="s">
        <v>74</v>
      </c>
      <c r="AX148" t="s">
        <v>74</v>
      </c>
      <c r="AY148" t="s">
        <v>74</v>
      </c>
      <c r="AZ148" t="s">
        <v>74</v>
      </c>
      <c r="BA148" t="s">
        <v>74</v>
      </c>
      <c r="BB148" t="s">
        <v>74</v>
      </c>
      <c r="BC148" t="s">
        <v>74</v>
      </c>
      <c r="BD148" t="s">
        <v>3006</v>
      </c>
      <c r="BE148" t="s">
        <v>3007</v>
      </c>
      <c r="BF148" t="str">
        <f>HYPERLINK("http://dx.doi.org/10.1007/s00224-023-10136-w","http://dx.doi.org/10.1007/s00224-023-10136-w")</f>
        <v>http://dx.doi.org/10.1007/s00224-023-10136-w</v>
      </c>
      <c r="BG148" t="s">
        <v>74</v>
      </c>
      <c r="BH148" t="s">
        <v>2079</v>
      </c>
      <c r="BI148">
        <v>27</v>
      </c>
      <c r="BJ148" t="s">
        <v>3008</v>
      </c>
      <c r="BK148" t="s">
        <v>126</v>
      </c>
      <c r="BL148" t="s">
        <v>1709</v>
      </c>
      <c r="BM148" t="s">
        <v>3009</v>
      </c>
      <c r="BN148" t="s">
        <v>74</v>
      </c>
      <c r="BO148" t="s">
        <v>183</v>
      </c>
      <c r="BP148" t="s">
        <v>74</v>
      </c>
      <c r="BQ148" t="s">
        <v>74</v>
      </c>
      <c r="BR148" t="s">
        <v>99</v>
      </c>
      <c r="BS148" t="s">
        <v>3010</v>
      </c>
      <c r="BT148" t="str">
        <f>HYPERLINK("https%3A%2F%2Fwww.webofscience.com%2Fwos%2Fwoscc%2Ffull-record%2FWOS:001068383700001","View Full Record in Web of Science")</f>
        <v>View Full Record in Web of Science</v>
      </c>
    </row>
    <row r="149" spans="1:72" x14ac:dyDescent="0.15">
      <c r="A149" t="s">
        <v>72</v>
      </c>
      <c r="B149" t="s">
        <v>3011</v>
      </c>
      <c r="C149" t="s">
        <v>74</v>
      </c>
      <c r="D149" t="s">
        <v>74</v>
      </c>
      <c r="E149" t="s">
        <v>74</v>
      </c>
      <c r="F149" t="s">
        <v>3012</v>
      </c>
      <c r="G149" t="s">
        <v>74</v>
      </c>
      <c r="H149" t="s">
        <v>74</v>
      </c>
      <c r="I149" t="s">
        <v>3013</v>
      </c>
      <c r="J149" t="s">
        <v>3014</v>
      </c>
      <c r="K149" t="s">
        <v>74</v>
      </c>
      <c r="L149" t="s">
        <v>74</v>
      </c>
      <c r="M149" t="s">
        <v>78</v>
      </c>
      <c r="N149" t="s">
        <v>1246</v>
      </c>
      <c r="O149" t="s">
        <v>74</v>
      </c>
      <c r="P149" t="s">
        <v>74</v>
      </c>
      <c r="Q149" t="s">
        <v>74</v>
      </c>
      <c r="R149" t="s">
        <v>74</v>
      </c>
      <c r="S149" t="s">
        <v>74</v>
      </c>
      <c r="T149" t="s">
        <v>3015</v>
      </c>
      <c r="U149" t="s">
        <v>3016</v>
      </c>
      <c r="V149" t="s">
        <v>3017</v>
      </c>
      <c r="W149" t="s">
        <v>3018</v>
      </c>
      <c r="X149" t="s">
        <v>3019</v>
      </c>
      <c r="Y149" t="s">
        <v>3020</v>
      </c>
      <c r="Z149" t="s">
        <v>3021</v>
      </c>
      <c r="AA149" t="s">
        <v>74</v>
      </c>
      <c r="AB149" t="s">
        <v>74</v>
      </c>
      <c r="AC149" t="s">
        <v>3022</v>
      </c>
      <c r="AD149" t="s">
        <v>3022</v>
      </c>
      <c r="AE149" t="s">
        <v>3022</v>
      </c>
      <c r="AF149" t="s">
        <v>74</v>
      </c>
      <c r="AG149">
        <v>35</v>
      </c>
      <c r="AH149">
        <v>0</v>
      </c>
      <c r="AI149">
        <v>0</v>
      </c>
      <c r="AJ149">
        <v>0</v>
      </c>
      <c r="AK149">
        <v>0</v>
      </c>
      <c r="AL149" t="s">
        <v>3023</v>
      </c>
      <c r="AM149" t="s">
        <v>3024</v>
      </c>
      <c r="AN149" t="s">
        <v>3025</v>
      </c>
      <c r="AO149" t="s">
        <v>3026</v>
      </c>
      <c r="AP149" t="s">
        <v>3027</v>
      </c>
      <c r="AQ149" t="s">
        <v>74</v>
      </c>
      <c r="AR149" t="s">
        <v>3028</v>
      </c>
      <c r="AS149" t="s">
        <v>3029</v>
      </c>
      <c r="AT149" t="s">
        <v>2988</v>
      </c>
      <c r="AU149">
        <v>2023</v>
      </c>
      <c r="AV149" t="s">
        <v>74</v>
      </c>
      <c r="AW149" t="s">
        <v>74</v>
      </c>
      <c r="AX149" t="s">
        <v>74</v>
      </c>
      <c r="AY149" t="s">
        <v>74</v>
      </c>
      <c r="AZ149" t="s">
        <v>74</v>
      </c>
      <c r="BA149" t="s">
        <v>74</v>
      </c>
      <c r="BB149" t="s">
        <v>74</v>
      </c>
      <c r="BC149" t="s">
        <v>74</v>
      </c>
      <c r="BD149" t="s">
        <v>74</v>
      </c>
      <c r="BE149" t="s">
        <v>3030</v>
      </c>
      <c r="BF149" t="str">
        <f>HYPERLINK("http://dx.doi.org/10.1007/s13555-023-01022","http://dx.doi.org/10.1007/s13555-023-01022")</f>
        <v>http://dx.doi.org/10.1007/s13555-023-01022</v>
      </c>
      <c r="BG149" t="s">
        <v>74</v>
      </c>
      <c r="BH149" t="s">
        <v>2079</v>
      </c>
      <c r="BI149">
        <v>15</v>
      </c>
      <c r="BJ149" t="s">
        <v>3031</v>
      </c>
      <c r="BK149" t="s">
        <v>126</v>
      </c>
      <c r="BL149" t="s">
        <v>3031</v>
      </c>
      <c r="BM149" t="s">
        <v>3032</v>
      </c>
      <c r="BN149" t="s">
        <v>74</v>
      </c>
      <c r="BO149" t="s">
        <v>74</v>
      </c>
      <c r="BP149" t="s">
        <v>74</v>
      </c>
      <c r="BQ149" t="s">
        <v>74</v>
      </c>
      <c r="BR149" t="s">
        <v>99</v>
      </c>
      <c r="BS149" t="s">
        <v>3033</v>
      </c>
      <c r="BT149" t="str">
        <f>HYPERLINK("https%3A%2F%2Fwww.webofscience.com%2Fwos%2Fwoscc%2Ffull-record%2FWOS:001068865700001","View Full Record in Web of Science")</f>
        <v>View Full Record in Web of Science</v>
      </c>
    </row>
    <row r="150" spans="1:72" x14ac:dyDescent="0.15">
      <c r="A150" t="s">
        <v>72</v>
      </c>
      <c r="B150" t="s">
        <v>3034</v>
      </c>
      <c r="C150" t="s">
        <v>74</v>
      </c>
      <c r="D150" t="s">
        <v>74</v>
      </c>
      <c r="E150" t="s">
        <v>74</v>
      </c>
      <c r="F150" t="s">
        <v>3035</v>
      </c>
      <c r="G150" t="s">
        <v>74</v>
      </c>
      <c r="H150" t="s">
        <v>74</v>
      </c>
      <c r="I150" t="s">
        <v>3036</v>
      </c>
      <c r="J150" t="s">
        <v>3037</v>
      </c>
      <c r="K150" t="s">
        <v>74</v>
      </c>
      <c r="L150" t="s">
        <v>74</v>
      </c>
      <c r="M150" t="s">
        <v>78</v>
      </c>
      <c r="N150" t="s">
        <v>1246</v>
      </c>
      <c r="O150" t="s">
        <v>74</v>
      </c>
      <c r="P150" t="s">
        <v>74</v>
      </c>
      <c r="Q150" t="s">
        <v>74</v>
      </c>
      <c r="R150" t="s">
        <v>74</v>
      </c>
      <c r="S150" t="s">
        <v>74</v>
      </c>
      <c r="T150" t="s">
        <v>3038</v>
      </c>
      <c r="U150" t="s">
        <v>74</v>
      </c>
      <c r="V150" t="s">
        <v>3039</v>
      </c>
      <c r="W150" t="s">
        <v>3040</v>
      </c>
      <c r="X150" t="s">
        <v>74</v>
      </c>
      <c r="Y150" t="s">
        <v>3041</v>
      </c>
      <c r="Z150" t="s">
        <v>3042</v>
      </c>
      <c r="AA150" t="s">
        <v>74</v>
      </c>
      <c r="AB150" t="s">
        <v>74</v>
      </c>
      <c r="AC150" t="s">
        <v>74</v>
      </c>
      <c r="AD150" t="s">
        <v>74</v>
      </c>
      <c r="AE150" t="s">
        <v>74</v>
      </c>
      <c r="AF150" t="s">
        <v>74</v>
      </c>
      <c r="AG150">
        <v>24</v>
      </c>
      <c r="AH150">
        <v>0</v>
      </c>
      <c r="AI150">
        <v>0</v>
      </c>
      <c r="AJ150">
        <v>0</v>
      </c>
      <c r="AK150">
        <v>0</v>
      </c>
      <c r="AL150" t="s">
        <v>87</v>
      </c>
      <c r="AM150" t="s">
        <v>88</v>
      </c>
      <c r="AN150" t="s">
        <v>89</v>
      </c>
      <c r="AO150" t="s">
        <v>3043</v>
      </c>
      <c r="AP150" t="s">
        <v>3044</v>
      </c>
      <c r="AQ150" t="s">
        <v>74</v>
      </c>
      <c r="AR150" t="s">
        <v>3045</v>
      </c>
      <c r="AS150" t="s">
        <v>3046</v>
      </c>
      <c r="AT150" t="s">
        <v>2988</v>
      </c>
      <c r="AU150">
        <v>2023</v>
      </c>
      <c r="AV150" t="s">
        <v>74</v>
      </c>
      <c r="AW150" t="s">
        <v>74</v>
      </c>
      <c r="AX150" t="s">
        <v>74</v>
      </c>
      <c r="AY150" t="s">
        <v>74</v>
      </c>
      <c r="AZ150" t="s">
        <v>74</v>
      </c>
      <c r="BA150" t="s">
        <v>74</v>
      </c>
      <c r="BB150" t="s">
        <v>74</v>
      </c>
      <c r="BC150" t="s">
        <v>74</v>
      </c>
      <c r="BD150" t="s">
        <v>74</v>
      </c>
      <c r="BE150" t="s">
        <v>3047</v>
      </c>
      <c r="BF150" t="str">
        <f>HYPERLINK("http://dx.doi.org/10.1007/s12596-023-01364","http://dx.doi.org/10.1007/s12596-023-01364")</f>
        <v>http://dx.doi.org/10.1007/s12596-023-01364</v>
      </c>
      <c r="BG150" t="s">
        <v>74</v>
      </c>
      <c r="BH150" t="s">
        <v>2079</v>
      </c>
      <c r="BI150">
        <v>11</v>
      </c>
      <c r="BJ150" t="s">
        <v>3048</v>
      </c>
      <c r="BK150" t="s">
        <v>97</v>
      </c>
      <c r="BL150" t="s">
        <v>3048</v>
      </c>
      <c r="BM150" t="s">
        <v>3049</v>
      </c>
      <c r="BN150" t="s">
        <v>74</v>
      </c>
      <c r="BO150" t="s">
        <v>74</v>
      </c>
      <c r="BP150" t="s">
        <v>74</v>
      </c>
      <c r="BQ150" t="s">
        <v>74</v>
      </c>
      <c r="BR150" t="s">
        <v>99</v>
      </c>
      <c r="BS150" t="s">
        <v>3050</v>
      </c>
      <c r="BT150" t="str">
        <f>HYPERLINK("https%3A%2F%2Fwww.webofscience.com%2Fwos%2Fwoscc%2Ffull-record%2FWOS:001068406500001","View Full Record in Web of Science")</f>
        <v>View Full Record in Web of Science</v>
      </c>
    </row>
    <row r="151" spans="1:72" x14ac:dyDescent="0.15">
      <c r="A151" t="s">
        <v>72</v>
      </c>
      <c r="B151" t="s">
        <v>3051</v>
      </c>
      <c r="C151" t="s">
        <v>74</v>
      </c>
      <c r="D151" t="s">
        <v>74</v>
      </c>
      <c r="E151" t="s">
        <v>74</v>
      </c>
      <c r="F151" t="s">
        <v>3052</v>
      </c>
      <c r="G151" t="s">
        <v>74</v>
      </c>
      <c r="H151" t="s">
        <v>74</v>
      </c>
      <c r="I151" t="s">
        <v>3053</v>
      </c>
      <c r="J151" t="s">
        <v>3054</v>
      </c>
      <c r="K151" t="s">
        <v>74</v>
      </c>
      <c r="L151" t="s">
        <v>74</v>
      </c>
      <c r="M151" t="s">
        <v>78</v>
      </c>
      <c r="N151" t="s">
        <v>3055</v>
      </c>
      <c r="O151" t="s">
        <v>74</v>
      </c>
      <c r="P151" t="s">
        <v>74</v>
      </c>
      <c r="Q151" t="s">
        <v>74</v>
      </c>
      <c r="R151" t="s">
        <v>74</v>
      </c>
      <c r="S151" t="s">
        <v>74</v>
      </c>
      <c r="T151" t="s">
        <v>74</v>
      </c>
      <c r="U151" t="s">
        <v>74</v>
      </c>
      <c r="V151" t="s">
        <v>74</v>
      </c>
      <c r="W151" t="s">
        <v>3056</v>
      </c>
      <c r="X151" t="s">
        <v>3057</v>
      </c>
      <c r="Y151" t="s">
        <v>3058</v>
      </c>
      <c r="Z151" t="s">
        <v>3059</v>
      </c>
      <c r="AA151" t="s">
        <v>74</v>
      </c>
      <c r="AB151" t="s">
        <v>74</v>
      </c>
      <c r="AC151" t="s">
        <v>74</v>
      </c>
      <c r="AD151" t="s">
        <v>74</v>
      </c>
      <c r="AE151" t="s">
        <v>74</v>
      </c>
      <c r="AF151" t="s">
        <v>74</v>
      </c>
      <c r="AG151">
        <v>4</v>
      </c>
      <c r="AH151">
        <v>0</v>
      </c>
      <c r="AI151">
        <v>0</v>
      </c>
      <c r="AJ151">
        <v>0</v>
      </c>
      <c r="AK151">
        <v>0</v>
      </c>
      <c r="AL151" t="s">
        <v>87</v>
      </c>
      <c r="AM151" t="s">
        <v>88</v>
      </c>
      <c r="AN151" t="s">
        <v>89</v>
      </c>
      <c r="AO151" t="s">
        <v>3060</v>
      </c>
      <c r="AP151" t="s">
        <v>3061</v>
      </c>
      <c r="AQ151" t="s">
        <v>74</v>
      </c>
      <c r="AR151" t="s">
        <v>3062</v>
      </c>
      <c r="AS151" t="s">
        <v>3063</v>
      </c>
      <c r="AT151" t="s">
        <v>2988</v>
      </c>
      <c r="AU151">
        <v>2023</v>
      </c>
      <c r="AV151" t="s">
        <v>74</v>
      </c>
      <c r="AW151" t="s">
        <v>74</v>
      </c>
      <c r="AX151" t="s">
        <v>74</v>
      </c>
      <c r="AY151" t="s">
        <v>74</v>
      </c>
      <c r="AZ151" t="s">
        <v>74</v>
      </c>
      <c r="BA151" t="s">
        <v>74</v>
      </c>
      <c r="BB151" t="s">
        <v>74</v>
      </c>
      <c r="BC151" t="s">
        <v>74</v>
      </c>
      <c r="BD151" t="s">
        <v>3064</v>
      </c>
      <c r="BE151" t="s">
        <v>3065</v>
      </c>
      <c r="BF151" t="str">
        <f>HYPERLINK("http://dx.doi.org/10.1007/s12098-023-04861-w","http://dx.doi.org/10.1007/s12098-023-04861-w")</f>
        <v>http://dx.doi.org/10.1007/s12098-023-04861-w</v>
      </c>
      <c r="BG151" t="s">
        <v>74</v>
      </c>
      <c r="BH151" t="s">
        <v>2079</v>
      </c>
      <c r="BI151">
        <v>1</v>
      </c>
      <c r="BJ151" t="s">
        <v>3066</v>
      </c>
      <c r="BK151" t="s">
        <v>126</v>
      </c>
      <c r="BL151" t="s">
        <v>3066</v>
      </c>
      <c r="BM151" t="s">
        <v>3067</v>
      </c>
      <c r="BN151">
        <v>37726637</v>
      </c>
      <c r="BO151" t="s">
        <v>762</v>
      </c>
      <c r="BP151" t="s">
        <v>74</v>
      </c>
      <c r="BQ151" t="s">
        <v>74</v>
      </c>
      <c r="BR151" t="s">
        <v>99</v>
      </c>
      <c r="BS151" t="s">
        <v>3068</v>
      </c>
      <c r="BT151" t="str">
        <f>HYPERLINK("https%3A%2F%2Fwww.webofscience.com%2Fwos%2Fwoscc%2Ffull-record%2FWOS:001069764100001","View Full Record in Web of Science")</f>
        <v>View Full Record in Web of Science</v>
      </c>
    </row>
    <row r="152" spans="1:72" x14ac:dyDescent="0.15">
      <c r="A152" t="s">
        <v>72</v>
      </c>
      <c r="B152" t="s">
        <v>3069</v>
      </c>
      <c r="C152" t="s">
        <v>74</v>
      </c>
      <c r="D152" t="s">
        <v>74</v>
      </c>
      <c r="E152" t="s">
        <v>74</v>
      </c>
      <c r="F152" t="s">
        <v>3070</v>
      </c>
      <c r="G152" t="s">
        <v>74</v>
      </c>
      <c r="H152" t="s">
        <v>74</v>
      </c>
      <c r="I152" t="s">
        <v>3071</v>
      </c>
      <c r="J152" t="s">
        <v>3072</v>
      </c>
      <c r="K152" t="s">
        <v>74</v>
      </c>
      <c r="L152" t="s">
        <v>74</v>
      </c>
      <c r="M152" t="s">
        <v>78</v>
      </c>
      <c r="N152" t="s">
        <v>2174</v>
      </c>
      <c r="O152" t="s">
        <v>74</v>
      </c>
      <c r="P152" t="s">
        <v>74</v>
      </c>
      <c r="Q152" t="s">
        <v>74</v>
      </c>
      <c r="R152" t="s">
        <v>74</v>
      </c>
      <c r="S152" t="s">
        <v>74</v>
      </c>
      <c r="T152" t="s">
        <v>74</v>
      </c>
      <c r="U152" t="s">
        <v>3073</v>
      </c>
      <c r="V152" t="s">
        <v>3074</v>
      </c>
      <c r="W152" t="s">
        <v>3075</v>
      </c>
      <c r="X152" t="s">
        <v>3076</v>
      </c>
      <c r="Y152" t="s">
        <v>3077</v>
      </c>
      <c r="Z152" t="s">
        <v>3078</v>
      </c>
      <c r="AA152" t="s">
        <v>74</v>
      </c>
      <c r="AB152" t="s">
        <v>74</v>
      </c>
      <c r="AC152" t="s">
        <v>3079</v>
      </c>
      <c r="AD152" t="s">
        <v>3080</v>
      </c>
      <c r="AE152" t="s">
        <v>3081</v>
      </c>
      <c r="AF152" t="s">
        <v>74</v>
      </c>
      <c r="AG152">
        <v>197</v>
      </c>
      <c r="AH152">
        <v>0</v>
      </c>
      <c r="AI152">
        <v>0</v>
      </c>
      <c r="AJ152">
        <v>0</v>
      </c>
      <c r="AK152">
        <v>0</v>
      </c>
      <c r="AL152" t="s">
        <v>317</v>
      </c>
      <c r="AM152" t="s">
        <v>245</v>
      </c>
      <c r="AN152" t="s">
        <v>318</v>
      </c>
      <c r="AO152" t="s">
        <v>3082</v>
      </c>
      <c r="AP152" t="s">
        <v>3083</v>
      </c>
      <c r="AQ152" t="s">
        <v>74</v>
      </c>
      <c r="AR152" t="s">
        <v>3084</v>
      </c>
      <c r="AS152" t="s">
        <v>3085</v>
      </c>
      <c r="AT152" t="s">
        <v>2988</v>
      </c>
      <c r="AU152">
        <v>2023</v>
      </c>
      <c r="AV152" t="s">
        <v>74</v>
      </c>
      <c r="AW152" t="s">
        <v>74</v>
      </c>
      <c r="AX152" t="s">
        <v>74</v>
      </c>
      <c r="AY152" t="s">
        <v>74</v>
      </c>
      <c r="AZ152" t="s">
        <v>74</v>
      </c>
      <c r="BA152" t="s">
        <v>74</v>
      </c>
      <c r="BB152" t="s">
        <v>74</v>
      </c>
      <c r="BC152" t="s">
        <v>74</v>
      </c>
      <c r="BD152" t="s">
        <v>74</v>
      </c>
      <c r="BE152" t="s">
        <v>3086</v>
      </c>
      <c r="BF152" t="str">
        <f>HYPERLINK("http://dx.doi.org/10.1038/s41409-023-02109","http://dx.doi.org/10.1038/s41409-023-02109")</f>
        <v>http://dx.doi.org/10.1038/s41409-023-02109</v>
      </c>
      <c r="BG152" t="s">
        <v>74</v>
      </c>
      <c r="BH152" t="s">
        <v>2079</v>
      </c>
      <c r="BI152">
        <v>16</v>
      </c>
      <c r="BJ152" t="s">
        <v>3087</v>
      </c>
      <c r="BK152" t="s">
        <v>126</v>
      </c>
      <c r="BL152" t="s">
        <v>3087</v>
      </c>
      <c r="BM152" t="s">
        <v>3088</v>
      </c>
      <c r="BN152" t="s">
        <v>74</v>
      </c>
      <c r="BO152" t="s">
        <v>74</v>
      </c>
      <c r="BP152" t="s">
        <v>74</v>
      </c>
      <c r="BQ152" t="s">
        <v>74</v>
      </c>
      <c r="BR152" t="s">
        <v>99</v>
      </c>
      <c r="BS152" t="s">
        <v>3089</v>
      </c>
      <c r="BT152" t="str">
        <f>HYPERLINK("https%3A%2F%2Fwww.webofscience.com%2Fwos%2Fwoscc%2Ffull-record%2FWOS:001069057500001","View Full Record in Web of Science")</f>
        <v>View Full Record in Web of Science</v>
      </c>
    </row>
    <row r="153" spans="1:72" x14ac:dyDescent="0.15">
      <c r="A153" t="s">
        <v>72</v>
      </c>
      <c r="B153" t="s">
        <v>3090</v>
      </c>
      <c r="C153" t="s">
        <v>74</v>
      </c>
      <c r="D153" t="s">
        <v>74</v>
      </c>
      <c r="E153" t="s">
        <v>74</v>
      </c>
      <c r="F153" t="s">
        <v>3091</v>
      </c>
      <c r="G153" t="s">
        <v>74</v>
      </c>
      <c r="H153" t="s">
        <v>74</v>
      </c>
      <c r="I153" t="s">
        <v>3092</v>
      </c>
      <c r="J153" t="s">
        <v>3093</v>
      </c>
      <c r="K153" t="s">
        <v>74</v>
      </c>
      <c r="L153" t="s">
        <v>74</v>
      </c>
      <c r="M153" t="s">
        <v>78</v>
      </c>
      <c r="N153" t="s">
        <v>1246</v>
      </c>
      <c r="O153" t="s">
        <v>74</v>
      </c>
      <c r="P153" t="s">
        <v>74</v>
      </c>
      <c r="Q153" t="s">
        <v>74</v>
      </c>
      <c r="R153" t="s">
        <v>74</v>
      </c>
      <c r="S153" t="s">
        <v>74</v>
      </c>
      <c r="T153" t="s">
        <v>3094</v>
      </c>
      <c r="U153" t="s">
        <v>3095</v>
      </c>
      <c r="V153" t="s">
        <v>3096</v>
      </c>
      <c r="W153" t="s">
        <v>3097</v>
      </c>
      <c r="X153" t="s">
        <v>3098</v>
      </c>
      <c r="Y153" t="s">
        <v>3099</v>
      </c>
      <c r="Z153" t="s">
        <v>3100</v>
      </c>
      <c r="AA153" t="s">
        <v>74</v>
      </c>
      <c r="AB153" t="s">
        <v>3101</v>
      </c>
      <c r="AC153" t="s">
        <v>3102</v>
      </c>
      <c r="AD153" t="s">
        <v>3103</v>
      </c>
      <c r="AE153" t="s">
        <v>3104</v>
      </c>
      <c r="AF153" t="s">
        <v>74</v>
      </c>
      <c r="AG153">
        <v>51</v>
      </c>
      <c r="AH153">
        <v>0</v>
      </c>
      <c r="AI153">
        <v>0</v>
      </c>
      <c r="AJ153">
        <v>0</v>
      </c>
      <c r="AK153">
        <v>0</v>
      </c>
      <c r="AL153" t="s">
        <v>117</v>
      </c>
      <c r="AM153" t="s">
        <v>118</v>
      </c>
      <c r="AN153" t="s">
        <v>119</v>
      </c>
      <c r="AO153" t="s">
        <v>3105</v>
      </c>
      <c r="AP153" t="s">
        <v>3106</v>
      </c>
      <c r="AQ153" t="s">
        <v>74</v>
      </c>
      <c r="AR153" t="s">
        <v>3107</v>
      </c>
      <c r="AS153" t="s">
        <v>3108</v>
      </c>
      <c r="AT153" t="s">
        <v>2988</v>
      </c>
      <c r="AU153">
        <v>2023</v>
      </c>
      <c r="AV153" t="s">
        <v>74</v>
      </c>
      <c r="AW153" t="s">
        <v>74</v>
      </c>
      <c r="AX153" t="s">
        <v>74</v>
      </c>
      <c r="AY153" t="s">
        <v>74</v>
      </c>
      <c r="AZ153" t="s">
        <v>74</v>
      </c>
      <c r="BA153" t="s">
        <v>74</v>
      </c>
      <c r="BB153" t="s">
        <v>74</v>
      </c>
      <c r="BC153" t="s">
        <v>74</v>
      </c>
      <c r="BD153" t="s">
        <v>74</v>
      </c>
      <c r="BE153" t="s">
        <v>3109</v>
      </c>
      <c r="BF153" t="str">
        <f>HYPERLINK("http://dx.doi.org/10.1007/s00253-023-12783-y","http://dx.doi.org/10.1007/s00253-023-12783-y")</f>
        <v>http://dx.doi.org/10.1007/s00253-023-12783-y</v>
      </c>
      <c r="BG153" t="s">
        <v>74</v>
      </c>
      <c r="BH153" t="s">
        <v>2079</v>
      </c>
      <c r="BI153">
        <v>13</v>
      </c>
      <c r="BJ153" t="s">
        <v>1843</v>
      </c>
      <c r="BK153" t="s">
        <v>126</v>
      </c>
      <c r="BL153" t="s">
        <v>1843</v>
      </c>
      <c r="BM153" t="s">
        <v>3110</v>
      </c>
      <c r="BN153">
        <v>37728624</v>
      </c>
      <c r="BO153" t="s">
        <v>74</v>
      </c>
      <c r="BP153" t="s">
        <v>74</v>
      </c>
      <c r="BQ153" t="s">
        <v>74</v>
      </c>
      <c r="BR153" t="s">
        <v>99</v>
      </c>
      <c r="BS153" t="s">
        <v>3111</v>
      </c>
      <c r="BT153" t="str">
        <f>HYPERLINK("https%3A%2F%2Fwww.webofscience.com%2Fwos%2Fwoscc%2Ffull-record%2FWOS:001070489300002","View Full Record in Web of Science")</f>
        <v>View Full Record in Web of Science</v>
      </c>
    </row>
    <row r="154" spans="1:72" x14ac:dyDescent="0.15">
      <c r="A154" t="s">
        <v>72</v>
      </c>
      <c r="B154" t="s">
        <v>3112</v>
      </c>
      <c r="C154" t="s">
        <v>74</v>
      </c>
      <c r="D154" t="s">
        <v>74</v>
      </c>
      <c r="E154" t="s">
        <v>74</v>
      </c>
      <c r="F154" t="s">
        <v>3113</v>
      </c>
      <c r="G154" t="s">
        <v>74</v>
      </c>
      <c r="H154" t="s">
        <v>74</v>
      </c>
      <c r="I154" t="s">
        <v>3114</v>
      </c>
      <c r="J154" t="s">
        <v>3115</v>
      </c>
      <c r="K154" t="s">
        <v>74</v>
      </c>
      <c r="L154" t="s">
        <v>74</v>
      </c>
      <c r="M154" t="s">
        <v>78</v>
      </c>
      <c r="N154" t="s">
        <v>1246</v>
      </c>
      <c r="O154" t="s">
        <v>74</v>
      </c>
      <c r="P154" t="s">
        <v>74</v>
      </c>
      <c r="Q154" t="s">
        <v>74</v>
      </c>
      <c r="R154" t="s">
        <v>74</v>
      </c>
      <c r="S154" t="s">
        <v>74</v>
      </c>
      <c r="T154" t="s">
        <v>3116</v>
      </c>
      <c r="U154" t="s">
        <v>3117</v>
      </c>
      <c r="V154" t="s">
        <v>3118</v>
      </c>
      <c r="W154" t="s">
        <v>3119</v>
      </c>
      <c r="X154" t="s">
        <v>3120</v>
      </c>
      <c r="Y154" t="s">
        <v>3121</v>
      </c>
      <c r="Z154" t="s">
        <v>3122</v>
      </c>
      <c r="AA154" t="s">
        <v>74</v>
      </c>
      <c r="AB154" t="s">
        <v>74</v>
      </c>
      <c r="AC154" t="s">
        <v>3123</v>
      </c>
      <c r="AD154" t="s">
        <v>3124</v>
      </c>
      <c r="AE154" t="s">
        <v>3125</v>
      </c>
      <c r="AF154" t="s">
        <v>74</v>
      </c>
      <c r="AG154">
        <v>77</v>
      </c>
      <c r="AH154">
        <v>0</v>
      </c>
      <c r="AI154">
        <v>0</v>
      </c>
      <c r="AJ154">
        <v>0</v>
      </c>
      <c r="AK154">
        <v>0</v>
      </c>
      <c r="AL154" t="s">
        <v>117</v>
      </c>
      <c r="AM154" t="s">
        <v>118</v>
      </c>
      <c r="AN154" t="s">
        <v>119</v>
      </c>
      <c r="AO154" t="s">
        <v>3126</v>
      </c>
      <c r="AP154" t="s">
        <v>3127</v>
      </c>
      <c r="AQ154" t="s">
        <v>74</v>
      </c>
      <c r="AR154" t="s">
        <v>3128</v>
      </c>
      <c r="AS154" t="s">
        <v>3129</v>
      </c>
      <c r="AT154" t="s">
        <v>2988</v>
      </c>
      <c r="AU154">
        <v>2023</v>
      </c>
      <c r="AV154" t="s">
        <v>74</v>
      </c>
      <c r="AW154" t="s">
        <v>74</v>
      </c>
      <c r="AX154" t="s">
        <v>74</v>
      </c>
      <c r="AY154" t="s">
        <v>74</v>
      </c>
      <c r="AZ154" t="s">
        <v>74</v>
      </c>
      <c r="BA154" t="s">
        <v>74</v>
      </c>
      <c r="BB154" t="s">
        <v>74</v>
      </c>
      <c r="BC154" t="s">
        <v>74</v>
      </c>
      <c r="BD154" t="s">
        <v>74</v>
      </c>
      <c r="BE154" t="s">
        <v>3130</v>
      </c>
      <c r="BF154" t="str">
        <f>HYPERLINK("http://dx.doi.org/10.1007/s00477-023-02553-7","http://dx.doi.org/10.1007/s00477-023-02553-7")</f>
        <v>http://dx.doi.org/10.1007/s00477-023-02553-7</v>
      </c>
      <c r="BG154" t="s">
        <v>74</v>
      </c>
      <c r="BH154" t="s">
        <v>2079</v>
      </c>
      <c r="BI154">
        <v>18</v>
      </c>
      <c r="BJ154" t="s">
        <v>3131</v>
      </c>
      <c r="BK154" t="s">
        <v>126</v>
      </c>
      <c r="BL154" t="s">
        <v>3132</v>
      </c>
      <c r="BM154" t="s">
        <v>3133</v>
      </c>
      <c r="BN154" t="s">
        <v>74</v>
      </c>
      <c r="BO154" t="s">
        <v>74</v>
      </c>
      <c r="BP154" t="s">
        <v>74</v>
      </c>
      <c r="BQ154" t="s">
        <v>74</v>
      </c>
      <c r="BR154" t="s">
        <v>99</v>
      </c>
      <c r="BS154" t="s">
        <v>3134</v>
      </c>
      <c r="BT154" t="str">
        <f>HYPERLINK("https%3A%2F%2Fwww.webofscience.com%2Fwos%2Fwoscc%2Ffull-record%2FWOS:001069682400001","View Full Record in Web of Science")</f>
        <v>View Full Record in Web of Science</v>
      </c>
    </row>
    <row r="155" spans="1:72" x14ac:dyDescent="0.15">
      <c r="A155" t="s">
        <v>72</v>
      </c>
      <c r="B155" t="s">
        <v>3135</v>
      </c>
      <c r="C155" t="s">
        <v>74</v>
      </c>
      <c r="D155" t="s">
        <v>74</v>
      </c>
      <c r="E155" t="s">
        <v>74</v>
      </c>
      <c r="F155" t="s">
        <v>3136</v>
      </c>
      <c r="G155" t="s">
        <v>74</v>
      </c>
      <c r="H155" t="s">
        <v>74</v>
      </c>
      <c r="I155" t="s">
        <v>3137</v>
      </c>
      <c r="J155" t="s">
        <v>3138</v>
      </c>
      <c r="K155" t="s">
        <v>74</v>
      </c>
      <c r="L155" t="s">
        <v>74</v>
      </c>
      <c r="M155" t="s">
        <v>78</v>
      </c>
      <c r="N155" t="s">
        <v>3139</v>
      </c>
      <c r="O155" t="s">
        <v>74</v>
      </c>
      <c r="P155" t="s">
        <v>74</v>
      </c>
      <c r="Q155" t="s">
        <v>74</v>
      </c>
      <c r="R155" t="s">
        <v>74</v>
      </c>
      <c r="S155" t="s">
        <v>74</v>
      </c>
      <c r="T155" t="s">
        <v>74</v>
      </c>
      <c r="U155" t="s">
        <v>3140</v>
      </c>
      <c r="V155" t="s">
        <v>74</v>
      </c>
      <c r="W155" t="s">
        <v>3141</v>
      </c>
      <c r="X155" t="s">
        <v>3142</v>
      </c>
      <c r="Y155" t="s">
        <v>3143</v>
      </c>
      <c r="Z155" t="s">
        <v>3144</v>
      </c>
      <c r="AA155" t="s">
        <v>74</v>
      </c>
      <c r="AB155" t="s">
        <v>74</v>
      </c>
      <c r="AC155" t="s">
        <v>74</v>
      </c>
      <c r="AD155" t="s">
        <v>74</v>
      </c>
      <c r="AE155" t="s">
        <v>74</v>
      </c>
      <c r="AF155" t="s">
        <v>74</v>
      </c>
      <c r="AG155">
        <v>9</v>
      </c>
      <c r="AH155">
        <v>0</v>
      </c>
      <c r="AI155">
        <v>0</v>
      </c>
      <c r="AJ155">
        <v>0</v>
      </c>
      <c r="AK155">
        <v>0</v>
      </c>
      <c r="AL155" t="s">
        <v>117</v>
      </c>
      <c r="AM155" t="s">
        <v>118</v>
      </c>
      <c r="AN155" t="s">
        <v>119</v>
      </c>
      <c r="AO155" t="s">
        <v>3145</v>
      </c>
      <c r="AP155" t="s">
        <v>3146</v>
      </c>
      <c r="AQ155" t="s">
        <v>74</v>
      </c>
      <c r="AR155" t="s">
        <v>3147</v>
      </c>
      <c r="AS155" t="s">
        <v>3148</v>
      </c>
      <c r="AT155" t="s">
        <v>2988</v>
      </c>
      <c r="AU155">
        <v>2023</v>
      </c>
      <c r="AV155" t="s">
        <v>74</v>
      </c>
      <c r="AW155" t="s">
        <v>74</v>
      </c>
      <c r="AX155" t="s">
        <v>74</v>
      </c>
      <c r="AY155" t="s">
        <v>74</v>
      </c>
      <c r="AZ155" t="s">
        <v>74</v>
      </c>
      <c r="BA155" t="s">
        <v>74</v>
      </c>
      <c r="BB155" t="s">
        <v>74</v>
      </c>
      <c r="BC155" t="s">
        <v>74</v>
      </c>
      <c r="BD155" t="s">
        <v>74</v>
      </c>
      <c r="BE155" t="s">
        <v>3149</v>
      </c>
      <c r="BF155" t="str">
        <f>HYPERLINK("http://dx.doi.org/10.1007/s12350-023-03376-3","http://dx.doi.org/10.1007/s12350-023-03376-3")</f>
        <v>http://dx.doi.org/10.1007/s12350-023-03376-3</v>
      </c>
      <c r="BG155" t="s">
        <v>74</v>
      </c>
      <c r="BH155" t="s">
        <v>2079</v>
      </c>
      <c r="BI155">
        <v>2</v>
      </c>
      <c r="BJ155" t="s">
        <v>3150</v>
      </c>
      <c r="BK155" t="s">
        <v>126</v>
      </c>
      <c r="BL155" t="s">
        <v>3151</v>
      </c>
      <c r="BM155" t="s">
        <v>3152</v>
      </c>
      <c r="BN155">
        <v>37731013</v>
      </c>
      <c r="BO155" t="s">
        <v>762</v>
      </c>
      <c r="BP155" t="s">
        <v>74</v>
      </c>
      <c r="BQ155" t="s">
        <v>74</v>
      </c>
      <c r="BR155" t="s">
        <v>99</v>
      </c>
      <c r="BS155" t="s">
        <v>3153</v>
      </c>
      <c r="BT155" t="str">
        <f>HYPERLINK("https%3A%2F%2Fwww.webofscience.com%2Fwos%2Fwoscc%2Ffull-record%2FWOS:001070489200002","View Full Record in Web of Science")</f>
        <v>View Full Record in Web of Science</v>
      </c>
    </row>
    <row r="156" spans="1:72" x14ac:dyDescent="0.15">
      <c r="A156" t="s">
        <v>72</v>
      </c>
      <c r="B156" t="s">
        <v>3154</v>
      </c>
      <c r="C156" t="s">
        <v>74</v>
      </c>
      <c r="D156" t="s">
        <v>74</v>
      </c>
      <c r="E156" t="s">
        <v>74</v>
      </c>
      <c r="F156" t="s">
        <v>3155</v>
      </c>
      <c r="G156" t="s">
        <v>74</v>
      </c>
      <c r="H156" t="s">
        <v>74</v>
      </c>
      <c r="I156" t="s">
        <v>3156</v>
      </c>
      <c r="J156" t="s">
        <v>3157</v>
      </c>
      <c r="K156" t="s">
        <v>74</v>
      </c>
      <c r="L156" t="s">
        <v>74</v>
      </c>
      <c r="M156" t="s">
        <v>78</v>
      </c>
      <c r="N156" t="s">
        <v>1246</v>
      </c>
      <c r="O156" t="s">
        <v>74</v>
      </c>
      <c r="P156" t="s">
        <v>74</v>
      </c>
      <c r="Q156" t="s">
        <v>74</v>
      </c>
      <c r="R156" t="s">
        <v>74</v>
      </c>
      <c r="S156" t="s">
        <v>74</v>
      </c>
      <c r="T156" t="s">
        <v>3158</v>
      </c>
      <c r="U156" t="s">
        <v>74</v>
      </c>
      <c r="V156" t="s">
        <v>3159</v>
      </c>
      <c r="W156" t="s">
        <v>3160</v>
      </c>
      <c r="X156" t="s">
        <v>3161</v>
      </c>
      <c r="Y156" t="s">
        <v>3162</v>
      </c>
      <c r="Z156" t="s">
        <v>3163</v>
      </c>
      <c r="AA156" t="s">
        <v>74</v>
      </c>
      <c r="AB156" t="s">
        <v>74</v>
      </c>
      <c r="AC156" t="s">
        <v>3164</v>
      </c>
      <c r="AD156" t="s">
        <v>3164</v>
      </c>
      <c r="AE156" t="s">
        <v>3165</v>
      </c>
      <c r="AF156" t="s">
        <v>74</v>
      </c>
      <c r="AG156">
        <v>21</v>
      </c>
      <c r="AH156">
        <v>0</v>
      </c>
      <c r="AI156">
        <v>0</v>
      </c>
      <c r="AJ156">
        <v>0</v>
      </c>
      <c r="AK156">
        <v>0</v>
      </c>
      <c r="AL156" t="s">
        <v>117</v>
      </c>
      <c r="AM156" t="s">
        <v>627</v>
      </c>
      <c r="AN156" t="s">
        <v>628</v>
      </c>
      <c r="AO156" t="s">
        <v>3166</v>
      </c>
      <c r="AP156" t="s">
        <v>3167</v>
      </c>
      <c r="AQ156" t="s">
        <v>74</v>
      </c>
      <c r="AR156" t="s">
        <v>3168</v>
      </c>
      <c r="AS156" t="s">
        <v>3169</v>
      </c>
      <c r="AT156" t="s">
        <v>2988</v>
      </c>
      <c r="AU156">
        <v>2023</v>
      </c>
      <c r="AV156" t="s">
        <v>74</v>
      </c>
      <c r="AW156" t="s">
        <v>74</v>
      </c>
      <c r="AX156" t="s">
        <v>74</v>
      </c>
      <c r="AY156" t="s">
        <v>74</v>
      </c>
      <c r="AZ156" t="s">
        <v>74</v>
      </c>
      <c r="BA156" t="s">
        <v>74</v>
      </c>
      <c r="BB156" t="s">
        <v>74</v>
      </c>
      <c r="BC156" t="s">
        <v>74</v>
      </c>
      <c r="BD156" t="s">
        <v>74</v>
      </c>
      <c r="BE156" t="s">
        <v>3170</v>
      </c>
      <c r="BF156" t="str">
        <f>HYPERLINK("http://dx.doi.org/10.1007/s11225-023-10068","http://dx.doi.org/10.1007/s11225-023-10068")</f>
        <v>http://dx.doi.org/10.1007/s11225-023-10068</v>
      </c>
      <c r="BG156" t="s">
        <v>74</v>
      </c>
      <c r="BH156" t="s">
        <v>2079</v>
      </c>
      <c r="BI156">
        <v>29</v>
      </c>
      <c r="BJ156" t="s">
        <v>3171</v>
      </c>
      <c r="BK156" t="s">
        <v>3172</v>
      </c>
      <c r="BL156" t="s">
        <v>3173</v>
      </c>
      <c r="BM156" t="s">
        <v>3174</v>
      </c>
      <c r="BN156" t="s">
        <v>74</v>
      </c>
      <c r="BO156" t="s">
        <v>74</v>
      </c>
      <c r="BP156" t="s">
        <v>74</v>
      </c>
      <c r="BQ156" t="s">
        <v>74</v>
      </c>
      <c r="BR156" t="s">
        <v>99</v>
      </c>
      <c r="BS156" t="s">
        <v>3175</v>
      </c>
      <c r="BT156" t="str">
        <f>HYPERLINK("https%3A%2F%2Fwww.webofscience.com%2Fwos%2Fwoscc%2Ffull-record%2FWOS:001069062400002","View Full Record in Web of Science")</f>
        <v>View Full Record in Web of Science</v>
      </c>
    </row>
    <row r="157" spans="1:72" x14ac:dyDescent="0.15">
      <c r="A157" t="s">
        <v>72</v>
      </c>
      <c r="B157" t="s">
        <v>3176</v>
      </c>
      <c r="C157" t="s">
        <v>74</v>
      </c>
      <c r="D157" t="s">
        <v>74</v>
      </c>
      <c r="E157" t="s">
        <v>74</v>
      </c>
      <c r="F157" t="s">
        <v>3177</v>
      </c>
      <c r="G157" t="s">
        <v>74</v>
      </c>
      <c r="H157" t="s">
        <v>74</v>
      </c>
      <c r="I157" t="s">
        <v>3178</v>
      </c>
      <c r="J157" t="s">
        <v>3054</v>
      </c>
      <c r="K157" t="s">
        <v>74</v>
      </c>
      <c r="L157" t="s">
        <v>74</v>
      </c>
      <c r="M157" t="s">
        <v>78</v>
      </c>
      <c r="N157" t="s">
        <v>3179</v>
      </c>
      <c r="O157" t="s">
        <v>74</v>
      </c>
      <c r="P157" t="s">
        <v>74</v>
      </c>
      <c r="Q157" t="s">
        <v>74</v>
      </c>
      <c r="R157" t="s">
        <v>74</v>
      </c>
      <c r="S157" t="s">
        <v>74</v>
      </c>
      <c r="T157" t="s">
        <v>74</v>
      </c>
      <c r="U157" t="s">
        <v>74</v>
      </c>
      <c r="V157" t="s">
        <v>74</v>
      </c>
      <c r="W157" t="s">
        <v>3180</v>
      </c>
      <c r="X157" t="s">
        <v>3181</v>
      </c>
      <c r="Y157" t="s">
        <v>3182</v>
      </c>
      <c r="Z157" t="s">
        <v>3183</v>
      </c>
      <c r="AA157" t="s">
        <v>74</v>
      </c>
      <c r="AB157" t="s">
        <v>74</v>
      </c>
      <c r="AC157" t="s">
        <v>74</v>
      </c>
      <c r="AD157" t="s">
        <v>74</v>
      </c>
      <c r="AE157" t="s">
        <v>74</v>
      </c>
      <c r="AF157" t="s">
        <v>74</v>
      </c>
      <c r="AG157">
        <v>1</v>
      </c>
      <c r="AH157">
        <v>0</v>
      </c>
      <c r="AI157">
        <v>0</v>
      </c>
      <c r="AJ157">
        <v>0</v>
      </c>
      <c r="AK157">
        <v>0</v>
      </c>
      <c r="AL157" t="s">
        <v>87</v>
      </c>
      <c r="AM157" t="s">
        <v>88</v>
      </c>
      <c r="AN157" t="s">
        <v>89</v>
      </c>
      <c r="AO157" t="s">
        <v>3060</v>
      </c>
      <c r="AP157" t="s">
        <v>3061</v>
      </c>
      <c r="AQ157" t="s">
        <v>74</v>
      </c>
      <c r="AR157" t="s">
        <v>3062</v>
      </c>
      <c r="AS157" t="s">
        <v>3063</v>
      </c>
      <c r="AT157" t="s">
        <v>2988</v>
      </c>
      <c r="AU157">
        <v>2023</v>
      </c>
      <c r="AV157" t="s">
        <v>74</v>
      </c>
      <c r="AW157" t="s">
        <v>74</v>
      </c>
      <c r="AX157" t="s">
        <v>74</v>
      </c>
      <c r="AY157" t="s">
        <v>74</v>
      </c>
      <c r="AZ157" t="s">
        <v>74</v>
      </c>
      <c r="BA157" t="s">
        <v>74</v>
      </c>
      <c r="BB157" t="s">
        <v>74</v>
      </c>
      <c r="BC157" t="s">
        <v>74</v>
      </c>
      <c r="BD157" t="s">
        <v>74</v>
      </c>
      <c r="BE157" t="s">
        <v>3184</v>
      </c>
      <c r="BF157" t="str">
        <f>HYPERLINK("http://dx.doi.org/10.1007/s12098-023-04774-8","http://dx.doi.org/10.1007/s12098-023-04774-8")</f>
        <v>http://dx.doi.org/10.1007/s12098-023-04774-8</v>
      </c>
      <c r="BG157" t="s">
        <v>74</v>
      </c>
      <c r="BH157" t="s">
        <v>2079</v>
      </c>
      <c r="BI157">
        <v>1</v>
      </c>
      <c r="BJ157" t="s">
        <v>3066</v>
      </c>
      <c r="BK157" t="s">
        <v>126</v>
      </c>
      <c r="BL157" t="s">
        <v>3066</v>
      </c>
      <c r="BM157" t="s">
        <v>3067</v>
      </c>
      <c r="BN157">
        <v>37726638</v>
      </c>
      <c r="BO157" t="s">
        <v>762</v>
      </c>
      <c r="BP157" t="s">
        <v>74</v>
      </c>
      <c r="BQ157" t="s">
        <v>74</v>
      </c>
      <c r="BR157" t="s">
        <v>99</v>
      </c>
      <c r="BS157" t="s">
        <v>3185</v>
      </c>
      <c r="BT157" t="str">
        <f>HYPERLINK("https%3A%2F%2Fwww.webofscience.com%2Fwos%2Fwoscc%2Ffull-record%2FWOS:001069764100002","View Full Record in Web of Science")</f>
        <v>View Full Record in Web of Science</v>
      </c>
    </row>
    <row r="158" spans="1:72" x14ac:dyDescent="0.15">
      <c r="A158" t="s">
        <v>72</v>
      </c>
      <c r="B158" t="s">
        <v>3186</v>
      </c>
      <c r="C158" t="s">
        <v>74</v>
      </c>
      <c r="D158" t="s">
        <v>74</v>
      </c>
      <c r="E158" t="s">
        <v>74</v>
      </c>
      <c r="F158" t="s">
        <v>3187</v>
      </c>
      <c r="G158" t="s">
        <v>74</v>
      </c>
      <c r="H158" t="s">
        <v>74</v>
      </c>
      <c r="I158" t="s">
        <v>3188</v>
      </c>
      <c r="J158" t="s">
        <v>3189</v>
      </c>
      <c r="K158" t="s">
        <v>74</v>
      </c>
      <c r="L158" t="s">
        <v>74</v>
      </c>
      <c r="M158" t="s">
        <v>78</v>
      </c>
      <c r="N158" t="s">
        <v>2174</v>
      </c>
      <c r="O158" t="s">
        <v>74</v>
      </c>
      <c r="P158" t="s">
        <v>74</v>
      </c>
      <c r="Q158" t="s">
        <v>74</v>
      </c>
      <c r="R158" t="s">
        <v>74</v>
      </c>
      <c r="S158" t="s">
        <v>74</v>
      </c>
      <c r="T158" t="s">
        <v>3190</v>
      </c>
      <c r="U158" t="s">
        <v>3191</v>
      </c>
      <c r="V158" t="s">
        <v>3192</v>
      </c>
      <c r="W158" t="s">
        <v>3193</v>
      </c>
      <c r="X158" t="s">
        <v>3194</v>
      </c>
      <c r="Y158" t="s">
        <v>3195</v>
      </c>
      <c r="Z158" t="s">
        <v>3196</v>
      </c>
      <c r="AA158" t="s">
        <v>74</v>
      </c>
      <c r="AB158" t="s">
        <v>74</v>
      </c>
      <c r="AC158" t="s">
        <v>3197</v>
      </c>
      <c r="AD158" t="s">
        <v>3198</v>
      </c>
      <c r="AE158" t="s">
        <v>3199</v>
      </c>
      <c r="AF158" t="s">
        <v>74</v>
      </c>
      <c r="AG158">
        <v>49</v>
      </c>
      <c r="AH158">
        <v>0</v>
      </c>
      <c r="AI158">
        <v>0</v>
      </c>
      <c r="AJ158">
        <v>1</v>
      </c>
      <c r="AK158">
        <v>1</v>
      </c>
      <c r="AL158" t="s">
        <v>117</v>
      </c>
      <c r="AM158" t="s">
        <v>118</v>
      </c>
      <c r="AN158" t="s">
        <v>119</v>
      </c>
      <c r="AO158" t="s">
        <v>3200</v>
      </c>
      <c r="AP158" t="s">
        <v>3201</v>
      </c>
      <c r="AQ158" t="s">
        <v>74</v>
      </c>
      <c r="AR158" t="s">
        <v>3202</v>
      </c>
      <c r="AS158" t="s">
        <v>3203</v>
      </c>
      <c r="AT158" t="s">
        <v>2988</v>
      </c>
      <c r="AU158">
        <v>2023</v>
      </c>
      <c r="AV158" t="s">
        <v>74</v>
      </c>
      <c r="AW158" t="s">
        <v>74</v>
      </c>
      <c r="AX158" t="s">
        <v>74</v>
      </c>
      <c r="AY158" t="s">
        <v>74</v>
      </c>
      <c r="AZ158" t="s">
        <v>74</v>
      </c>
      <c r="BA158" t="s">
        <v>74</v>
      </c>
      <c r="BB158" t="s">
        <v>74</v>
      </c>
      <c r="BC158" t="s">
        <v>74</v>
      </c>
      <c r="BD158" t="s">
        <v>74</v>
      </c>
      <c r="BE158" t="s">
        <v>3204</v>
      </c>
      <c r="BF158" t="str">
        <f>HYPERLINK("http://dx.doi.org/10.1007/s10198-023-01627-1","http://dx.doi.org/10.1007/s10198-023-01627-1")</f>
        <v>http://dx.doi.org/10.1007/s10198-023-01627-1</v>
      </c>
      <c r="BG158" t="s">
        <v>74</v>
      </c>
      <c r="BH158" t="s">
        <v>2079</v>
      </c>
      <c r="BI158">
        <v>16</v>
      </c>
      <c r="BJ158" t="s">
        <v>3205</v>
      </c>
      <c r="BK158" t="s">
        <v>425</v>
      </c>
      <c r="BL158" t="s">
        <v>3206</v>
      </c>
      <c r="BM158" t="s">
        <v>3207</v>
      </c>
      <c r="BN158">
        <v>37726429</v>
      </c>
      <c r="BO158" t="s">
        <v>183</v>
      </c>
      <c r="BP158" t="s">
        <v>74</v>
      </c>
      <c r="BQ158" t="s">
        <v>74</v>
      </c>
      <c r="BR158" t="s">
        <v>99</v>
      </c>
      <c r="BS158" t="s">
        <v>3208</v>
      </c>
      <c r="BT158" t="str">
        <f>HYPERLINK("https%3A%2F%2Fwww.webofscience.com%2Fwos%2Fwoscc%2Ffull-record%2FWOS:001067580500001","View Full Record in Web of Science")</f>
        <v>View Full Record in Web of Science</v>
      </c>
    </row>
    <row r="159" spans="1:72" x14ac:dyDescent="0.15">
      <c r="A159" t="s">
        <v>72</v>
      </c>
      <c r="B159" t="s">
        <v>3209</v>
      </c>
      <c r="C159" t="s">
        <v>74</v>
      </c>
      <c r="D159" t="s">
        <v>74</v>
      </c>
      <c r="E159" t="s">
        <v>74</v>
      </c>
      <c r="F159" t="s">
        <v>3210</v>
      </c>
      <c r="G159" t="s">
        <v>74</v>
      </c>
      <c r="H159" t="s">
        <v>74</v>
      </c>
      <c r="I159" t="s">
        <v>3211</v>
      </c>
      <c r="J159" t="s">
        <v>3212</v>
      </c>
      <c r="K159" t="s">
        <v>74</v>
      </c>
      <c r="L159" t="s">
        <v>74</v>
      </c>
      <c r="M159" t="s">
        <v>78</v>
      </c>
      <c r="N159" t="s">
        <v>79</v>
      </c>
      <c r="O159" t="s">
        <v>74</v>
      </c>
      <c r="P159" t="s">
        <v>74</v>
      </c>
      <c r="Q159" t="s">
        <v>74</v>
      </c>
      <c r="R159" t="s">
        <v>74</v>
      </c>
      <c r="S159" t="s">
        <v>74</v>
      </c>
      <c r="T159" t="s">
        <v>3213</v>
      </c>
      <c r="U159" t="s">
        <v>3214</v>
      </c>
      <c r="V159" t="s">
        <v>3215</v>
      </c>
      <c r="W159" t="s">
        <v>3216</v>
      </c>
      <c r="X159" t="s">
        <v>3217</v>
      </c>
      <c r="Y159" t="s">
        <v>3218</v>
      </c>
      <c r="Z159" t="s">
        <v>3219</v>
      </c>
      <c r="AA159" t="s">
        <v>74</v>
      </c>
      <c r="AB159" t="s">
        <v>74</v>
      </c>
      <c r="AC159" t="s">
        <v>2755</v>
      </c>
      <c r="AD159" t="s">
        <v>2755</v>
      </c>
      <c r="AE159" t="s">
        <v>2755</v>
      </c>
      <c r="AF159" t="s">
        <v>74</v>
      </c>
      <c r="AG159">
        <v>26</v>
      </c>
      <c r="AH159">
        <v>0</v>
      </c>
      <c r="AI159">
        <v>0</v>
      </c>
      <c r="AJ159">
        <v>0</v>
      </c>
      <c r="AK159">
        <v>0</v>
      </c>
      <c r="AL159" t="s">
        <v>443</v>
      </c>
      <c r="AM159" t="s">
        <v>245</v>
      </c>
      <c r="AN159" t="s">
        <v>444</v>
      </c>
      <c r="AO159" t="s">
        <v>74</v>
      </c>
      <c r="AP159" t="s">
        <v>3220</v>
      </c>
      <c r="AQ159" t="s">
        <v>74</v>
      </c>
      <c r="AR159" t="s">
        <v>3221</v>
      </c>
      <c r="AS159" t="s">
        <v>3222</v>
      </c>
      <c r="AT159" t="s">
        <v>3223</v>
      </c>
      <c r="AU159">
        <v>2023</v>
      </c>
      <c r="AV159">
        <v>23</v>
      </c>
      <c r="AW159">
        <v>1</v>
      </c>
      <c r="AX159" t="s">
        <v>74</v>
      </c>
      <c r="AY159" t="s">
        <v>74</v>
      </c>
      <c r="AZ159" t="s">
        <v>74</v>
      </c>
      <c r="BA159" t="s">
        <v>74</v>
      </c>
      <c r="BB159" t="s">
        <v>74</v>
      </c>
      <c r="BC159" t="s">
        <v>74</v>
      </c>
      <c r="BD159">
        <v>682</v>
      </c>
      <c r="BE159" t="s">
        <v>3224</v>
      </c>
      <c r="BF159" t="str">
        <f>HYPERLINK("http://dx.doi.org/10.1186/s12909-023-04658-7","http://dx.doi.org/10.1186/s12909-023-04658-7")</f>
        <v>http://dx.doi.org/10.1186/s12909-023-04658-7</v>
      </c>
      <c r="BG159" t="s">
        <v>74</v>
      </c>
      <c r="BH159" t="s">
        <v>74</v>
      </c>
      <c r="BI159">
        <v>9</v>
      </c>
      <c r="BJ159" t="s">
        <v>3225</v>
      </c>
      <c r="BK159" t="s">
        <v>2431</v>
      </c>
      <c r="BL159" t="s">
        <v>3226</v>
      </c>
      <c r="BM159" t="s">
        <v>3227</v>
      </c>
      <c r="BN159">
        <v>37730582</v>
      </c>
      <c r="BO159" t="s">
        <v>302</v>
      </c>
      <c r="BP159" t="s">
        <v>74</v>
      </c>
      <c r="BQ159" t="s">
        <v>74</v>
      </c>
      <c r="BR159" t="s">
        <v>99</v>
      </c>
      <c r="BS159" t="s">
        <v>3228</v>
      </c>
      <c r="BT159" t="str">
        <f>HYPERLINK("https%3A%2F%2Fwww.webofscience.com%2Fwos%2Fwoscc%2Ffull-record%2FWOS:001070801100001","View Full Record in Web of Science")</f>
        <v>View Full Record in Web of Science</v>
      </c>
    </row>
    <row r="160" spans="1:72" x14ac:dyDescent="0.15">
      <c r="A160" t="s">
        <v>72</v>
      </c>
      <c r="B160" t="s">
        <v>3229</v>
      </c>
      <c r="C160" t="s">
        <v>74</v>
      </c>
      <c r="D160" t="s">
        <v>74</v>
      </c>
      <c r="E160" t="s">
        <v>74</v>
      </c>
      <c r="F160" t="s">
        <v>3230</v>
      </c>
      <c r="G160" t="s">
        <v>74</v>
      </c>
      <c r="H160" t="s">
        <v>74</v>
      </c>
      <c r="I160" t="s">
        <v>3231</v>
      </c>
      <c r="J160" t="s">
        <v>3232</v>
      </c>
      <c r="K160" t="s">
        <v>74</v>
      </c>
      <c r="L160" t="s">
        <v>74</v>
      </c>
      <c r="M160" t="s">
        <v>78</v>
      </c>
      <c r="N160" t="s">
        <v>2174</v>
      </c>
      <c r="O160" t="s">
        <v>74</v>
      </c>
      <c r="P160" t="s">
        <v>74</v>
      </c>
      <c r="Q160" t="s">
        <v>74</v>
      </c>
      <c r="R160" t="s">
        <v>74</v>
      </c>
      <c r="S160" t="s">
        <v>74</v>
      </c>
      <c r="T160" t="s">
        <v>3233</v>
      </c>
      <c r="U160" t="s">
        <v>3234</v>
      </c>
      <c r="V160" t="s">
        <v>3235</v>
      </c>
      <c r="W160" t="s">
        <v>3236</v>
      </c>
      <c r="X160" t="s">
        <v>3237</v>
      </c>
      <c r="Y160" t="s">
        <v>3238</v>
      </c>
      <c r="Z160" t="s">
        <v>3239</v>
      </c>
      <c r="AA160" t="s">
        <v>74</v>
      </c>
      <c r="AB160" t="s">
        <v>3240</v>
      </c>
      <c r="AC160" t="s">
        <v>3241</v>
      </c>
      <c r="AD160" t="s">
        <v>3241</v>
      </c>
      <c r="AE160" t="s">
        <v>3241</v>
      </c>
      <c r="AF160" t="s">
        <v>74</v>
      </c>
      <c r="AG160">
        <v>32</v>
      </c>
      <c r="AH160">
        <v>0</v>
      </c>
      <c r="AI160">
        <v>0</v>
      </c>
      <c r="AJ160">
        <v>0</v>
      </c>
      <c r="AK160">
        <v>0</v>
      </c>
      <c r="AL160" t="s">
        <v>269</v>
      </c>
      <c r="AM160" t="s">
        <v>118</v>
      </c>
      <c r="AN160" t="s">
        <v>270</v>
      </c>
      <c r="AO160" t="s">
        <v>3242</v>
      </c>
      <c r="AP160" t="s">
        <v>3243</v>
      </c>
      <c r="AQ160" t="s">
        <v>74</v>
      </c>
      <c r="AR160" t="s">
        <v>3244</v>
      </c>
      <c r="AS160" t="s">
        <v>3245</v>
      </c>
      <c r="AT160" t="s">
        <v>2988</v>
      </c>
      <c r="AU160">
        <v>2023</v>
      </c>
      <c r="AV160" t="s">
        <v>74</v>
      </c>
      <c r="AW160" t="s">
        <v>74</v>
      </c>
      <c r="AX160" t="s">
        <v>74</v>
      </c>
      <c r="AY160" t="s">
        <v>74</v>
      </c>
      <c r="AZ160" t="s">
        <v>74</v>
      </c>
      <c r="BA160" t="s">
        <v>74</v>
      </c>
      <c r="BB160" t="s">
        <v>74</v>
      </c>
      <c r="BC160" t="s">
        <v>74</v>
      </c>
      <c r="BD160" t="s">
        <v>74</v>
      </c>
      <c r="BE160" t="s">
        <v>3246</v>
      </c>
      <c r="BF160" t="str">
        <f>HYPERLINK("http://dx.doi.org/10.1007/s10815-023-02942-5","http://dx.doi.org/10.1007/s10815-023-02942-5")</f>
        <v>http://dx.doi.org/10.1007/s10815-023-02942-5</v>
      </c>
      <c r="BG160" t="s">
        <v>74</v>
      </c>
      <c r="BH160" t="s">
        <v>2079</v>
      </c>
      <c r="BI160">
        <v>10</v>
      </c>
      <c r="BJ160" t="s">
        <v>3247</v>
      </c>
      <c r="BK160" t="s">
        <v>126</v>
      </c>
      <c r="BL160" t="s">
        <v>3247</v>
      </c>
      <c r="BM160" t="s">
        <v>3248</v>
      </c>
      <c r="BN160">
        <v>37726586</v>
      </c>
      <c r="BO160" t="s">
        <v>74</v>
      </c>
      <c r="BP160" t="s">
        <v>74</v>
      </c>
      <c r="BQ160" t="s">
        <v>74</v>
      </c>
      <c r="BR160" t="s">
        <v>99</v>
      </c>
      <c r="BS160" t="s">
        <v>3249</v>
      </c>
      <c r="BT160" t="str">
        <f>HYPERLINK("https%3A%2F%2Fwww.webofscience.com%2Fwos%2Fwoscc%2Ffull-record%2FWOS:001067160800001","View Full Record in Web of Science")</f>
        <v>View Full Record in Web of Science</v>
      </c>
    </row>
    <row r="161" spans="1:72" x14ac:dyDescent="0.15">
      <c r="A161" t="s">
        <v>72</v>
      </c>
      <c r="B161" t="s">
        <v>3250</v>
      </c>
      <c r="C161" t="s">
        <v>74</v>
      </c>
      <c r="D161" t="s">
        <v>74</v>
      </c>
      <c r="E161" t="s">
        <v>74</v>
      </c>
      <c r="F161" t="s">
        <v>3251</v>
      </c>
      <c r="G161" t="s">
        <v>74</v>
      </c>
      <c r="H161" t="s">
        <v>74</v>
      </c>
      <c r="I161" t="s">
        <v>3252</v>
      </c>
      <c r="J161" t="s">
        <v>3253</v>
      </c>
      <c r="K161" t="s">
        <v>74</v>
      </c>
      <c r="L161" t="s">
        <v>74</v>
      </c>
      <c r="M161" t="s">
        <v>78</v>
      </c>
      <c r="N161" t="s">
        <v>1246</v>
      </c>
      <c r="O161" t="s">
        <v>74</v>
      </c>
      <c r="P161" t="s">
        <v>74</v>
      </c>
      <c r="Q161" t="s">
        <v>74</v>
      </c>
      <c r="R161" t="s">
        <v>74</v>
      </c>
      <c r="S161" t="s">
        <v>74</v>
      </c>
      <c r="T161" t="s">
        <v>3254</v>
      </c>
      <c r="U161" t="s">
        <v>3255</v>
      </c>
      <c r="V161" t="s">
        <v>3256</v>
      </c>
      <c r="W161" t="s">
        <v>3257</v>
      </c>
      <c r="X161" t="s">
        <v>3258</v>
      </c>
      <c r="Y161" t="s">
        <v>3259</v>
      </c>
      <c r="Z161" t="s">
        <v>3260</v>
      </c>
      <c r="AA161" t="s">
        <v>74</v>
      </c>
      <c r="AB161" t="s">
        <v>74</v>
      </c>
      <c r="AC161" t="s">
        <v>3261</v>
      </c>
      <c r="AD161" t="s">
        <v>3261</v>
      </c>
      <c r="AE161" t="s">
        <v>3261</v>
      </c>
      <c r="AF161" t="s">
        <v>74</v>
      </c>
      <c r="AG161">
        <v>30</v>
      </c>
      <c r="AH161">
        <v>0</v>
      </c>
      <c r="AI161">
        <v>0</v>
      </c>
      <c r="AJ161">
        <v>0</v>
      </c>
      <c r="AK161">
        <v>0</v>
      </c>
      <c r="AL161" t="s">
        <v>117</v>
      </c>
      <c r="AM161" t="s">
        <v>627</v>
      </c>
      <c r="AN161" t="s">
        <v>628</v>
      </c>
      <c r="AO161" t="s">
        <v>3262</v>
      </c>
      <c r="AP161" t="s">
        <v>3263</v>
      </c>
      <c r="AQ161" t="s">
        <v>74</v>
      </c>
      <c r="AR161" t="s">
        <v>3253</v>
      </c>
      <c r="AS161" t="s">
        <v>3264</v>
      </c>
      <c r="AT161" t="s">
        <v>2988</v>
      </c>
      <c r="AU161">
        <v>2023</v>
      </c>
      <c r="AV161" t="s">
        <v>74</v>
      </c>
      <c r="AW161" t="s">
        <v>74</v>
      </c>
      <c r="AX161" t="s">
        <v>74</v>
      </c>
      <c r="AY161" t="s">
        <v>74</v>
      </c>
      <c r="AZ161" t="s">
        <v>74</v>
      </c>
      <c r="BA161" t="s">
        <v>74</v>
      </c>
      <c r="BB161" t="s">
        <v>74</v>
      </c>
      <c r="BC161" t="s">
        <v>74</v>
      </c>
      <c r="BD161" t="s">
        <v>74</v>
      </c>
      <c r="BE161" t="s">
        <v>3265</v>
      </c>
      <c r="BF161" t="str">
        <f>HYPERLINK("http://dx.doi.org/10.1007/s10570-023-05513-0","http://dx.doi.org/10.1007/s10570-023-05513-0")</f>
        <v>http://dx.doi.org/10.1007/s10570-023-05513-0</v>
      </c>
      <c r="BG161" t="s">
        <v>74</v>
      </c>
      <c r="BH161" t="s">
        <v>2079</v>
      </c>
      <c r="BI161">
        <v>15</v>
      </c>
      <c r="BJ161" t="s">
        <v>3266</v>
      </c>
      <c r="BK161" t="s">
        <v>126</v>
      </c>
      <c r="BL161" t="s">
        <v>3267</v>
      </c>
      <c r="BM161" t="s">
        <v>3268</v>
      </c>
      <c r="BN161" t="s">
        <v>74</v>
      </c>
      <c r="BO161" t="s">
        <v>327</v>
      </c>
      <c r="BP161" t="s">
        <v>74</v>
      </c>
      <c r="BQ161" t="s">
        <v>74</v>
      </c>
      <c r="BR161" t="s">
        <v>99</v>
      </c>
      <c r="BS161" t="s">
        <v>3269</v>
      </c>
      <c r="BT161" t="str">
        <f>HYPERLINK("https%3A%2F%2Fwww.webofscience.com%2Fwos%2Fwoscc%2Ffull-record%2FWOS:001067075200001","View Full Record in Web of Science")</f>
        <v>View Full Record in Web of Science</v>
      </c>
    </row>
    <row r="162" spans="1:72" x14ac:dyDescent="0.15">
      <c r="A162" t="s">
        <v>72</v>
      </c>
      <c r="B162" t="s">
        <v>3270</v>
      </c>
      <c r="C162" t="s">
        <v>74</v>
      </c>
      <c r="D162" t="s">
        <v>74</v>
      </c>
      <c r="E162" t="s">
        <v>74</v>
      </c>
      <c r="F162" t="s">
        <v>3271</v>
      </c>
      <c r="G162" t="s">
        <v>74</v>
      </c>
      <c r="H162" t="s">
        <v>74</v>
      </c>
      <c r="I162" t="s">
        <v>3272</v>
      </c>
      <c r="J162" t="s">
        <v>3273</v>
      </c>
      <c r="K162" t="s">
        <v>74</v>
      </c>
      <c r="L162" t="s">
        <v>74</v>
      </c>
      <c r="M162" t="s">
        <v>78</v>
      </c>
      <c r="N162" t="s">
        <v>1246</v>
      </c>
      <c r="O162" t="s">
        <v>74</v>
      </c>
      <c r="P162" t="s">
        <v>74</v>
      </c>
      <c r="Q162" t="s">
        <v>74</v>
      </c>
      <c r="R162" t="s">
        <v>74</v>
      </c>
      <c r="S162" t="s">
        <v>74</v>
      </c>
      <c r="T162" t="s">
        <v>3274</v>
      </c>
      <c r="U162" t="s">
        <v>3275</v>
      </c>
      <c r="V162" t="s">
        <v>3276</v>
      </c>
      <c r="W162" t="s">
        <v>3277</v>
      </c>
      <c r="X162" t="s">
        <v>3278</v>
      </c>
      <c r="Y162" t="s">
        <v>3279</v>
      </c>
      <c r="Z162" t="s">
        <v>3280</v>
      </c>
      <c r="AA162" t="s">
        <v>3281</v>
      </c>
      <c r="AB162" t="s">
        <v>74</v>
      </c>
      <c r="AC162" t="s">
        <v>3282</v>
      </c>
      <c r="AD162" t="s">
        <v>3283</v>
      </c>
      <c r="AE162" t="s">
        <v>3284</v>
      </c>
      <c r="AF162" t="s">
        <v>74</v>
      </c>
      <c r="AG162">
        <v>50</v>
      </c>
      <c r="AH162">
        <v>0</v>
      </c>
      <c r="AI162">
        <v>0</v>
      </c>
      <c r="AJ162">
        <v>0</v>
      </c>
      <c r="AK162">
        <v>0</v>
      </c>
      <c r="AL162" t="s">
        <v>317</v>
      </c>
      <c r="AM162" t="s">
        <v>245</v>
      </c>
      <c r="AN162" t="s">
        <v>318</v>
      </c>
      <c r="AO162" t="s">
        <v>3285</v>
      </c>
      <c r="AP162" t="s">
        <v>3286</v>
      </c>
      <c r="AQ162" t="s">
        <v>74</v>
      </c>
      <c r="AR162" t="s">
        <v>3287</v>
      </c>
      <c r="AS162" t="s">
        <v>3288</v>
      </c>
      <c r="AT162" t="s">
        <v>3289</v>
      </c>
      <c r="AU162">
        <v>2023</v>
      </c>
      <c r="AV162" t="s">
        <v>74</v>
      </c>
      <c r="AW162" t="s">
        <v>74</v>
      </c>
      <c r="AX162" t="s">
        <v>74</v>
      </c>
      <c r="AY162" t="s">
        <v>74</v>
      </c>
      <c r="AZ162" t="s">
        <v>74</v>
      </c>
      <c r="BA162" t="s">
        <v>74</v>
      </c>
      <c r="BB162" t="s">
        <v>74</v>
      </c>
      <c r="BC162" t="s">
        <v>74</v>
      </c>
      <c r="BD162" t="s">
        <v>74</v>
      </c>
      <c r="BE162" t="s">
        <v>3290</v>
      </c>
      <c r="BF162" t="str">
        <f>HYPERLINK("http://dx.doi.org/10.1007/s12031-023-02155-6","http://dx.doi.org/10.1007/s12031-023-02155-6")</f>
        <v>http://dx.doi.org/10.1007/s12031-023-02155-6</v>
      </c>
      <c r="BG162" t="s">
        <v>74</v>
      </c>
      <c r="BH162" t="s">
        <v>2079</v>
      </c>
      <c r="BI162">
        <v>10</v>
      </c>
      <c r="BJ162" t="s">
        <v>3291</v>
      </c>
      <c r="BK162" t="s">
        <v>126</v>
      </c>
      <c r="BL162" t="s">
        <v>3292</v>
      </c>
      <c r="BM162" t="s">
        <v>3293</v>
      </c>
      <c r="BN162">
        <v>37725287</v>
      </c>
      <c r="BO162" t="s">
        <v>183</v>
      </c>
      <c r="BP162" t="s">
        <v>74</v>
      </c>
      <c r="BQ162" t="s">
        <v>74</v>
      </c>
      <c r="BR162" t="s">
        <v>99</v>
      </c>
      <c r="BS162" t="s">
        <v>3294</v>
      </c>
      <c r="BT162" t="str">
        <f>HYPERLINK("https%3A%2F%2Fwww.webofscience.com%2Fwos%2Fwoscc%2Ffull-record%2FWOS:001067353200001","View Full Record in Web of Science")</f>
        <v>View Full Record in Web of Science</v>
      </c>
    </row>
    <row r="163" spans="1:72" x14ac:dyDescent="0.15">
      <c r="A163" t="s">
        <v>72</v>
      </c>
      <c r="B163" t="s">
        <v>3295</v>
      </c>
      <c r="C163" t="s">
        <v>74</v>
      </c>
      <c r="D163" t="s">
        <v>74</v>
      </c>
      <c r="E163" t="s">
        <v>74</v>
      </c>
      <c r="F163" t="s">
        <v>3296</v>
      </c>
      <c r="G163" t="s">
        <v>74</v>
      </c>
      <c r="H163" t="s">
        <v>74</v>
      </c>
      <c r="I163" t="s">
        <v>3297</v>
      </c>
      <c r="J163" t="s">
        <v>3298</v>
      </c>
      <c r="K163" t="s">
        <v>74</v>
      </c>
      <c r="L163" t="s">
        <v>74</v>
      </c>
      <c r="M163" t="s">
        <v>78</v>
      </c>
      <c r="N163" t="s">
        <v>1246</v>
      </c>
      <c r="O163" t="s">
        <v>74</v>
      </c>
      <c r="P163" t="s">
        <v>74</v>
      </c>
      <c r="Q163" t="s">
        <v>74</v>
      </c>
      <c r="R163" t="s">
        <v>74</v>
      </c>
      <c r="S163" t="s">
        <v>74</v>
      </c>
      <c r="T163" t="s">
        <v>3299</v>
      </c>
      <c r="U163" t="s">
        <v>3300</v>
      </c>
      <c r="V163" t="s">
        <v>3301</v>
      </c>
      <c r="W163" t="s">
        <v>3302</v>
      </c>
      <c r="X163" t="s">
        <v>3303</v>
      </c>
      <c r="Y163" t="s">
        <v>3304</v>
      </c>
      <c r="Z163" t="s">
        <v>3305</v>
      </c>
      <c r="AA163" t="s">
        <v>74</v>
      </c>
      <c r="AB163" t="s">
        <v>74</v>
      </c>
      <c r="AC163" t="s">
        <v>74</v>
      </c>
      <c r="AD163" t="s">
        <v>74</v>
      </c>
      <c r="AE163" t="s">
        <v>74</v>
      </c>
      <c r="AF163" t="s">
        <v>74</v>
      </c>
      <c r="AG163">
        <v>97</v>
      </c>
      <c r="AH163">
        <v>0</v>
      </c>
      <c r="AI163">
        <v>0</v>
      </c>
      <c r="AJ163">
        <v>0</v>
      </c>
      <c r="AK163">
        <v>0</v>
      </c>
      <c r="AL163" t="s">
        <v>117</v>
      </c>
      <c r="AM163" t="s">
        <v>118</v>
      </c>
      <c r="AN163" t="s">
        <v>119</v>
      </c>
      <c r="AO163" t="s">
        <v>3306</v>
      </c>
      <c r="AP163" t="s">
        <v>3307</v>
      </c>
      <c r="AQ163" t="s">
        <v>74</v>
      </c>
      <c r="AR163" t="s">
        <v>3308</v>
      </c>
      <c r="AS163" t="s">
        <v>3309</v>
      </c>
      <c r="AT163" t="s">
        <v>3289</v>
      </c>
      <c r="AU163">
        <v>2023</v>
      </c>
      <c r="AV163" t="s">
        <v>74</v>
      </c>
      <c r="AW163" t="s">
        <v>74</v>
      </c>
      <c r="AX163" t="s">
        <v>74</v>
      </c>
      <c r="AY163" t="s">
        <v>74</v>
      </c>
      <c r="AZ163" t="s">
        <v>74</v>
      </c>
      <c r="BA163" t="s">
        <v>74</v>
      </c>
      <c r="BB163" t="s">
        <v>74</v>
      </c>
      <c r="BC163" t="s">
        <v>74</v>
      </c>
      <c r="BD163" t="s">
        <v>74</v>
      </c>
      <c r="BE163" t="s">
        <v>3310</v>
      </c>
      <c r="BF163" t="str">
        <f>HYPERLINK("http://dx.doi.org/10.3758/s13421-023-01463","http://dx.doi.org/10.3758/s13421-023-01463")</f>
        <v>http://dx.doi.org/10.3758/s13421-023-01463</v>
      </c>
      <c r="BG163" t="s">
        <v>74</v>
      </c>
      <c r="BH163" t="s">
        <v>2079</v>
      </c>
      <c r="BI163">
        <v>18</v>
      </c>
      <c r="BJ163" t="s">
        <v>3311</v>
      </c>
      <c r="BK163" t="s">
        <v>425</v>
      </c>
      <c r="BL163" t="s">
        <v>2907</v>
      </c>
      <c r="BM163" t="s">
        <v>3312</v>
      </c>
      <c r="BN163" t="s">
        <v>74</v>
      </c>
      <c r="BO163" t="s">
        <v>74</v>
      </c>
      <c r="BP163" t="s">
        <v>74</v>
      </c>
      <c r="BQ163" t="s">
        <v>74</v>
      </c>
      <c r="BR163" t="s">
        <v>99</v>
      </c>
      <c r="BS163" t="s">
        <v>3313</v>
      </c>
      <c r="BT163" t="str">
        <f>HYPERLINK("https%3A%2F%2Fwww.webofscience.com%2Fwos%2Fwoscc%2Ffull-record%2FWOS:001066642800001","View Full Record in Web of Science")</f>
        <v>View Full Record in Web of Science</v>
      </c>
    </row>
    <row r="164" spans="1:72" x14ac:dyDescent="0.15">
      <c r="A164" t="s">
        <v>72</v>
      </c>
      <c r="B164" t="s">
        <v>3314</v>
      </c>
      <c r="C164" t="s">
        <v>74</v>
      </c>
      <c r="D164" t="s">
        <v>74</v>
      </c>
      <c r="E164" t="s">
        <v>74</v>
      </c>
      <c r="F164" t="s">
        <v>3315</v>
      </c>
      <c r="G164" t="s">
        <v>74</v>
      </c>
      <c r="H164" t="s">
        <v>74</v>
      </c>
      <c r="I164" t="s">
        <v>3316</v>
      </c>
      <c r="J164" t="s">
        <v>3317</v>
      </c>
      <c r="K164" t="s">
        <v>74</v>
      </c>
      <c r="L164" t="s">
        <v>74</v>
      </c>
      <c r="M164" t="s">
        <v>78</v>
      </c>
      <c r="N164" t="s">
        <v>3318</v>
      </c>
      <c r="O164" t="s">
        <v>74</v>
      </c>
      <c r="P164" t="s">
        <v>74</v>
      </c>
      <c r="Q164" t="s">
        <v>74</v>
      </c>
      <c r="R164" t="s">
        <v>74</v>
      </c>
      <c r="S164" t="s">
        <v>74</v>
      </c>
      <c r="T164" t="s">
        <v>3319</v>
      </c>
      <c r="U164" t="s">
        <v>74</v>
      </c>
      <c r="V164" t="s">
        <v>3320</v>
      </c>
      <c r="W164" t="s">
        <v>3321</v>
      </c>
      <c r="X164" t="s">
        <v>3322</v>
      </c>
      <c r="Y164" t="s">
        <v>3323</v>
      </c>
      <c r="Z164" t="s">
        <v>3324</v>
      </c>
      <c r="AA164" t="s">
        <v>74</v>
      </c>
      <c r="AB164" t="s">
        <v>74</v>
      </c>
      <c r="AC164" t="s">
        <v>3325</v>
      </c>
      <c r="AD164" t="s">
        <v>3325</v>
      </c>
      <c r="AE164" t="s">
        <v>3326</v>
      </c>
      <c r="AF164" t="s">
        <v>74</v>
      </c>
      <c r="AG164">
        <v>11</v>
      </c>
      <c r="AH164">
        <v>0</v>
      </c>
      <c r="AI164">
        <v>0</v>
      </c>
      <c r="AJ164">
        <v>3</v>
      </c>
      <c r="AK164">
        <v>3</v>
      </c>
      <c r="AL164" t="s">
        <v>443</v>
      </c>
      <c r="AM164" t="s">
        <v>245</v>
      </c>
      <c r="AN164" t="s">
        <v>444</v>
      </c>
      <c r="AO164" t="s">
        <v>74</v>
      </c>
      <c r="AP164" t="s">
        <v>3327</v>
      </c>
      <c r="AQ164" t="s">
        <v>74</v>
      </c>
      <c r="AR164" t="s">
        <v>3328</v>
      </c>
      <c r="AS164" t="s">
        <v>3329</v>
      </c>
      <c r="AT164" t="s">
        <v>3330</v>
      </c>
      <c r="AU164">
        <v>2023</v>
      </c>
      <c r="AV164">
        <v>11</v>
      </c>
      <c r="AW164">
        <v>1</v>
      </c>
      <c r="AX164" t="s">
        <v>74</v>
      </c>
      <c r="AY164" t="s">
        <v>74</v>
      </c>
      <c r="AZ164" t="s">
        <v>74</v>
      </c>
      <c r="BA164" t="s">
        <v>74</v>
      </c>
      <c r="BB164" t="s">
        <v>74</v>
      </c>
      <c r="BC164" t="s">
        <v>74</v>
      </c>
      <c r="BD164">
        <v>82</v>
      </c>
      <c r="BE164" t="s">
        <v>3331</v>
      </c>
      <c r="BF164" t="str">
        <f>HYPERLINK("http://dx.doi.org/10.1186/s40364-023-00522-4","http://dx.doi.org/10.1186/s40364-023-00522-4")</f>
        <v>http://dx.doi.org/10.1186/s40364-023-00522-4</v>
      </c>
      <c r="BG164" t="s">
        <v>74</v>
      </c>
      <c r="BH164" t="s">
        <v>74</v>
      </c>
      <c r="BI164">
        <v>5</v>
      </c>
      <c r="BJ164" t="s">
        <v>3332</v>
      </c>
      <c r="BK164" t="s">
        <v>126</v>
      </c>
      <c r="BL164" t="s">
        <v>3333</v>
      </c>
      <c r="BM164" t="s">
        <v>3334</v>
      </c>
      <c r="BN164">
        <v>37726827</v>
      </c>
      <c r="BO164" t="s">
        <v>302</v>
      </c>
      <c r="BP164" t="s">
        <v>74</v>
      </c>
      <c r="BQ164" t="s">
        <v>74</v>
      </c>
      <c r="BR164" t="s">
        <v>99</v>
      </c>
      <c r="BS164" t="s">
        <v>3335</v>
      </c>
      <c r="BT164" t="str">
        <f>HYPERLINK("https%3A%2F%2Fwww.webofscience.com%2Fwos%2Fwoscc%2Ffull-record%2FWOS:001071556900001","View Full Record in Web of Science")</f>
        <v>View Full Record in Web of Science</v>
      </c>
    </row>
    <row r="165" spans="1:72" x14ac:dyDescent="0.15">
      <c r="A165" t="s">
        <v>72</v>
      </c>
      <c r="B165" t="s">
        <v>3336</v>
      </c>
      <c r="C165" t="s">
        <v>74</v>
      </c>
      <c r="D165" t="s">
        <v>74</v>
      </c>
      <c r="E165" t="s">
        <v>74</v>
      </c>
      <c r="F165" t="s">
        <v>3337</v>
      </c>
      <c r="G165" t="s">
        <v>74</v>
      </c>
      <c r="H165" t="s">
        <v>74</v>
      </c>
      <c r="I165" t="s">
        <v>3338</v>
      </c>
      <c r="J165" t="s">
        <v>3339</v>
      </c>
      <c r="K165" t="s">
        <v>74</v>
      </c>
      <c r="L165" t="s">
        <v>74</v>
      </c>
      <c r="M165" t="s">
        <v>78</v>
      </c>
      <c r="N165" t="s">
        <v>79</v>
      </c>
      <c r="O165" t="s">
        <v>74</v>
      </c>
      <c r="P165" t="s">
        <v>74</v>
      </c>
      <c r="Q165" t="s">
        <v>74</v>
      </c>
      <c r="R165" t="s">
        <v>74</v>
      </c>
      <c r="S165" t="s">
        <v>74</v>
      </c>
      <c r="T165" t="s">
        <v>74</v>
      </c>
      <c r="U165" t="s">
        <v>3340</v>
      </c>
      <c r="V165" t="s">
        <v>3341</v>
      </c>
      <c r="W165" t="s">
        <v>3342</v>
      </c>
      <c r="X165" t="s">
        <v>3343</v>
      </c>
      <c r="Y165" t="s">
        <v>3344</v>
      </c>
      <c r="Z165" t="s">
        <v>3345</v>
      </c>
      <c r="AA165" t="s">
        <v>74</v>
      </c>
      <c r="AB165" t="s">
        <v>74</v>
      </c>
      <c r="AC165" t="s">
        <v>3346</v>
      </c>
      <c r="AD165" t="s">
        <v>3347</v>
      </c>
      <c r="AE165" t="s">
        <v>3348</v>
      </c>
      <c r="AF165" t="s">
        <v>74</v>
      </c>
      <c r="AG165">
        <v>90</v>
      </c>
      <c r="AH165">
        <v>0</v>
      </c>
      <c r="AI165">
        <v>0</v>
      </c>
      <c r="AJ165">
        <v>0</v>
      </c>
      <c r="AK165">
        <v>0</v>
      </c>
      <c r="AL165" t="s">
        <v>117</v>
      </c>
      <c r="AM165" t="s">
        <v>118</v>
      </c>
      <c r="AN165" t="s">
        <v>119</v>
      </c>
      <c r="AO165" t="s">
        <v>74</v>
      </c>
      <c r="AP165" t="s">
        <v>3349</v>
      </c>
      <c r="AQ165" t="s">
        <v>74</v>
      </c>
      <c r="AR165" t="s">
        <v>3350</v>
      </c>
      <c r="AS165" t="s">
        <v>3351</v>
      </c>
      <c r="AT165" t="s">
        <v>3330</v>
      </c>
      <c r="AU165">
        <v>2023</v>
      </c>
      <c r="AV165">
        <v>12</v>
      </c>
      <c r="AW165">
        <v>1</v>
      </c>
      <c r="AX165" t="s">
        <v>74</v>
      </c>
      <c r="AY165" t="s">
        <v>74</v>
      </c>
      <c r="AZ165" t="s">
        <v>74</v>
      </c>
      <c r="BA165" t="s">
        <v>74</v>
      </c>
      <c r="BB165" t="s">
        <v>74</v>
      </c>
      <c r="BC165" t="s">
        <v>74</v>
      </c>
      <c r="BD165">
        <v>37</v>
      </c>
      <c r="BE165" t="s">
        <v>3352</v>
      </c>
      <c r="BF165" t="str">
        <f>HYPERLINK("http://dx.doi.org/10.1140/epjds/s13688-023-00400-x","http://dx.doi.org/10.1140/epjds/s13688-023-00400-x")</f>
        <v>http://dx.doi.org/10.1140/epjds/s13688-023-00400-x</v>
      </c>
      <c r="BG165" t="s">
        <v>74</v>
      </c>
      <c r="BH165" t="s">
        <v>74</v>
      </c>
      <c r="BI165">
        <v>42</v>
      </c>
      <c r="BJ165" t="s">
        <v>3353</v>
      </c>
      <c r="BK165" t="s">
        <v>2431</v>
      </c>
      <c r="BL165" t="s">
        <v>3354</v>
      </c>
      <c r="BM165" t="s">
        <v>3355</v>
      </c>
      <c r="BN165" t="s">
        <v>74</v>
      </c>
      <c r="BO165" t="s">
        <v>3356</v>
      </c>
      <c r="BP165" t="s">
        <v>74</v>
      </c>
      <c r="BQ165" t="s">
        <v>74</v>
      </c>
      <c r="BR165" t="s">
        <v>99</v>
      </c>
      <c r="BS165" t="s">
        <v>3357</v>
      </c>
      <c r="BT165" t="str">
        <f>HYPERLINK("https%3A%2F%2Fwww.webofscience.com%2Fwos%2Fwoscc%2Ffull-record%2FWOS:001070255800001","View Full Record in Web of Science")</f>
        <v>View Full Record in Web of Science</v>
      </c>
    </row>
    <row r="166" spans="1:72" x14ac:dyDescent="0.15">
      <c r="A166" t="s">
        <v>72</v>
      </c>
      <c r="B166" t="s">
        <v>3358</v>
      </c>
      <c r="C166" t="s">
        <v>74</v>
      </c>
      <c r="D166" t="s">
        <v>74</v>
      </c>
      <c r="E166" t="s">
        <v>74</v>
      </c>
      <c r="F166" t="s">
        <v>3359</v>
      </c>
      <c r="G166" t="s">
        <v>74</v>
      </c>
      <c r="H166" t="s">
        <v>74</v>
      </c>
      <c r="I166" t="s">
        <v>3360</v>
      </c>
      <c r="J166" t="s">
        <v>3361</v>
      </c>
      <c r="K166" t="s">
        <v>74</v>
      </c>
      <c r="L166" t="s">
        <v>74</v>
      </c>
      <c r="M166" t="s">
        <v>78</v>
      </c>
      <c r="N166" t="s">
        <v>79</v>
      </c>
      <c r="O166" t="s">
        <v>74</v>
      </c>
      <c r="P166" t="s">
        <v>74</v>
      </c>
      <c r="Q166" t="s">
        <v>74</v>
      </c>
      <c r="R166" t="s">
        <v>74</v>
      </c>
      <c r="S166" t="s">
        <v>74</v>
      </c>
      <c r="T166" t="s">
        <v>3362</v>
      </c>
      <c r="U166" t="s">
        <v>3363</v>
      </c>
      <c r="V166" t="s">
        <v>3364</v>
      </c>
      <c r="W166" t="s">
        <v>3365</v>
      </c>
      <c r="X166" t="s">
        <v>3366</v>
      </c>
      <c r="Y166" t="s">
        <v>3367</v>
      </c>
      <c r="Z166" t="s">
        <v>3368</v>
      </c>
      <c r="AA166" t="s">
        <v>74</v>
      </c>
      <c r="AB166" t="s">
        <v>74</v>
      </c>
      <c r="AC166" t="s">
        <v>3369</v>
      </c>
      <c r="AD166" t="s">
        <v>3369</v>
      </c>
      <c r="AE166" t="s">
        <v>3369</v>
      </c>
      <c r="AF166" t="s">
        <v>74</v>
      </c>
      <c r="AG166">
        <v>99</v>
      </c>
      <c r="AH166">
        <v>0</v>
      </c>
      <c r="AI166">
        <v>0</v>
      </c>
      <c r="AJ166">
        <v>0</v>
      </c>
      <c r="AK166">
        <v>0</v>
      </c>
      <c r="AL166" t="s">
        <v>443</v>
      </c>
      <c r="AM166" t="s">
        <v>245</v>
      </c>
      <c r="AN166" t="s">
        <v>444</v>
      </c>
      <c r="AO166" t="s">
        <v>74</v>
      </c>
      <c r="AP166" t="s">
        <v>3370</v>
      </c>
      <c r="AQ166" t="s">
        <v>74</v>
      </c>
      <c r="AR166" t="s">
        <v>3361</v>
      </c>
      <c r="AS166" t="s">
        <v>3371</v>
      </c>
      <c r="AT166" t="s">
        <v>3330</v>
      </c>
      <c r="AU166">
        <v>2023</v>
      </c>
      <c r="AV166">
        <v>23</v>
      </c>
      <c r="AW166">
        <v>1</v>
      </c>
      <c r="AX166" t="s">
        <v>74</v>
      </c>
      <c r="AY166" t="s">
        <v>74</v>
      </c>
      <c r="AZ166" t="s">
        <v>74</v>
      </c>
      <c r="BA166" t="s">
        <v>74</v>
      </c>
      <c r="BB166" t="s">
        <v>74</v>
      </c>
      <c r="BC166" t="s">
        <v>74</v>
      </c>
      <c r="BD166">
        <v>680</v>
      </c>
      <c r="BE166" t="s">
        <v>3372</v>
      </c>
      <c r="BF166" t="str">
        <f>HYPERLINK("http://dx.doi.org/10.1186/s12888-023-05179-9","http://dx.doi.org/10.1186/s12888-023-05179-9")</f>
        <v>http://dx.doi.org/10.1186/s12888-023-05179-9</v>
      </c>
      <c r="BG166" t="s">
        <v>74</v>
      </c>
      <c r="BH166" t="s">
        <v>74</v>
      </c>
      <c r="BI166">
        <v>10</v>
      </c>
      <c r="BJ166" t="s">
        <v>3373</v>
      </c>
      <c r="BK166" t="s">
        <v>126</v>
      </c>
      <c r="BL166" t="s">
        <v>3373</v>
      </c>
      <c r="BM166" t="s">
        <v>3374</v>
      </c>
      <c r="BN166">
        <v>37726706</v>
      </c>
      <c r="BO166" t="s">
        <v>302</v>
      </c>
      <c r="BP166" t="s">
        <v>74</v>
      </c>
      <c r="BQ166" t="s">
        <v>74</v>
      </c>
      <c r="BR166" t="s">
        <v>99</v>
      </c>
      <c r="BS166" t="s">
        <v>3375</v>
      </c>
      <c r="BT166" t="str">
        <f>HYPERLINK("https%3A%2F%2Fwww.webofscience.com%2Fwos%2Fwoscc%2Ffull-record%2FWOS:001069522200003","View Full Record in Web of Science")</f>
        <v>View Full Record in Web of Science</v>
      </c>
    </row>
    <row r="167" spans="1:72" x14ac:dyDescent="0.15">
      <c r="A167" t="s">
        <v>72</v>
      </c>
      <c r="B167" t="s">
        <v>3376</v>
      </c>
      <c r="C167" t="s">
        <v>74</v>
      </c>
      <c r="D167" t="s">
        <v>74</v>
      </c>
      <c r="E167" t="s">
        <v>74</v>
      </c>
      <c r="F167" t="s">
        <v>3377</v>
      </c>
      <c r="G167" t="s">
        <v>74</v>
      </c>
      <c r="H167" t="s">
        <v>74</v>
      </c>
      <c r="I167" t="s">
        <v>3378</v>
      </c>
      <c r="J167" t="s">
        <v>3379</v>
      </c>
      <c r="K167" t="s">
        <v>74</v>
      </c>
      <c r="L167" t="s">
        <v>74</v>
      </c>
      <c r="M167" t="s">
        <v>78</v>
      </c>
      <c r="N167" t="s">
        <v>1246</v>
      </c>
      <c r="O167" t="s">
        <v>74</v>
      </c>
      <c r="P167" t="s">
        <v>74</v>
      </c>
      <c r="Q167" t="s">
        <v>74</v>
      </c>
      <c r="R167" t="s">
        <v>74</v>
      </c>
      <c r="S167" t="s">
        <v>74</v>
      </c>
      <c r="T167" t="s">
        <v>3380</v>
      </c>
      <c r="U167" t="s">
        <v>3381</v>
      </c>
      <c r="V167" t="s">
        <v>3382</v>
      </c>
      <c r="W167" t="s">
        <v>3383</v>
      </c>
      <c r="X167" t="s">
        <v>3384</v>
      </c>
      <c r="Y167" t="s">
        <v>3385</v>
      </c>
      <c r="Z167" t="s">
        <v>3386</v>
      </c>
      <c r="AA167" t="s">
        <v>74</v>
      </c>
      <c r="AB167" t="s">
        <v>74</v>
      </c>
      <c r="AC167" t="s">
        <v>3387</v>
      </c>
      <c r="AD167" t="s">
        <v>3388</v>
      </c>
      <c r="AE167" t="s">
        <v>3389</v>
      </c>
      <c r="AF167" t="s">
        <v>74</v>
      </c>
      <c r="AG167">
        <v>83</v>
      </c>
      <c r="AH167">
        <v>0</v>
      </c>
      <c r="AI167">
        <v>0</v>
      </c>
      <c r="AJ167">
        <v>0</v>
      </c>
      <c r="AK167">
        <v>0</v>
      </c>
      <c r="AL167" t="s">
        <v>117</v>
      </c>
      <c r="AM167" t="s">
        <v>627</v>
      </c>
      <c r="AN167" t="s">
        <v>628</v>
      </c>
      <c r="AO167" t="s">
        <v>3390</v>
      </c>
      <c r="AP167" t="s">
        <v>3391</v>
      </c>
      <c r="AQ167" t="s">
        <v>74</v>
      </c>
      <c r="AR167" t="s">
        <v>3392</v>
      </c>
      <c r="AS167" t="s">
        <v>3393</v>
      </c>
      <c r="AT167" t="s">
        <v>3289</v>
      </c>
      <c r="AU167">
        <v>2023</v>
      </c>
      <c r="AV167" t="s">
        <v>74</v>
      </c>
      <c r="AW167" t="s">
        <v>74</v>
      </c>
      <c r="AX167" t="s">
        <v>74</v>
      </c>
      <c r="AY167" t="s">
        <v>74</v>
      </c>
      <c r="AZ167" t="s">
        <v>74</v>
      </c>
      <c r="BA167" t="s">
        <v>74</v>
      </c>
      <c r="BB167" t="s">
        <v>74</v>
      </c>
      <c r="BC167" t="s">
        <v>74</v>
      </c>
      <c r="BD167" t="s">
        <v>74</v>
      </c>
      <c r="BE167" t="s">
        <v>3394</v>
      </c>
      <c r="BF167" t="str">
        <f>HYPERLINK("http://dx.doi.org/10.1007/s10901-023-10055-9","http://dx.doi.org/10.1007/s10901-023-10055-9")</f>
        <v>http://dx.doi.org/10.1007/s10901-023-10055-9</v>
      </c>
      <c r="BG167" t="s">
        <v>74</v>
      </c>
      <c r="BH167" t="s">
        <v>2079</v>
      </c>
      <c r="BI167">
        <v>22</v>
      </c>
      <c r="BJ167" t="s">
        <v>3395</v>
      </c>
      <c r="BK167" t="s">
        <v>425</v>
      </c>
      <c r="BL167" t="s">
        <v>3396</v>
      </c>
      <c r="BM167" t="s">
        <v>3397</v>
      </c>
      <c r="BN167" t="s">
        <v>74</v>
      </c>
      <c r="BO167" t="s">
        <v>74</v>
      </c>
      <c r="BP167" t="s">
        <v>74</v>
      </c>
      <c r="BQ167" t="s">
        <v>74</v>
      </c>
      <c r="BR167" t="s">
        <v>99</v>
      </c>
      <c r="BS167" t="s">
        <v>3398</v>
      </c>
      <c r="BT167" t="str">
        <f>HYPERLINK("https%3A%2F%2Fwww.webofscience.com%2Fwos%2Fwoscc%2Ffull-record%2FWOS:001066418900001","View Full Record in Web of Science")</f>
        <v>View Full Record in Web of Science</v>
      </c>
    </row>
    <row r="168" spans="1:72" x14ac:dyDescent="0.15">
      <c r="A168" t="s">
        <v>72</v>
      </c>
      <c r="B168" t="s">
        <v>3399</v>
      </c>
      <c r="C168" t="s">
        <v>74</v>
      </c>
      <c r="D168" t="s">
        <v>74</v>
      </c>
      <c r="E168" t="s">
        <v>74</v>
      </c>
      <c r="F168" t="s">
        <v>3400</v>
      </c>
      <c r="G168" t="s">
        <v>74</v>
      </c>
      <c r="H168" t="s">
        <v>74</v>
      </c>
      <c r="I168" t="s">
        <v>3401</v>
      </c>
      <c r="J168" t="s">
        <v>3402</v>
      </c>
      <c r="K168" t="s">
        <v>74</v>
      </c>
      <c r="L168" t="s">
        <v>74</v>
      </c>
      <c r="M168" t="s">
        <v>78</v>
      </c>
      <c r="N168" t="s">
        <v>79</v>
      </c>
      <c r="O168" t="s">
        <v>74</v>
      </c>
      <c r="P168" t="s">
        <v>74</v>
      </c>
      <c r="Q168" t="s">
        <v>74</v>
      </c>
      <c r="R168" t="s">
        <v>74</v>
      </c>
      <c r="S168" t="s">
        <v>74</v>
      </c>
      <c r="T168" t="s">
        <v>3403</v>
      </c>
      <c r="U168" t="s">
        <v>3404</v>
      </c>
      <c r="V168" t="s">
        <v>3405</v>
      </c>
      <c r="W168" t="s">
        <v>3406</v>
      </c>
      <c r="X168" t="s">
        <v>3407</v>
      </c>
      <c r="Y168" t="s">
        <v>3408</v>
      </c>
      <c r="Z168" t="s">
        <v>3409</v>
      </c>
      <c r="AA168" t="s">
        <v>74</v>
      </c>
      <c r="AB168" t="s">
        <v>74</v>
      </c>
      <c r="AC168" t="s">
        <v>2755</v>
      </c>
      <c r="AD168" t="s">
        <v>2755</v>
      </c>
      <c r="AE168" t="s">
        <v>2755</v>
      </c>
      <c r="AF168" t="s">
        <v>74</v>
      </c>
      <c r="AG168">
        <v>34</v>
      </c>
      <c r="AH168">
        <v>0</v>
      </c>
      <c r="AI168">
        <v>0</v>
      </c>
      <c r="AJ168">
        <v>0</v>
      </c>
      <c r="AK168">
        <v>0</v>
      </c>
      <c r="AL168" t="s">
        <v>443</v>
      </c>
      <c r="AM168" t="s">
        <v>245</v>
      </c>
      <c r="AN168" t="s">
        <v>444</v>
      </c>
      <c r="AO168" t="s">
        <v>3410</v>
      </c>
      <c r="AP168" t="s">
        <v>3411</v>
      </c>
      <c r="AQ168" t="s">
        <v>74</v>
      </c>
      <c r="AR168" t="s">
        <v>3412</v>
      </c>
      <c r="AS168" t="s">
        <v>3413</v>
      </c>
      <c r="AT168" t="s">
        <v>3330</v>
      </c>
      <c r="AU168">
        <v>2023</v>
      </c>
      <c r="AV168">
        <v>28</v>
      </c>
      <c r="AW168">
        <v>1</v>
      </c>
      <c r="AX168" t="s">
        <v>74</v>
      </c>
      <c r="AY168" t="s">
        <v>74</v>
      </c>
      <c r="AZ168" t="s">
        <v>74</v>
      </c>
      <c r="BA168" t="s">
        <v>74</v>
      </c>
      <c r="BB168" t="s">
        <v>74</v>
      </c>
      <c r="BC168" t="s">
        <v>74</v>
      </c>
      <c r="BD168">
        <v>355</v>
      </c>
      <c r="BE168" t="s">
        <v>3414</v>
      </c>
      <c r="BF168" t="str">
        <f>HYPERLINK("http://dx.doi.org/10.1186/s40001-023-01188-2","http://dx.doi.org/10.1186/s40001-023-01188-2")</f>
        <v>http://dx.doi.org/10.1186/s40001-023-01188-2</v>
      </c>
      <c r="BG168" t="s">
        <v>74</v>
      </c>
      <c r="BH168" t="s">
        <v>74</v>
      </c>
      <c r="BI168">
        <v>10</v>
      </c>
      <c r="BJ168" t="s">
        <v>3415</v>
      </c>
      <c r="BK168" t="s">
        <v>126</v>
      </c>
      <c r="BL168" t="s">
        <v>3416</v>
      </c>
      <c r="BM168" t="s">
        <v>3417</v>
      </c>
      <c r="BN168">
        <v>37726807</v>
      </c>
      <c r="BO168" t="s">
        <v>302</v>
      </c>
      <c r="BP168" t="s">
        <v>74</v>
      </c>
      <c r="BQ168" t="s">
        <v>74</v>
      </c>
      <c r="BR168" t="s">
        <v>99</v>
      </c>
      <c r="BS168" t="s">
        <v>3418</v>
      </c>
      <c r="BT168" t="str">
        <f>HYPERLINK("https%3A%2F%2Fwww.webofscience.com%2Fwos%2Fwoscc%2Ffull-record%2FWOS:001068276200001","View Full Record in Web of Science")</f>
        <v>View Full Record in Web of Science</v>
      </c>
    </row>
    <row r="169" spans="1:72" x14ac:dyDescent="0.15">
      <c r="A169" t="s">
        <v>72</v>
      </c>
      <c r="B169" t="s">
        <v>3419</v>
      </c>
      <c r="C169" t="s">
        <v>74</v>
      </c>
      <c r="D169" t="s">
        <v>74</v>
      </c>
      <c r="E169" t="s">
        <v>74</v>
      </c>
      <c r="F169" t="s">
        <v>3420</v>
      </c>
      <c r="G169" t="s">
        <v>74</v>
      </c>
      <c r="H169" t="s">
        <v>74</v>
      </c>
      <c r="I169" t="s">
        <v>3421</v>
      </c>
      <c r="J169" t="s">
        <v>3422</v>
      </c>
      <c r="K169" t="s">
        <v>74</v>
      </c>
      <c r="L169" t="s">
        <v>74</v>
      </c>
      <c r="M169" t="s">
        <v>78</v>
      </c>
      <c r="N169" t="s">
        <v>1246</v>
      </c>
      <c r="O169" t="s">
        <v>74</v>
      </c>
      <c r="P169" t="s">
        <v>74</v>
      </c>
      <c r="Q169" t="s">
        <v>74</v>
      </c>
      <c r="R169" t="s">
        <v>74</v>
      </c>
      <c r="S169" t="s">
        <v>74</v>
      </c>
      <c r="T169" t="s">
        <v>3423</v>
      </c>
      <c r="U169" t="s">
        <v>3424</v>
      </c>
      <c r="V169" t="s">
        <v>3425</v>
      </c>
      <c r="W169" t="s">
        <v>3426</v>
      </c>
      <c r="X169" t="s">
        <v>3427</v>
      </c>
      <c r="Y169" t="s">
        <v>3428</v>
      </c>
      <c r="Z169" t="s">
        <v>3429</v>
      </c>
      <c r="AA169" t="s">
        <v>74</v>
      </c>
      <c r="AB169" t="s">
        <v>74</v>
      </c>
      <c r="AC169" t="s">
        <v>3430</v>
      </c>
      <c r="AD169" t="s">
        <v>3431</v>
      </c>
      <c r="AE169" t="s">
        <v>3432</v>
      </c>
      <c r="AF169" t="s">
        <v>74</v>
      </c>
      <c r="AG169">
        <v>53</v>
      </c>
      <c r="AH169">
        <v>0</v>
      </c>
      <c r="AI169">
        <v>0</v>
      </c>
      <c r="AJ169">
        <v>0</v>
      </c>
      <c r="AK169">
        <v>0</v>
      </c>
      <c r="AL169" t="s">
        <v>1295</v>
      </c>
      <c r="AM169" t="s">
        <v>1296</v>
      </c>
      <c r="AN169" t="s">
        <v>1297</v>
      </c>
      <c r="AO169" t="s">
        <v>3433</v>
      </c>
      <c r="AP169" t="s">
        <v>3434</v>
      </c>
      <c r="AQ169" t="s">
        <v>74</v>
      </c>
      <c r="AR169" t="s">
        <v>3435</v>
      </c>
      <c r="AS169" t="s">
        <v>3436</v>
      </c>
      <c r="AT169" t="s">
        <v>3289</v>
      </c>
      <c r="AU169">
        <v>2023</v>
      </c>
      <c r="AV169" t="s">
        <v>74</v>
      </c>
      <c r="AW169" t="s">
        <v>74</v>
      </c>
      <c r="AX169" t="s">
        <v>74</v>
      </c>
      <c r="AY169" t="s">
        <v>74</v>
      </c>
      <c r="AZ169" t="s">
        <v>74</v>
      </c>
      <c r="BA169" t="s">
        <v>74</v>
      </c>
      <c r="BB169" t="s">
        <v>74</v>
      </c>
      <c r="BC169" t="s">
        <v>74</v>
      </c>
      <c r="BD169" t="s">
        <v>74</v>
      </c>
      <c r="BE169" t="s">
        <v>3437</v>
      </c>
      <c r="BF169" t="str">
        <f>HYPERLINK("http://dx.doi.org/10.1007/s10072-023-07065-4","http://dx.doi.org/10.1007/s10072-023-07065-4")</f>
        <v>http://dx.doi.org/10.1007/s10072-023-07065-4</v>
      </c>
      <c r="BG169" t="s">
        <v>74</v>
      </c>
      <c r="BH169" t="s">
        <v>2079</v>
      </c>
      <c r="BI169">
        <v>9</v>
      </c>
      <c r="BJ169" t="s">
        <v>2803</v>
      </c>
      <c r="BK169" t="s">
        <v>126</v>
      </c>
      <c r="BL169" t="s">
        <v>2057</v>
      </c>
      <c r="BM169" t="s">
        <v>3438</v>
      </c>
      <c r="BN169">
        <v>37723371</v>
      </c>
      <c r="BO169" t="s">
        <v>183</v>
      </c>
      <c r="BP169" t="s">
        <v>74</v>
      </c>
      <c r="BQ169" t="s">
        <v>74</v>
      </c>
      <c r="BR169" t="s">
        <v>99</v>
      </c>
      <c r="BS169" t="s">
        <v>3439</v>
      </c>
      <c r="BT169" t="str">
        <f>HYPERLINK("https%3A%2F%2Fwww.webofscience.com%2Fwos%2Fwoscc%2Ffull-record%2FWOS:001070901100001","View Full Record in Web of Science")</f>
        <v>View Full Record in Web of Science</v>
      </c>
    </row>
    <row r="170" spans="1:72" x14ac:dyDescent="0.15">
      <c r="A170" t="s">
        <v>72</v>
      </c>
      <c r="B170" t="s">
        <v>3440</v>
      </c>
      <c r="C170" t="s">
        <v>74</v>
      </c>
      <c r="D170" t="s">
        <v>74</v>
      </c>
      <c r="E170" t="s">
        <v>74</v>
      </c>
      <c r="F170" t="s">
        <v>3441</v>
      </c>
      <c r="G170" t="s">
        <v>74</v>
      </c>
      <c r="H170" t="s">
        <v>74</v>
      </c>
      <c r="I170" t="s">
        <v>3442</v>
      </c>
      <c r="J170" t="s">
        <v>3443</v>
      </c>
      <c r="K170" t="s">
        <v>74</v>
      </c>
      <c r="L170" t="s">
        <v>74</v>
      </c>
      <c r="M170" t="s">
        <v>78</v>
      </c>
      <c r="N170" t="s">
        <v>79</v>
      </c>
      <c r="O170" t="s">
        <v>74</v>
      </c>
      <c r="P170" t="s">
        <v>74</v>
      </c>
      <c r="Q170" t="s">
        <v>74</v>
      </c>
      <c r="R170" t="s">
        <v>74</v>
      </c>
      <c r="S170" t="s">
        <v>74</v>
      </c>
      <c r="T170" t="s">
        <v>3444</v>
      </c>
      <c r="U170" t="s">
        <v>3445</v>
      </c>
      <c r="V170" t="s">
        <v>3446</v>
      </c>
      <c r="W170" t="s">
        <v>3447</v>
      </c>
      <c r="X170" t="s">
        <v>3448</v>
      </c>
      <c r="Y170" t="s">
        <v>3449</v>
      </c>
      <c r="Z170" t="s">
        <v>3450</v>
      </c>
      <c r="AA170" t="s">
        <v>74</v>
      </c>
      <c r="AB170" t="s">
        <v>74</v>
      </c>
      <c r="AC170" t="s">
        <v>932</v>
      </c>
      <c r="AD170" t="s">
        <v>932</v>
      </c>
      <c r="AE170" t="s">
        <v>932</v>
      </c>
      <c r="AF170" t="s">
        <v>74</v>
      </c>
      <c r="AG170">
        <v>26</v>
      </c>
      <c r="AH170">
        <v>0</v>
      </c>
      <c r="AI170">
        <v>0</v>
      </c>
      <c r="AJ170">
        <v>0</v>
      </c>
      <c r="AK170">
        <v>0</v>
      </c>
      <c r="AL170" t="s">
        <v>443</v>
      </c>
      <c r="AM170" t="s">
        <v>245</v>
      </c>
      <c r="AN170" t="s">
        <v>444</v>
      </c>
      <c r="AO170" t="s">
        <v>3451</v>
      </c>
      <c r="AP170" t="s">
        <v>74</v>
      </c>
      <c r="AQ170" t="s">
        <v>74</v>
      </c>
      <c r="AR170" t="s">
        <v>3452</v>
      </c>
      <c r="AS170" t="s">
        <v>3453</v>
      </c>
      <c r="AT170" t="s">
        <v>3330</v>
      </c>
      <c r="AU170">
        <v>2023</v>
      </c>
      <c r="AV170">
        <v>31</v>
      </c>
      <c r="AW170">
        <v>1</v>
      </c>
      <c r="AX170" t="s">
        <v>74</v>
      </c>
      <c r="AY170" t="s">
        <v>74</v>
      </c>
      <c r="AZ170" t="s">
        <v>74</v>
      </c>
      <c r="BA170" t="s">
        <v>74</v>
      </c>
      <c r="BB170" t="s">
        <v>74</v>
      </c>
      <c r="BC170" t="s">
        <v>74</v>
      </c>
      <c r="BD170">
        <v>49</v>
      </c>
      <c r="BE170" t="s">
        <v>3454</v>
      </c>
      <c r="BF170" t="str">
        <f>HYPERLINK("http://dx.doi.org/10.1186/s13049-023-01119-4","http://dx.doi.org/10.1186/s13049-023-01119-4")</f>
        <v>http://dx.doi.org/10.1186/s13049-023-01119-4</v>
      </c>
      <c r="BG170" t="s">
        <v>74</v>
      </c>
      <c r="BH170" t="s">
        <v>74</v>
      </c>
      <c r="BI170">
        <v>6</v>
      </c>
      <c r="BJ170" t="s">
        <v>3455</v>
      </c>
      <c r="BK170" t="s">
        <v>126</v>
      </c>
      <c r="BL170" t="s">
        <v>3455</v>
      </c>
      <c r="BM170" t="s">
        <v>3456</v>
      </c>
      <c r="BN170">
        <v>37726847</v>
      </c>
      <c r="BO170" t="s">
        <v>302</v>
      </c>
      <c r="BP170" t="s">
        <v>74</v>
      </c>
      <c r="BQ170" t="s">
        <v>74</v>
      </c>
      <c r="BR170" t="s">
        <v>99</v>
      </c>
      <c r="BS170" t="s">
        <v>3457</v>
      </c>
      <c r="BT170" t="str">
        <f>HYPERLINK("https%3A%2F%2Fwww.webofscience.com%2Fwos%2Fwoscc%2Ffull-record%2FWOS:001070217300001","View Full Record in Web of Science")</f>
        <v>View Full Record in Web of Science</v>
      </c>
    </row>
    <row r="171" spans="1:72" x14ac:dyDescent="0.15">
      <c r="A171" t="s">
        <v>72</v>
      </c>
      <c r="B171" t="s">
        <v>3458</v>
      </c>
      <c r="C171" t="s">
        <v>74</v>
      </c>
      <c r="D171" t="s">
        <v>74</v>
      </c>
      <c r="E171" t="s">
        <v>74</v>
      </c>
      <c r="F171" t="s">
        <v>3459</v>
      </c>
      <c r="G171" t="s">
        <v>74</v>
      </c>
      <c r="H171" t="s">
        <v>74</v>
      </c>
      <c r="I171" t="s">
        <v>3460</v>
      </c>
      <c r="J171" t="s">
        <v>3232</v>
      </c>
      <c r="K171" t="s">
        <v>74</v>
      </c>
      <c r="L171" t="s">
        <v>74</v>
      </c>
      <c r="M171" t="s">
        <v>78</v>
      </c>
      <c r="N171" t="s">
        <v>1246</v>
      </c>
      <c r="O171" t="s">
        <v>74</v>
      </c>
      <c r="P171" t="s">
        <v>74</v>
      </c>
      <c r="Q171" t="s">
        <v>74</v>
      </c>
      <c r="R171" t="s">
        <v>74</v>
      </c>
      <c r="S171" t="s">
        <v>74</v>
      </c>
      <c r="T171" t="s">
        <v>3461</v>
      </c>
      <c r="U171" t="s">
        <v>3462</v>
      </c>
      <c r="V171" t="s">
        <v>3463</v>
      </c>
      <c r="W171" t="s">
        <v>3464</v>
      </c>
      <c r="X171" t="s">
        <v>3465</v>
      </c>
      <c r="Y171" t="s">
        <v>3466</v>
      </c>
      <c r="Z171" t="s">
        <v>3467</v>
      </c>
      <c r="AA171" t="s">
        <v>74</v>
      </c>
      <c r="AB171" t="s">
        <v>74</v>
      </c>
      <c r="AC171" t="s">
        <v>74</v>
      </c>
      <c r="AD171" t="s">
        <v>74</v>
      </c>
      <c r="AE171" t="s">
        <v>74</v>
      </c>
      <c r="AF171" t="s">
        <v>74</v>
      </c>
      <c r="AG171">
        <v>180</v>
      </c>
      <c r="AH171">
        <v>0</v>
      </c>
      <c r="AI171">
        <v>0</v>
      </c>
      <c r="AJ171">
        <v>0</v>
      </c>
      <c r="AK171">
        <v>0</v>
      </c>
      <c r="AL171" t="s">
        <v>269</v>
      </c>
      <c r="AM171" t="s">
        <v>118</v>
      </c>
      <c r="AN171" t="s">
        <v>270</v>
      </c>
      <c r="AO171" t="s">
        <v>3242</v>
      </c>
      <c r="AP171" t="s">
        <v>3243</v>
      </c>
      <c r="AQ171" t="s">
        <v>74</v>
      </c>
      <c r="AR171" t="s">
        <v>3244</v>
      </c>
      <c r="AS171" t="s">
        <v>3245</v>
      </c>
      <c r="AT171" t="s">
        <v>3289</v>
      </c>
      <c r="AU171">
        <v>2023</v>
      </c>
      <c r="AV171" t="s">
        <v>74</v>
      </c>
      <c r="AW171" t="s">
        <v>74</v>
      </c>
      <c r="AX171" t="s">
        <v>74</v>
      </c>
      <c r="AY171" t="s">
        <v>74</v>
      </c>
      <c r="AZ171" t="s">
        <v>74</v>
      </c>
      <c r="BA171" t="s">
        <v>74</v>
      </c>
      <c r="BB171" t="s">
        <v>74</v>
      </c>
      <c r="BC171" t="s">
        <v>74</v>
      </c>
      <c r="BD171" t="s">
        <v>74</v>
      </c>
      <c r="BE171" t="s">
        <v>3468</v>
      </c>
      <c r="BF171" t="str">
        <f>HYPERLINK("http://dx.doi.org/10.1007/s10815-023-02934-5","http://dx.doi.org/10.1007/s10815-023-02934-5")</f>
        <v>http://dx.doi.org/10.1007/s10815-023-02934-5</v>
      </c>
      <c r="BG171" t="s">
        <v>74</v>
      </c>
      <c r="BH171" t="s">
        <v>2079</v>
      </c>
      <c r="BI171">
        <v>17</v>
      </c>
      <c r="BJ171" t="s">
        <v>3247</v>
      </c>
      <c r="BK171" t="s">
        <v>126</v>
      </c>
      <c r="BL171" t="s">
        <v>3247</v>
      </c>
      <c r="BM171" t="s">
        <v>3469</v>
      </c>
      <c r="BN171">
        <v>37725178</v>
      </c>
      <c r="BO171" t="s">
        <v>74</v>
      </c>
      <c r="BP171" t="s">
        <v>74</v>
      </c>
      <c r="BQ171" t="s">
        <v>74</v>
      </c>
      <c r="BR171" t="s">
        <v>99</v>
      </c>
      <c r="BS171" t="s">
        <v>3470</v>
      </c>
      <c r="BT171" t="str">
        <f>HYPERLINK("https%3A%2F%2Fwww.webofscience.com%2Fwos%2Fwoscc%2Ffull-record%2FWOS:001068845700001","View Full Record in Web of Science")</f>
        <v>View Full Record in Web of Science</v>
      </c>
    </row>
    <row r="172" spans="1:72" x14ac:dyDescent="0.15">
      <c r="A172" t="s">
        <v>72</v>
      </c>
      <c r="B172" t="s">
        <v>3471</v>
      </c>
      <c r="C172" t="s">
        <v>74</v>
      </c>
      <c r="D172" t="s">
        <v>74</v>
      </c>
      <c r="E172" t="s">
        <v>74</v>
      </c>
      <c r="F172" t="s">
        <v>3472</v>
      </c>
      <c r="G172" t="s">
        <v>74</v>
      </c>
      <c r="H172" t="s">
        <v>74</v>
      </c>
      <c r="I172" t="s">
        <v>3473</v>
      </c>
      <c r="J172" t="s">
        <v>3474</v>
      </c>
      <c r="K172" t="s">
        <v>74</v>
      </c>
      <c r="L172" t="s">
        <v>74</v>
      </c>
      <c r="M172" t="s">
        <v>78</v>
      </c>
      <c r="N172" t="s">
        <v>79</v>
      </c>
      <c r="O172" t="s">
        <v>74</v>
      </c>
      <c r="P172" t="s">
        <v>74</v>
      </c>
      <c r="Q172" t="s">
        <v>74</v>
      </c>
      <c r="R172" t="s">
        <v>74</v>
      </c>
      <c r="S172" t="s">
        <v>74</v>
      </c>
      <c r="T172" t="s">
        <v>3475</v>
      </c>
      <c r="U172" t="s">
        <v>3476</v>
      </c>
      <c r="V172" t="s">
        <v>3477</v>
      </c>
      <c r="W172" t="s">
        <v>3478</v>
      </c>
      <c r="X172" t="s">
        <v>3479</v>
      </c>
      <c r="Y172" t="s">
        <v>3480</v>
      </c>
      <c r="Z172" t="s">
        <v>3481</v>
      </c>
      <c r="AA172" t="s">
        <v>74</v>
      </c>
      <c r="AB172" t="s">
        <v>3482</v>
      </c>
      <c r="AC172" t="s">
        <v>932</v>
      </c>
      <c r="AD172" t="s">
        <v>932</v>
      </c>
      <c r="AE172" t="s">
        <v>932</v>
      </c>
      <c r="AF172" t="s">
        <v>74</v>
      </c>
      <c r="AG172">
        <v>45</v>
      </c>
      <c r="AH172">
        <v>0</v>
      </c>
      <c r="AI172">
        <v>0</v>
      </c>
      <c r="AJ172">
        <v>0</v>
      </c>
      <c r="AK172">
        <v>0</v>
      </c>
      <c r="AL172" t="s">
        <v>443</v>
      </c>
      <c r="AM172" t="s">
        <v>245</v>
      </c>
      <c r="AN172" t="s">
        <v>444</v>
      </c>
      <c r="AO172" t="s">
        <v>3483</v>
      </c>
      <c r="AP172" t="s">
        <v>74</v>
      </c>
      <c r="AQ172" t="s">
        <v>74</v>
      </c>
      <c r="AR172" t="s">
        <v>3474</v>
      </c>
      <c r="AS172" t="s">
        <v>3484</v>
      </c>
      <c r="AT172" t="s">
        <v>3330</v>
      </c>
      <c r="AU172">
        <v>2023</v>
      </c>
      <c r="AV172">
        <v>23</v>
      </c>
      <c r="AW172">
        <v>1</v>
      </c>
      <c r="AX172" t="s">
        <v>74</v>
      </c>
      <c r="AY172" t="s">
        <v>74</v>
      </c>
      <c r="AZ172" t="s">
        <v>74</v>
      </c>
      <c r="BA172" t="s">
        <v>74</v>
      </c>
      <c r="BB172" t="s">
        <v>74</v>
      </c>
      <c r="BC172" t="s">
        <v>74</v>
      </c>
      <c r="BD172">
        <v>675</v>
      </c>
      <c r="BE172" t="s">
        <v>3485</v>
      </c>
      <c r="BF172" t="str">
        <f>HYPERLINK("http://dx.doi.org/10.1186/s12903-023-03416-x","http://dx.doi.org/10.1186/s12903-023-03416-x")</f>
        <v>http://dx.doi.org/10.1186/s12903-023-03416-x</v>
      </c>
      <c r="BG172" t="s">
        <v>74</v>
      </c>
      <c r="BH172" t="s">
        <v>74</v>
      </c>
      <c r="BI172">
        <v>11</v>
      </c>
      <c r="BJ172" t="s">
        <v>3486</v>
      </c>
      <c r="BK172" t="s">
        <v>126</v>
      </c>
      <c r="BL172" t="s">
        <v>3486</v>
      </c>
      <c r="BM172" t="s">
        <v>3487</v>
      </c>
      <c r="BN172">
        <v>37723536</v>
      </c>
      <c r="BO172" t="s">
        <v>302</v>
      </c>
      <c r="BP172" t="s">
        <v>74</v>
      </c>
      <c r="BQ172" t="s">
        <v>74</v>
      </c>
      <c r="BR172" t="s">
        <v>99</v>
      </c>
      <c r="BS172" t="s">
        <v>3488</v>
      </c>
      <c r="BT172" t="str">
        <f>HYPERLINK("https%3A%2F%2Fwww.webofscience.com%2Fwos%2Fwoscc%2Ffull-record%2FWOS:001068707500001","View Full Record in Web of Science")</f>
        <v>View Full Record in Web of Science</v>
      </c>
    </row>
    <row r="173" spans="1:72" x14ac:dyDescent="0.15">
      <c r="A173" t="s">
        <v>72</v>
      </c>
      <c r="B173" t="s">
        <v>3489</v>
      </c>
      <c r="C173" t="s">
        <v>74</v>
      </c>
      <c r="D173" t="s">
        <v>74</v>
      </c>
      <c r="E173" t="s">
        <v>74</v>
      </c>
      <c r="F173" t="s">
        <v>3490</v>
      </c>
      <c r="G173" t="s">
        <v>74</v>
      </c>
      <c r="H173" t="s">
        <v>74</v>
      </c>
      <c r="I173" t="s">
        <v>3491</v>
      </c>
      <c r="J173" t="s">
        <v>3492</v>
      </c>
      <c r="K173" t="s">
        <v>74</v>
      </c>
      <c r="L173" t="s">
        <v>74</v>
      </c>
      <c r="M173" t="s">
        <v>78</v>
      </c>
      <c r="N173" t="s">
        <v>1246</v>
      </c>
      <c r="O173" t="s">
        <v>74</v>
      </c>
      <c r="P173" t="s">
        <v>74</v>
      </c>
      <c r="Q173" t="s">
        <v>74</v>
      </c>
      <c r="R173" t="s">
        <v>74</v>
      </c>
      <c r="S173" t="s">
        <v>74</v>
      </c>
      <c r="T173" t="s">
        <v>3493</v>
      </c>
      <c r="U173" t="s">
        <v>3494</v>
      </c>
      <c r="V173" t="s">
        <v>3495</v>
      </c>
      <c r="W173" t="s">
        <v>3496</v>
      </c>
      <c r="X173" t="s">
        <v>74</v>
      </c>
      <c r="Y173" t="s">
        <v>3497</v>
      </c>
      <c r="Z173" t="s">
        <v>3498</v>
      </c>
      <c r="AA173" t="s">
        <v>74</v>
      </c>
      <c r="AB173" t="s">
        <v>74</v>
      </c>
      <c r="AC173" t="s">
        <v>74</v>
      </c>
      <c r="AD173" t="s">
        <v>74</v>
      </c>
      <c r="AE173" t="s">
        <v>74</v>
      </c>
      <c r="AF173" t="s">
        <v>74</v>
      </c>
      <c r="AG173">
        <v>107</v>
      </c>
      <c r="AH173">
        <v>0</v>
      </c>
      <c r="AI173">
        <v>0</v>
      </c>
      <c r="AJ173">
        <v>0</v>
      </c>
      <c r="AK173">
        <v>0</v>
      </c>
      <c r="AL173" t="s">
        <v>172</v>
      </c>
      <c r="AM173" t="s">
        <v>173</v>
      </c>
      <c r="AN173" t="s">
        <v>174</v>
      </c>
      <c r="AO173" t="s">
        <v>3499</v>
      </c>
      <c r="AP173" t="s">
        <v>3500</v>
      </c>
      <c r="AQ173" t="s">
        <v>74</v>
      </c>
      <c r="AR173" t="s">
        <v>3501</v>
      </c>
      <c r="AS173" t="s">
        <v>3502</v>
      </c>
      <c r="AT173" t="s">
        <v>3289</v>
      </c>
      <c r="AU173">
        <v>2023</v>
      </c>
      <c r="AV173" t="s">
        <v>74</v>
      </c>
      <c r="AW173" t="s">
        <v>74</v>
      </c>
      <c r="AX173" t="s">
        <v>74</v>
      </c>
      <c r="AY173" t="s">
        <v>74</v>
      </c>
      <c r="AZ173" t="s">
        <v>74</v>
      </c>
      <c r="BA173" t="s">
        <v>74</v>
      </c>
      <c r="BB173" t="s">
        <v>74</v>
      </c>
      <c r="BC173" t="s">
        <v>74</v>
      </c>
      <c r="BD173" t="s">
        <v>74</v>
      </c>
      <c r="BE173" t="s">
        <v>3503</v>
      </c>
      <c r="BF173" t="str">
        <f>HYPERLINK("http://dx.doi.org/10.1007/s43217-023-00149-3","http://dx.doi.org/10.1007/s43217-023-00149-3")</f>
        <v>http://dx.doi.org/10.1007/s43217-023-00149-3</v>
      </c>
      <c r="BG173" t="s">
        <v>74</v>
      </c>
      <c r="BH173" t="s">
        <v>2079</v>
      </c>
      <c r="BI173">
        <v>18</v>
      </c>
      <c r="BJ173" t="s">
        <v>1346</v>
      </c>
      <c r="BK173" t="s">
        <v>97</v>
      </c>
      <c r="BL173" t="s">
        <v>1347</v>
      </c>
      <c r="BM173" t="s">
        <v>3504</v>
      </c>
      <c r="BN173" t="s">
        <v>74</v>
      </c>
      <c r="BO173" t="s">
        <v>74</v>
      </c>
      <c r="BP173" t="s">
        <v>74</v>
      </c>
      <c r="BQ173" t="s">
        <v>74</v>
      </c>
      <c r="BR173" t="s">
        <v>99</v>
      </c>
      <c r="BS173" t="s">
        <v>3505</v>
      </c>
      <c r="BT173" t="str">
        <f>HYPERLINK("https%3A%2F%2Fwww.webofscience.com%2Fwos%2Fwoscc%2Ffull-record%2FWOS:001067644100001","View Full Record in Web of Science")</f>
        <v>View Full Record in Web of Science</v>
      </c>
    </row>
    <row r="174" spans="1:72" x14ac:dyDescent="0.15">
      <c r="A174" t="s">
        <v>72</v>
      </c>
      <c r="B174" t="s">
        <v>3506</v>
      </c>
      <c r="C174" t="s">
        <v>74</v>
      </c>
      <c r="D174" t="s">
        <v>74</v>
      </c>
      <c r="E174" t="s">
        <v>74</v>
      </c>
      <c r="F174" t="s">
        <v>3507</v>
      </c>
      <c r="G174" t="s">
        <v>74</v>
      </c>
      <c r="H174" t="s">
        <v>74</v>
      </c>
      <c r="I174" t="s">
        <v>3508</v>
      </c>
      <c r="J174" t="s">
        <v>3509</v>
      </c>
      <c r="K174" t="s">
        <v>74</v>
      </c>
      <c r="L174" t="s">
        <v>74</v>
      </c>
      <c r="M174" t="s">
        <v>78</v>
      </c>
      <c r="N174" t="s">
        <v>1246</v>
      </c>
      <c r="O174" t="s">
        <v>74</v>
      </c>
      <c r="P174" t="s">
        <v>74</v>
      </c>
      <c r="Q174" t="s">
        <v>74</v>
      </c>
      <c r="R174" t="s">
        <v>74</v>
      </c>
      <c r="S174" t="s">
        <v>74</v>
      </c>
      <c r="T174" t="s">
        <v>3510</v>
      </c>
      <c r="U174" t="s">
        <v>3511</v>
      </c>
      <c r="V174" t="s">
        <v>3512</v>
      </c>
      <c r="W174" t="s">
        <v>3513</v>
      </c>
      <c r="X174" t="s">
        <v>3514</v>
      </c>
      <c r="Y174" t="s">
        <v>3515</v>
      </c>
      <c r="Z174" t="s">
        <v>3516</v>
      </c>
      <c r="AA174" t="s">
        <v>74</v>
      </c>
      <c r="AB174" t="s">
        <v>74</v>
      </c>
      <c r="AC174" t="s">
        <v>3517</v>
      </c>
      <c r="AD174" t="s">
        <v>3517</v>
      </c>
      <c r="AE174" t="s">
        <v>3518</v>
      </c>
      <c r="AF174" t="s">
        <v>74</v>
      </c>
      <c r="AG174">
        <v>117</v>
      </c>
      <c r="AH174">
        <v>0</v>
      </c>
      <c r="AI174">
        <v>0</v>
      </c>
      <c r="AJ174">
        <v>0</v>
      </c>
      <c r="AK174">
        <v>0</v>
      </c>
      <c r="AL174" t="s">
        <v>172</v>
      </c>
      <c r="AM174" t="s">
        <v>173</v>
      </c>
      <c r="AN174" t="s">
        <v>174</v>
      </c>
      <c r="AO174" t="s">
        <v>3519</v>
      </c>
      <c r="AP174" t="s">
        <v>3520</v>
      </c>
      <c r="AQ174" t="s">
        <v>74</v>
      </c>
      <c r="AR174" t="s">
        <v>3521</v>
      </c>
      <c r="AS174" t="s">
        <v>3522</v>
      </c>
      <c r="AT174" t="s">
        <v>3289</v>
      </c>
      <c r="AU174">
        <v>2023</v>
      </c>
      <c r="AV174" t="s">
        <v>74</v>
      </c>
      <c r="AW174" t="s">
        <v>74</v>
      </c>
      <c r="AX174" t="s">
        <v>74</v>
      </c>
      <c r="AY174" t="s">
        <v>74</v>
      </c>
      <c r="AZ174" t="s">
        <v>74</v>
      </c>
      <c r="BA174" t="s">
        <v>74</v>
      </c>
      <c r="BB174" t="s">
        <v>74</v>
      </c>
      <c r="BC174" t="s">
        <v>74</v>
      </c>
      <c r="BD174" t="s">
        <v>74</v>
      </c>
      <c r="BE174" t="s">
        <v>3523</v>
      </c>
      <c r="BF174" t="str">
        <f>HYPERLINK("http://dx.doi.org/10.1007/s43032-023-01344-3","http://dx.doi.org/10.1007/s43032-023-01344-3")</f>
        <v>http://dx.doi.org/10.1007/s43032-023-01344-3</v>
      </c>
      <c r="BG174" t="s">
        <v>74</v>
      </c>
      <c r="BH174" t="s">
        <v>2079</v>
      </c>
      <c r="BI174">
        <v>17</v>
      </c>
      <c r="BJ174" t="s">
        <v>3524</v>
      </c>
      <c r="BK174" t="s">
        <v>126</v>
      </c>
      <c r="BL174" t="s">
        <v>3524</v>
      </c>
      <c r="BM174" t="s">
        <v>3525</v>
      </c>
      <c r="BN174">
        <v>37725247</v>
      </c>
      <c r="BO174" t="s">
        <v>183</v>
      </c>
      <c r="BP174" t="s">
        <v>74</v>
      </c>
      <c r="BQ174" t="s">
        <v>74</v>
      </c>
      <c r="BR174" t="s">
        <v>99</v>
      </c>
      <c r="BS174" t="s">
        <v>3526</v>
      </c>
      <c r="BT174" t="str">
        <f>HYPERLINK("https%3A%2F%2Fwww.webofscience.com%2Fwos%2Fwoscc%2Ffull-record%2FWOS:001068856700001","View Full Record in Web of Science")</f>
        <v>View Full Record in Web of Science</v>
      </c>
    </row>
    <row r="175" spans="1:72" x14ac:dyDescent="0.15">
      <c r="A175" t="s">
        <v>72</v>
      </c>
      <c r="B175" t="s">
        <v>3527</v>
      </c>
      <c r="C175" t="s">
        <v>74</v>
      </c>
      <c r="D175" t="s">
        <v>74</v>
      </c>
      <c r="E175" t="s">
        <v>74</v>
      </c>
      <c r="F175" t="s">
        <v>3528</v>
      </c>
      <c r="G175" t="s">
        <v>74</v>
      </c>
      <c r="H175" t="s">
        <v>74</v>
      </c>
      <c r="I175" t="s">
        <v>3529</v>
      </c>
      <c r="J175" t="s">
        <v>3530</v>
      </c>
      <c r="K175" t="s">
        <v>74</v>
      </c>
      <c r="L175" t="s">
        <v>74</v>
      </c>
      <c r="M175" t="s">
        <v>78</v>
      </c>
      <c r="N175" t="s">
        <v>2174</v>
      </c>
      <c r="O175" t="s">
        <v>74</v>
      </c>
      <c r="P175" t="s">
        <v>74</v>
      </c>
      <c r="Q175" t="s">
        <v>74</v>
      </c>
      <c r="R175" t="s">
        <v>74</v>
      </c>
      <c r="S175" t="s">
        <v>74</v>
      </c>
      <c r="T175" t="s">
        <v>3531</v>
      </c>
      <c r="U175" t="s">
        <v>3532</v>
      </c>
      <c r="V175" t="s">
        <v>3533</v>
      </c>
      <c r="W175" t="s">
        <v>3534</v>
      </c>
      <c r="X175" t="s">
        <v>3535</v>
      </c>
      <c r="Y175" t="s">
        <v>3536</v>
      </c>
      <c r="Z175" t="s">
        <v>3537</v>
      </c>
      <c r="AA175" t="s">
        <v>74</v>
      </c>
      <c r="AB175" t="s">
        <v>74</v>
      </c>
      <c r="AC175" t="s">
        <v>74</v>
      </c>
      <c r="AD175" t="s">
        <v>74</v>
      </c>
      <c r="AE175" t="s">
        <v>74</v>
      </c>
      <c r="AF175" t="s">
        <v>74</v>
      </c>
      <c r="AG175">
        <v>147</v>
      </c>
      <c r="AH175">
        <v>0</v>
      </c>
      <c r="AI175">
        <v>0</v>
      </c>
      <c r="AJ175">
        <v>0</v>
      </c>
      <c r="AK175">
        <v>0</v>
      </c>
      <c r="AL175" t="s">
        <v>172</v>
      </c>
      <c r="AM175" t="s">
        <v>173</v>
      </c>
      <c r="AN175" t="s">
        <v>174</v>
      </c>
      <c r="AO175" t="s">
        <v>3538</v>
      </c>
      <c r="AP175" t="s">
        <v>3539</v>
      </c>
      <c r="AQ175" t="s">
        <v>74</v>
      </c>
      <c r="AR175" t="s">
        <v>3540</v>
      </c>
      <c r="AS175" t="s">
        <v>3541</v>
      </c>
      <c r="AT175" t="s">
        <v>3289</v>
      </c>
      <c r="AU175">
        <v>2023</v>
      </c>
      <c r="AV175" t="s">
        <v>74</v>
      </c>
      <c r="AW175" t="s">
        <v>74</v>
      </c>
      <c r="AX175" t="s">
        <v>74</v>
      </c>
      <c r="AY175" t="s">
        <v>74</v>
      </c>
      <c r="AZ175" t="s">
        <v>74</v>
      </c>
      <c r="BA175" t="s">
        <v>74</v>
      </c>
      <c r="BB175" t="s">
        <v>74</v>
      </c>
      <c r="BC175" t="s">
        <v>74</v>
      </c>
      <c r="BD175" t="s">
        <v>74</v>
      </c>
      <c r="BE175" t="s">
        <v>3542</v>
      </c>
      <c r="BF175" t="str">
        <f>HYPERLINK("http://dx.doi.org/10.1007/s10257-023-00650-2","http://dx.doi.org/10.1007/s10257-023-00650-2")</f>
        <v>http://dx.doi.org/10.1007/s10257-023-00650-2</v>
      </c>
      <c r="BG175" t="s">
        <v>74</v>
      </c>
      <c r="BH175" t="s">
        <v>2079</v>
      </c>
      <c r="BI175">
        <v>42</v>
      </c>
      <c r="BJ175" t="s">
        <v>424</v>
      </c>
      <c r="BK175" t="s">
        <v>425</v>
      </c>
      <c r="BL175" t="s">
        <v>426</v>
      </c>
      <c r="BM175" t="s">
        <v>3543</v>
      </c>
      <c r="BN175" t="s">
        <v>74</v>
      </c>
      <c r="BO175" t="s">
        <v>183</v>
      </c>
      <c r="BP175" t="s">
        <v>74</v>
      </c>
      <c r="BQ175" t="s">
        <v>74</v>
      </c>
      <c r="BR175" t="s">
        <v>99</v>
      </c>
      <c r="BS175" t="s">
        <v>3544</v>
      </c>
      <c r="BT175" t="str">
        <f>HYPERLINK("https%3A%2F%2Fwww.webofscience.com%2Fwos%2Fwoscc%2Ffull-record%2FWOS:001067653600001","View Full Record in Web of Science")</f>
        <v>View Full Record in Web of Science</v>
      </c>
    </row>
    <row r="176" spans="1:72" x14ac:dyDescent="0.15">
      <c r="A176" t="s">
        <v>72</v>
      </c>
      <c r="B176" t="s">
        <v>3545</v>
      </c>
      <c r="C176" t="s">
        <v>74</v>
      </c>
      <c r="D176" t="s">
        <v>74</v>
      </c>
      <c r="E176" t="s">
        <v>74</v>
      </c>
      <c r="F176" t="s">
        <v>3546</v>
      </c>
      <c r="G176" t="s">
        <v>74</v>
      </c>
      <c r="H176" t="s">
        <v>74</v>
      </c>
      <c r="I176" t="s">
        <v>3547</v>
      </c>
      <c r="J176" t="s">
        <v>3361</v>
      </c>
      <c r="K176" t="s">
        <v>74</v>
      </c>
      <c r="L176" t="s">
        <v>74</v>
      </c>
      <c r="M176" t="s">
        <v>78</v>
      </c>
      <c r="N176" t="s">
        <v>79</v>
      </c>
      <c r="O176" t="s">
        <v>74</v>
      </c>
      <c r="P176" t="s">
        <v>74</v>
      </c>
      <c r="Q176" t="s">
        <v>74</v>
      </c>
      <c r="R176" t="s">
        <v>74</v>
      </c>
      <c r="S176" t="s">
        <v>74</v>
      </c>
      <c r="T176" t="s">
        <v>3548</v>
      </c>
      <c r="U176" t="s">
        <v>3549</v>
      </c>
      <c r="V176" t="s">
        <v>3550</v>
      </c>
      <c r="W176" t="s">
        <v>3551</v>
      </c>
      <c r="X176" t="s">
        <v>3552</v>
      </c>
      <c r="Y176" t="s">
        <v>3553</v>
      </c>
      <c r="Z176" t="s">
        <v>3554</v>
      </c>
      <c r="AA176" t="s">
        <v>74</v>
      </c>
      <c r="AB176" t="s">
        <v>74</v>
      </c>
      <c r="AC176" t="s">
        <v>3555</v>
      </c>
      <c r="AD176" t="s">
        <v>3555</v>
      </c>
      <c r="AE176" t="s">
        <v>3556</v>
      </c>
      <c r="AF176" t="s">
        <v>74</v>
      </c>
      <c r="AG176">
        <v>31</v>
      </c>
      <c r="AH176">
        <v>0</v>
      </c>
      <c r="AI176">
        <v>0</v>
      </c>
      <c r="AJ176">
        <v>0</v>
      </c>
      <c r="AK176">
        <v>0</v>
      </c>
      <c r="AL176" t="s">
        <v>443</v>
      </c>
      <c r="AM176" t="s">
        <v>245</v>
      </c>
      <c r="AN176" t="s">
        <v>444</v>
      </c>
      <c r="AO176" t="s">
        <v>74</v>
      </c>
      <c r="AP176" t="s">
        <v>3370</v>
      </c>
      <c r="AQ176" t="s">
        <v>74</v>
      </c>
      <c r="AR176" t="s">
        <v>3361</v>
      </c>
      <c r="AS176" t="s">
        <v>3371</v>
      </c>
      <c r="AT176" t="s">
        <v>3330</v>
      </c>
      <c r="AU176">
        <v>2023</v>
      </c>
      <c r="AV176">
        <v>23</v>
      </c>
      <c r="AW176">
        <v>1</v>
      </c>
      <c r="AX176" t="s">
        <v>74</v>
      </c>
      <c r="AY176" t="s">
        <v>74</v>
      </c>
      <c r="AZ176" t="s">
        <v>74</v>
      </c>
      <c r="BA176" t="s">
        <v>74</v>
      </c>
      <c r="BB176" t="s">
        <v>74</v>
      </c>
      <c r="BC176" t="s">
        <v>74</v>
      </c>
      <c r="BD176">
        <v>682</v>
      </c>
      <c r="BE176" t="s">
        <v>3557</v>
      </c>
      <c r="BF176" t="str">
        <f>HYPERLINK("http://dx.doi.org/10.1186/s12888-023-05165-1","http://dx.doi.org/10.1186/s12888-023-05165-1")</f>
        <v>http://dx.doi.org/10.1186/s12888-023-05165-1</v>
      </c>
      <c r="BG176" t="s">
        <v>74</v>
      </c>
      <c r="BH176" t="s">
        <v>74</v>
      </c>
      <c r="BI176">
        <v>14</v>
      </c>
      <c r="BJ176" t="s">
        <v>3373</v>
      </c>
      <c r="BK176" t="s">
        <v>126</v>
      </c>
      <c r="BL176" t="s">
        <v>3373</v>
      </c>
      <c r="BM176" t="s">
        <v>3374</v>
      </c>
      <c r="BN176">
        <v>37726709</v>
      </c>
      <c r="BO176" t="s">
        <v>302</v>
      </c>
      <c r="BP176" t="s">
        <v>74</v>
      </c>
      <c r="BQ176" t="s">
        <v>74</v>
      </c>
      <c r="BR176" t="s">
        <v>99</v>
      </c>
      <c r="BS176" t="s">
        <v>3558</v>
      </c>
      <c r="BT176" t="str">
        <f>HYPERLINK("https%3A%2F%2Fwww.webofscience.com%2Fwos%2Fwoscc%2Ffull-record%2FWOS:001069522200002","View Full Record in Web of Science")</f>
        <v>View Full Record in Web of Science</v>
      </c>
    </row>
    <row r="177" spans="1:72" x14ac:dyDescent="0.15">
      <c r="A177" t="s">
        <v>72</v>
      </c>
      <c r="B177" t="s">
        <v>3559</v>
      </c>
      <c r="C177" t="s">
        <v>74</v>
      </c>
      <c r="D177" t="s">
        <v>74</v>
      </c>
      <c r="E177" t="s">
        <v>74</v>
      </c>
      <c r="F177" t="s">
        <v>3560</v>
      </c>
      <c r="G177" t="s">
        <v>74</v>
      </c>
      <c r="H177" t="s">
        <v>74</v>
      </c>
      <c r="I177" t="s">
        <v>3561</v>
      </c>
      <c r="J177" t="s">
        <v>3562</v>
      </c>
      <c r="K177" t="s">
        <v>74</v>
      </c>
      <c r="L177" t="s">
        <v>74</v>
      </c>
      <c r="M177" t="s">
        <v>78</v>
      </c>
      <c r="N177" t="s">
        <v>79</v>
      </c>
      <c r="O177" t="s">
        <v>74</v>
      </c>
      <c r="P177" t="s">
        <v>74</v>
      </c>
      <c r="Q177" t="s">
        <v>74</v>
      </c>
      <c r="R177" t="s">
        <v>74</v>
      </c>
      <c r="S177" t="s">
        <v>74</v>
      </c>
      <c r="T177" t="s">
        <v>3563</v>
      </c>
      <c r="U177" t="s">
        <v>3564</v>
      </c>
      <c r="V177" t="s">
        <v>3565</v>
      </c>
      <c r="W177" t="s">
        <v>3566</v>
      </c>
      <c r="X177" t="s">
        <v>3567</v>
      </c>
      <c r="Y177" t="s">
        <v>3568</v>
      </c>
      <c r="Z177" t="s">
        <v>3569</v>
      </c>
      <c r="AA177" t="s">
        <v>74</v>
      </c>
      <c r="AB177" t="s">
        <v>74</v>
      </c>
      <c r="AC177" t="s">
        <v>932</v>
      </c>
      <c r="AD177" t="s">
        <v>932</v>
      </c>
      <c r="AE177" t="s">
        <v>932</v>
      </c>
      <c r="AF177" t="s">
        <v>74</v>
      </c>
      <c r="AG177">
        <v>36</v>
      </c>
      <c r="AH177">
        <v>0</v>
      </c>
      <c r="AI177">
        <v>0</v>
      </c>
      <c r="AJ177">
        <v>1</v>
      </c>
      <c r="AK177">
        <v>1</v>
      </c>
      <c r="AL177" t="s">
        <v>443</v>
      </c>
      <c r="AM177" t="s">
        <v>245</v>
      </c>
      <c r="AN177" t="s">
        <v>444</v>
      </c>
      <c r="AO177" t="s">
        <v>3570</v>
      </c>
      <c r="AP177" t="s">
        <v>74</v>
      </c>
      <c r="AQ177" t="s">
        <v>74</v>
      </c>
      <c r="AR177" t="s">
        <v>3571</v>
      </c>
      <c r="AS177" t="s">
        <v>3572</v>
      </c>
      <c r="AT177" t="s">
        <v>3330</v>
      </c>
      <c r="AU177">
        <v>2023</v>
      </c>
      <c r="AV177">
        <v>23</v>
      </c>
      <c r="AW177">
        <v>1</v>
      </c>
      <c r="AX177" t="s">
        <v>74</v>
      </c>
      <c r="AY177" t="s">
        <v>74</v>
      </c>
      <c r="AZ177" t="s">
        <v>74</v>
      </c>
      <c r="BA177" t="s">
        <v>74</v>
      </c>
      <c r="BB177" t="s">
        <v>74</v>
      </c>
      <c r="BC177" t="s">
        <v>74</v>
      </c>
      <c r="BD177">
        <v>319</v>
      </c>
      <c r="BE177" t="s">
        <v>3573</v>
      </c>
      <c r="BF177" t="str">
        <f>HYPERLINK("http://dx.doi.org/10.1186/s12871-023-02279-7","http://dx.doi.org/10.1186/s12871-023-02279-7")</f>
        <v>http://dx.doi.org/10.1186/s12871-023-02279-7</v>
      </c>
      <c r="BG177" t="s">
        <v>74</v>
      </c>
      <c r="BH177" t="s">
        <v>74</v>
      </c>
      <c r="BI177">
        <v>11</v>
      </c>
      <c r="BJ177" t="s">
        <v>3574</v>
      </c>
      <c r="BK177" t="s">
        <v>126</v>
      </c>
      <c r="BL177" t="s">
        <v>3574</v>
      </c>
      <c r="BM177" t="s">
        <v>3575</v>
      </c>
      <c r="BN177">
        <v>37726660</v>
      </c>
      <c r="BO177" t="s">
        <v>540</v>
      </c>
      <c r="BP177" t="s">
        <v>74</v>
      </c>
      <c r="BQ177" t="s">
        <v>74</v>
      </c>
      <c r="BR177" t="s">
        <v>99</v>
      </c>
      <c r="BS177" t="s">
        <v>3576</v>
      </c>
      <c r="BT177" t="str">
        <f>HYPERLINK("https%3A%2F%2Fwww.webofscience.com%2Fwos%2Fwoscc%2Ffull-record%2FWOS:001072106200002","View Full Record in Web of Science")</f>
        <v>View Full Record in Web of Science</v>
      </c>
    </row>
    <row r="178" spans="1:72" x14ac:dyDescent="0.15">
      <c r="A178" t="s">
        <v>72</v>
      </c>
      <c r="B178" t="s">
        <v>3577</v>
      </c>
      <c r="C178" t="s">
        <v>74</v>
      </c>
      <c r="D178" t="s">
        <v>74</v>
      </c>
      <c r="E178" t="s">
        <v>74</v>
      </c>
      <c r="F178" t="s">
        <v>3578</v>
      </c>
      <c r="G178" t="s">
        <v>74</v>
      </c>
      <c r="H178" t="s">
        <v>74</v>
      </c>
      <c r="I178" t="s">
        <v>3579</v>
      </c>
      <c r="J178" t="s">
        <v>3580</v>
      </c>
      <c r="K178" t="s">
        <v>74</v>
      </c>
      <c r="L178" t="s">
        <v>74</v>
      </c>
      <c r="M178" t="s">
        <v>78</v>
      </c>
      <c r="N178" t="s">
        <v>2174</v>
      </c>
      <c r="O178" t="s">
        <v>74</v>
      </c>
      <c r="P178" t="s">
        <v>74</v>
      </c>
      <c r="Q178" t="s">
        <v>74</v>
      </c>
      <c r="R178" t="s">
        <v>74</v>
      </c>
      <c r="S178" t="s">
        <v>74</v>
      </c>
      <c r="T178" t="s">
        <v>3581</v>
      </c>
      <c r="U178" t="s">
        <v>3582</v>
      </c>
      <c r="V178" t="s">
        <v>3583</v>
      </c>
      <c r="W178" t="s">
        <v>3584</v>
      </c>
      <c r="X178" t="s">
        <v>3585</v>
      </c>
      <c r="Y178" t="s">
        <v>3586</v>
      </c>
      <c r="Z178" t="s">
        <v>3587</v>
      </c>
      <c r="AA178" t="s">
        <v>74</v>
      </c>
      <c r="AB178" t="s">
        <v>3588</v>
      </c>
      <c r="AC178" t="s">
        <v>74</v>
      </c>
      <c r="AD178" t="s">
        <v>74</v>
      </c>
      <c r="AE178" t="s">
        <v>74</v>
      </c>
      <c r="AF178" t="s">
        <v>74</v>
      </c>
      <c r="AG178">
        <v>63</v>
      </c>
      <c r="AH178">
        <v>0</v>
      </c>
      <c r="AI178">
        <v>0</v>
      </c>
      <c r="AJ178">
        <v>0</v>
      </c>
      <c r="AK178">
        <v>0</v>
      </c>
      <c r="AL178" t="s">
        <v>146</v>
      </c>
      <c r="AM178" t="s">
        <v>147</v>
      </c>
      <c r="AN178" t="s">
        <v>148</v>
      </c>
      <c r="AO178" t="s">
        <v>3589</v>
      </c>
      <c r="AP178" t="s">
        <v>3590</v>
      </c>
      <c r="AQ178" t="s">
        <v>74</v>
      </c>
      <c r="AR178" t="s">
        <v>3591</v>
      </c>
      <c r="AS178" t="s">
        <v>3592</v>
      </c>
      <c r="AT178" t="s">
        <v>3593</v>
      </c>
      <c r="AU178">
        <v>2023</v>
      </c>
      <c r="AV178" t="s">
        <v>74</v>
      </c>
      <c r="AW178" t="s">
        <v>74</v>
      </c>
      <c r="AX178" t="s">
        <v>74</v>
      </c>
      <c r="AY178" t="s">
        <v>74</v>
      </c>
      <c r="AZ178" t="s">
        <v>74</v>
      </c>
      <c r="BA178" t="s">
        <v>74</v>
      </c>
      <c r="BB178" t="s">
        <v>74</v>
      </c>
      <c r="BC178" t="s">
        <v>74</v>
      </c>
      <c r="BD178" t="s">
        <v>74</v>
      </c>
      <c r="BE178" t="s">
        <v>3594</v>
      </c>
      <c r="BF178" t="str">
        <f>HYPERLINK("http://dx.doi.org/10.1007/s00737-023-01370-9","http://dx.doi.org/10.1007/s00737-023-01370-9")</f>
        <v>http://dx.doi.org/10.1007/s00737-023-01370-9</v>
      </c>
      <c r="BG178" t="s">
        <v>74</v>
      </c>
      <c r="BH178" t="s">
        <v>2079</v>
      </c>
      <c r="BI178">
        <v>18</v>
      </c>
      <c r="BJ178" t="s">
        <v>3373</v>
      </c>
      <c r="BK178" t="s">
        <v>126</v>
      </c>
      <c r="BL178" t="s">
        <v>3373</v>
      </c>
      <c r="BM178" t="s">
        <v>3595</v>
      </c>
      <c r="BN178">
        <v>37718376</v>
      </c>
      <c r="BO178" t="s">
        <v>74</v>
      </c>
      <c r="BP178" t="s">
        <v>74</v>
      </c>
      <c r="BQ178" t="s">
        <v>74</v>
      </c>
      <c r="BR178" t="s">
        <v>99</v>
      </c>
      <c r="BS178" t="s">
        <v>3596</v>
      </c>
      <c r="BT178" t="str">
        <f>HYPERLINK("https%3A%2F%2Fwww.webofscience.com%2Fwos%2Fwoscc%2Ffull-record%2FWOS:001067457900001","View Full Record in Web of Science")</f>
        <v>View Full Record in Web of Science</v>
      </c>
    </row>
    <row r="179" spans="1:72" x14ac:dyDescent="0.15">
      <c r="A179" t="s">
        <v>72</v>
      </c>
      <c r="B179" t="s">
        <v>3597</v>
      </c>
      <c r="C179" t="s">
        <v>74</v>
      </c>
      <c r="D179" t="s">
        <v>74</v>
      </c>
      <c r="E179" t="s">
        <v>74</v>
      </c>
      <c r="F179" t="s">
        <v>3598</v>
      </c>
      <c r="G179" t="s">
        <v>74</v>
      </c>
      <c r="H179" t="s">
        <v>74</v>
      </c>
      <c r="I179" t="s">
        <v>3599</v>
      </c>
      <c r="J179" t="s">
        <v>3600</v>
      </c>
      <c r="K179" t="s">
        <v>74</v>
      </c>
      <c r="L179" t="s">
        <v>74</v>
      </c>
      <c r="M179" t="s">
        <v>78</v>
      </c>
      <c r="N179" t="s">
        <v>1246</v>
      </c>
      <c r="O179" t="s">
        <v>74</v>
      </c>
      <c r="P179" t="s">
        <v>74</v>
      </c>
      <c r="Q179" t="s">
        <v>74</v>
      </c>
      <c r="R179" t="s">
        <v>74</v>
      </c>
      <c r="S179" t="s">
        <v>74</v>
      </c>
      <c r="T179" t="s">
        <v>3601</v>
      </c>
      <c r="U179" t="s">
        <v>3602</v>
      </c>
      <c r="V179" t="s">
        <v>3603</v>
      </c>
      <c r="W179" t="s">
        <v>3604</v>
      </c>
      <c r="X179" t="s">
        <v>3605</v>
      </c>
      <c r="Y179" t="s">
        <v>3606</v>
      </c>
      <c r="Z179" t="s">
        <v>3607</v>
      </c>
      <c r="AA179" t="s">
        <v>3608</v>
      </c>
      <c r="AB179" t="s">
        <v>3609</v>
      </c>
      <c r="AC179" t="s">
        <v>3610</v>
      </c>
      <c r="AD179" t="s">
        <v>3610</v>
      </c>
      <c r="AE179" t="s">
        <v>3611</v>
      </c>
      <c r="AF179" t="s">
        <v>74</v>
      </c>
      <c r="AG179">
        <v>23</v>
      </c>
      <c r="AH179">
        <v>0</v>
      </c>
      <c r="AI179">
        <v>0</v>
      </c>
      <c r="AJ179">
        <v>0</v>
      </c>
      <c r="AK179">
        <v>0</v>
      </c>
      <c r="AL179" t="s">
        <v>117</v>
      </c>
      <c r="AM179" t="s">
        <v>627</v>
      </c>
      <c r="AN179" t="s">
        <v>628</v>
      </c>
      <c r="AO179" t="s">
        <v>3612</v>
      </c>
      <c r="AP179" t="s">
        <v>3613</v>
      </c>
      <c r="AQ179" t="s">
        <v>74</v>
      </c>
      <c r="AR179" t="s">
        <v>3614</v>
      </c>
      <c r="AS179" t="s">
        <v>3615</v>
      </c>
      <c r="AT179" t="s">
        <v>3593</v>
      </c>
      <c r="AU179">
        <v>2023</v>
      </c>
      <c r="AV179" t="s">
        <v>74</v>
      </c>
      <c r="AW179" t="s">
        <v>74</v>
      </c>
      <c r="AX179" t="s">
        <v>74</v>
      </c>
      <c r="AY179" t="s">
        <v>74</v>
      </c>
      <c r="AZ179" t="s">
        <v>74</v>
      </c>
      <c r="BA179" t="s">
        <v>74</v>
      </c>
      <c r="BB179" t="s">
        <v>74</v>
      </c>
      <c r="BC179" t="s">
        <v>74</v>
      </c>
      <c r="BD179" t="s">
        <v>74</v>
      </c>
      <c r="BE179" t="s">
        <v>3616</v>
      </c>
      <c r="BF179" t="str">
        <f>HYPERLINK("http://dx.doi.org/10.1007/s11269-023-03611","http://dx.doi.org/10.1007/s11269-023-03611")</f>
        <v>http://dx.doi.org/10.1007/s11269-023-03611</v>
      </c>
      <c r="BG179" t="s">
        <v>74</v>
      </c>
      <c r="BH179" t="s">
        <v>2079</v>
      </c>
      <c r="BI179">
        <v>12</v>
      </c>
      <c r="BJ179" t="s">
        <v>3617</v>
      </c>
      <c r="BK179" t="s">
        <v>126</v>
      </c>
      <c r="BL179" t="s">
        <v>3618</v>
      </c>
      <c r="BM179" t="s">
        <v>3619</v>
      </c>
      <c r="BN179" t="s">
        <v>74</v>
      </c>
      <c r="BO179" t="s">
        <v>74</v>
      </c>
      <c r="BP179" t="s">
        <v>74</v>
      </c>
      <c r="BQ179" t="s">
        <v>74</v>
      </c>
      <c r="BR179" t="s">
        <v>99</v>
      </c>
      <c r="BS179" t="s">
        <v>3620</v>
      </c>
      <c r="BT179" t="str">
        <f>HYPERLINK("https%3A%2F%2Fwww.webofscience.com%2Fwos%2Fwoscc%2Ffull-record%2FWOS:001069038000001","View Full Record in Web of Science")</f>
        <v>View Full Record in Web of Science</v>
      </c>
    </row>
    <row r="180" spans="1:72" x14ac:dyDescent="0.15">
      <c r="A180" t="s">
        <v>72</v>
      </c>
      <c r="B180" t="s">
        <v>3621</v>
      </c>
      <c r="C180" t="s">
        <v>74</v>
      </c>
      <c r="D180" t="s">
        <v>74</v>
      </c>
      <c r="E180" t="s">
        <v>74</v>
      </c>
      <c r="F180" t="s">
        <v>3622</v>
      </c>
      <c r="G180" t="s">
        <v>74</v>
      </c>
      <c r="H180" t="s">
        <v>74</v>
      </c>
      <c r="I180" t="s">
        <v>3623</v>
      </c>
      <c r="J180" t="s">
        <v>3624</v>
      </c>
      <c r="K180" t="s">
        <v>74</v>
      </c>
      <c r="L180" t="s">
        <v>74</v>
      </c>
      <c r="M180" t="s">
        <v>78</v>
      </c>
      <c r="N180" t="s">
        <v>1246</v>
      </c>
      <c r="O180" t="s">
        <v>74</v>
      </c>
      <c r="P180" t="s">
        <v>74</v>
      </c>
      <c r="Q180" t="s">
        <v>74</v>
      </c>
      <c r="R180" t="s">
        <v>74</v>
      </c>
      <c r="S180" t="s">
        <v>74</v>
      </c>
      <c r="T180" t="s">
        <v>3625</v>
      </c>
      <c r="U180" t="s">
        <v>3626</v>
      </c>
      <c r="V180" t="s">
        <v>3627</v>
      </c>
      <c r="W180" t="s">
        <v>3628</v>
      </c>
      <c r="X180" t="s">
        <v>74</v>
      </c>
      <c r="Y180" t="s">
        <v>3629</v>
      </c>
      <c r="Z180" t="s">
        <v>3630</v>
      </c>
      <c r="AA180" t="s">
        <v>74</v>
      </c>
      <c r="AB180" t="s">
        <v>74</v>
      </c>
      <c r="AC180" t="s">
        <v>3631</v>
      </c>
      <c r="AD180" t="s">
        <v>3632</v>
      </c>
      <c r="AE180" t="s">
        <v>3633</v>
      </c>
      <c r="AF180" t="s">
        <v>74</v>
      </c>
      <c r="AG180">
        <v>50</v>
      </c>
      <c r="AH180">
        <v>0</v>
      </c>
      <c r="AI180">
        <v>0</v>
      </c>
      <c r="AJ180">
        <v>0</v>
      </c>
      <c r="AK180">
        <v>0</v>
      </c>
      <c r="AL180" t="s">
        <v>117</v>
      </c>
      <c r="AM180" t="s">
        <v>627</v>
      </c>
      <c r="AN180" t="s">
        <v>628</v>
      </c>
      <c r="AO180" t="s">
        <v>3634</v>
      </c>
      <c r="AP180" t="s">
        <v>3635</v>
      </c>
      <c r="AQ180" t="s">
        <v>74</v>
      </c>
      <c r="AR180" t="s">
        <v>3636</v>
      </c>
      <c r="AS180" t="s">
        <v>3637</v>
      </c>
      <c r="AT180" t="s">
        <v>3593</v>
      </c>
      <c r="AU180">
        <v>2023</v>
      </c>
      <c r="AV180" t="s">
        <v>74</v>
      </c>
      <c r="AW180" t="s">
        <v>74</v>
      </c>
      <c r="AX180" t="s">
        <v>74</v>
      </c>
      <c r="AY180" t="s">
        <v>74</v>
      </c>
      <c r="AZ180" t="s">
        <v>74</v>
      </c>
      <c r="BA180" t="s">
        <v>74</v>
      </c>
      <c r="BB180" t="s">
        <v>74</v>
      </c>
      <c r="BC180" t="s">
        <v>74</v>
      </c>
      <c r="BD180" t="s">
        <v>74</v>
      </c>
      <c r="BE180" t="s">
        <v>3638</v>
      </c>
      <c r="BF180" t="str">
        <f>HYPERLINK("http://dx.doi.org/10.1007/s10696-023-09507-9","http://dx.doi.org/10.1007/s10696-023-09507-9")</f>
        <v>http://dx.doi.org/10.1007/s10696-023-09507-9</v>
      </c>
      <c r="BG180" t="s">
        <v>74</v>
      </c>
      <c r="BH180" t="s">
        <v>2079</v>
      </c>
      <c r="BI180">
        <v>33</v>
      </c>
      <c r="BJ180" t="s">
        <v>3639</v>
      </c>
      <c r="BK180" t="s">
        <v>126</v>
      </c>
      <c r="BL180" t="s">
        <v>3640</v>
      </c>
      <c r="BM180" t="s">
        <v>3641</v>
      </c>
      <c r="BN180" t="s">
        <v>74</v>
      </c>
      <c r="BO180" t="s">
        <v>183</v>
      </c>
      <c r="BP180" t="s">
        <v>74</v>
      </c>
      <c r="BQ180" t="s">
        <v>74</v>
      </c>
      <c r="BR180" t="s">
        <v>99</v>
      </c>
      <c r="BS180" t="s">
        <v>3642</v>
      </c>
      <c r="BT180" t="str">
        <f>HYPERLINK("https%3A%2F%2Fwww.webofscience.com%2Fwos%2Fwoscc%2Ffull-record%2FWOS:001066990200001","View Full Record in Web of Science")</f>
        <v>View Full Record in Web of Science</v>
      </c>
    </row>
    <row r="181" spans="1:72" x14ac:dyDescent="0.15">
      <c r="A181" t="s">
        <v>72</v>
      </c>
      <c r="B181" t="s">
        <v>3643</v>
      </c>
      <c r="C181" t="s">
        <v>74</v>
      </c>
      <c r="D181" t="s">
        <v>74</v>
      </c>
      <c r="E181" t="s">
        <v>74</v>
      </c>
      <c r="F181" t="s">
        <v>3644</v>
      </c>
      <c r="G181" t="s">
        <v>74</v>
      </c>
      <c r="H181" t="s">
        <v>74</v>
      </c>
      <c r="I181" t="s">
        <v>3645</v>
      </c>
      <c r="J181" t="s">
        <v>3646</v>
      </c>
      <c r="K181" t="s">
        <v>74</v>
      </c>
      <c r="L181" t="s">
        <v>74</v>
      </c>
      <c r="M181" t="s">
        <v>78</v>
      </c>
      <c r="N181" t="s">
        <v>1246</v>
      </c>
      <c r="O181" t="s">
        <v>74</v>
      </c>
      <c r="P181" t="s">
        <v>74</v>
      </c>
      <c r="Q181" t="s">
        <v>74</v>
      </c>
      <c r="R181" t="s">
        <v>74</v>
      </c>
      <c r="S181" t="s">
        <v>74</v>
      </c>
      <c r="T181" t="s">
        <v>3647</v>
      </c>
      <c r="U181" t="s">
        <v>3648</v>
      </c>
      <c r="V181" t="s">
        <v>3649</v>
      </c>
      <c r="W181" t="s">
        <v>3650</v>
      </c>
      <c r="X181" t="s">
        <v>3651</v>
      </c>
      <c r="Y181" t="s">
        <v>3652</v>
      </c>
      <c r="Z181" t="s">
        <v>3653</v>
      </c>
      <c r="AA181" t="s">
        <v>3654</v>
      </c>
      <c r="AB181" t="s">
        <v>3655</v>
      </c>
      <c r="AC181" t="s">
        <v>649</v>
      </c>
      <c r="AD181" t="s">
        <v>649</v>
      </c>
      <c r="AE181" t="s">
        <v>3656</v>
      </c>
      <c r="AF181" t="s">
        <v>74</v>
      </c>
      <c r="AG181">
        <v>76</v>
      </c>
      <c r="AH181">
        <v>0</v>
      </c>
      <c r="AI181">
        <v>0</v>
      </c>
      <c r="AJ181">
        <v>0</v>
      </c>
      <c r="AK181">
        <v>0</v>
      </c>
      <c r="AL181" t="s">
        <v>117</v>
      </c>
      <c r="AM181" t="s">
        <v>118</v>
      </c>
      <c r="AN181" t="s">
        <v>119</v>
      </c>
      <c r="AO181" t="s">
        <v>3657</v>
      </c>
      <c r="AP181" t="s">
        <v>3658</v>
      </c>
      <c r="AQ181" t="s">
        <v>74</v>
      </c>
      <c r="AR181" t="s">
        <v>3659</v>
      </c>
      <c r="AS181" t="s">
        <v>3660</v>
      </c>
      <c r="AT181" t="s">
        <v>3593</v>
      </c>
      <c r="AU181">
        <v>2023</v>
      </c>
      <c r="AV181" t="s">
        <v>74</v>
      </c>
      <c r="AW181" t="s">
        <v>74</v>
      </c>
      <c r="AX181" t="s">
        <v>74</v>
      </c>
      <c r="AY181" t="s">
        <v>74</v>
      </c>
      <c r="AZ181" t="s">
        <v>74</v>
      </c>
      <c r="BA181" t="s">
        <v>74</v>
      </c>
      <c r="BB181" t="s">
        <v>74</v>
      </c>
      <c r="BC181" t="s">
        <v>74</v>
      </c>
      <c r="BD181" t="s">
        <v>74</v>
      </c>
      <c r="BE181" t="s">
        <v>3661</v>
      </c>
      <c r="BF181" t="str">
        <f>HYPERLINK("http://dx.doi.org/10.1007/s10212-023-00740-2","http://dx.doi.org/10.1007/s10212-023-00740-2")</f>
        <v>http://dx.doi.org/10.1007/s10212-023-00740-2</v>
      </c>
      <c r="BG181" t="s">
        <v>74</v>
      </c>
      <c r="BH181" t="s">
        <v>2079</v>
      </c>
      <c r="BI181">
        <v>18</v>
      </c>
      <c r="BJ181" t="s">
        <v>3662</v>
      </c>
      <c r="BK181" t="s">
        <v>425</v>
      </c>
      <c r="BL181" t="s">
        <v>2907</v>
      </c>
      <c r="BM181" t="s">
        <v>3663</v>
      </c>
      <c r="BN181" t="s">
        <v>74</v>
      </c>
      <c r="BO181" t="s">
        <v>183</v>
      </c>
      <c r="BP181" t="s">
        <v>74</v>
      </c>
      <c r="BQ181" t="s">
        <v>74</v>
      </c>
      <c r="BR181" t="s">
        <v>99</v>
      </c>
      <c r="BS181" t="s">
        <v>3664</v>
      </c>
      <c r="BT181" t="str">
        <f>HYPERLINK("https%3A%2F%2Fwww.webofscience.com%2Fwos%2Fwoscc%2Ffull-record%2FWOS:001068891400001","View Full Record in Web of Science")</f>
        <v>View Full Record in Web of Science</v>
      </c>
    </row>
    <row r="182" spans="1:72" x14ac:dyDescent="0.15">
      <c r="A182" t="s">
        <v>72</v>
      </c>
      <c r="B182" t="s">
        <v>3665</v>
      </c>
      <c r="C182" t="s">
        <v>74</v>
      </c>
      <c r="D182" t="s">
        <v>74</v>
      </c>
      <c r="E182" t="s">
        <v>74</v>
      </c>
      <c r="F182" t="s">
        <v>3666</v>
      </c>
      <c r="G182" t="s">
        <v>74</v>
      </c>
      <c r="H182" t="s">
        <v>74</v>
      </c>
      <c r="I182" t="s">
        <v>3667</v>
      </c>
      <c r="J182" t="s">
        <v>3668</v>
      </c>
      <c r="K182" t="s">
        <v>74</v>
      </c>
      <c r="L182" t="s">
        <v>74</v>
      </c>
      <c r="M182" t="s">
        <v>78</v>
      </c>
      <c r="N182" t="s">
        <v>79</v>
      </c>
      <c r="O182" t="s">
        <v>74</v>
      </c>
      <c r="P182" t="s">
        <v>74</v>
      </c>
      <c r="Q182" t="s">
        <v>74</v>
      </c>
      <c r="R182" t="s">
        <v>74</v>
      </c>
      <c r="S182" t="s">
        <v>74</v>
      </c>
      <c r="T182" t="s">
        <v>3669</v>
      </c>
      <c r="U182" t="s">
        <v>3670</v>
      </c>
      <c r="V182" t="s">
        <v>3671</v>
      </c>
      <c r="W182" t="s">
        <v>3672</v>
      </c>
      <c r="X182" t="s">
        <v>74</v>
      </c>
      <c r="Y182" t="s">
        <v>3673</v>
      </c>
      <c r="Z182" t="s">
        <v>3674</v>
      </c>
      <c r="AA182" t="s">
        <v>74</v>
      </c>
      <c r="AB182" t="s">
        <v>74</v>
      </c>
      <c r="AC182" t="s">
        <v>3675</v>
      </c>
      <c r="AD182" t="s">
        <v>3675</v>
      </c>
      <c r="AE182" t="s">
        <v>3676</v>
      </c>
      <c r="AF182" t="s">
        <v>74</v>
      </c>
      <c r="AG182">
        <v>23</v>
      </c>
      <c r="AH182">
        <v>0</v>
      </c>
      <c r="AI182">
        <v>0</v>
      </c>
      <c r="AJ182">
        <v>0</v>
      </c>
      <c r="AK182">
        <v>0</v>
      </c>
      <c r="AL182" t="s">
        <v>117</v>
      </c>
      <c r="AM182" t="s">
        <v>118</v>
      </c>
      <c r="AN182" t="s">
        <v>119</v>
      </c>
      <c r="AO182" t="s">
        <v>3677</v>
      </c>
      <c r="AP182" t="s">
        <v>74</v>
      </c>
      <c r="AQ182" t="s">
        <v>74</v>
      </c>
      <c r="AR182" t="s">
        <v>3678</v>
      </c>
      <c r="AS182" t="s">
        <v>3679</v>
      </c>
      <c r="AT182" t="s">
        <v>3680</v>
      </c>
      <c r="AU182">
        <v>2023</v>
      </c>
      <c r="AV182">
        <v>9</v>
      </c>
      <c r="AW182">
        <v>1</v>
      </c>
      <c r="AX182" t="s">
        <v>74</v>
      </c>
      <c r="AY182" t="s">
        <v>74</v>
      </c>
      <c r="AZ182" t="s">
        <v>74</v>
      </c>
      <c r="BA182" t="s">
        <v>74</v>
      </c>
      <c r="BB182" t="s">
        <v>74</v>
      </c>
      <c r="BC182" t="s">
        <v>74</v>
      </c>
      <c r="BD182">
        <v>164</v>
      </c>
      <c r="BE182" t="s">
        <v>3681</v>
      </c>
      <c r="BF182" t="str">
        <f>HYPERLINK("http://dx.doi.org/10.1186/s40792-023-01748-y","http://dx.doi.org/10.1186/s40792-023-01748-y")</f>
        <v>http://dx.doi.org/10.1186/s40792-023-01748-y</v>
      </c>
      <c r="BG182" t="s">
        <v>74</v>
      </c>
      <c r="BH182" t="s">
        <v>74</v>
      </c>
      <c r="BI182">
        <v>10</v>
      </c>
      <c r="BJ182" t="s">
        <v>2373</v>
      </c>
      <c r="BK182" t="s">
        <v>97</v>
      </c>
      <c r="BL182" t="s">
        <v>2373</v>
      </c>
      <c r="BM182" t="s">
        <v>3682</v>
      </c>
      <c r="BN182">
        <v>37721561</v>
      </c>
      <c r="BO182" t="s">
        <v>302</v>
      </c>
      <c r="BP182" t="s">
        <v>74</v>
      </c>
      <c r="BQ182" t="s">
        <v>74</v>
      </c>
      <c r="BR182" t="s">
        <v>99</v>
      </c>
      <c r="BS182" t="s">
        <v>3683</v>
      </c>
      <c r="BT182" t="str">
        <f>HYPERLINK("https%3A%2F%2Fwww.webofscience.com%2Fwos%2Fwoscc%2Ffull-record%2FWOS:001066981300002","View Full Record in Web of Science")</f>
        <v>View Full Record in Web of Science</v>
      </c>
    </row>
    <row r="183" spans="1:72" x14ac:dyDescent="0.15">
      <c r="A183" t="s">
        <v>72</v>
      </c>
      <c r="B183" t="s">
        <v>3684</v>
      </c>
      <c r="C183" t="s">
        <v>74</v>
      </c>
      <c r="D183" t="s">
        <v>74</v>
      </c>
      <c r="E183" t="s">
        <v>74</v>
      </c>
      <c r="F183" t="s">
        <v>3685</v>
      </c>
      <c r="G183" t="s">
        <v>74</v>
      </c>
      <c r="H183" t="s">
        <v>74</v>
      </c>
      <c r="I183" t="s">
        <v>3686</v>
      </c>
      <c r="J183" t="s">
        <v>3687</v>
      </c>
      <c r="K183" t="s">
        <v>74</v>
      </c>
      <c r="L183" t="s">
        <v>74</v>
      </c>
      <c r="M183" t="s">
        <v>78</v>
      </c>
      <c r="N183" t="s">
        <v>79</v>
      </c>
      <c r="O183" t="s">
        <v>74</v>
      </c>
      <c r="P183" t="s">
        <v>74</v>
      </c>
      <c r="Q183" t="s">
        <v>74</v>
      </c>
      <c r="R183" t="s">
        <v>74</v>
      </c>
      <c r="S183" t="s">
        <v>74</v>
      </c>
      <c r="T183" t="s">
        <v>74</v>
      </c>
      <c r="U183" t="s">
        <v>3688</v>
      </c>
      <c r="V183" t="s">
        <v>3689</v>
      </c>
      <c r="W183" t="s">
        <v>3690</v>
      </c>
      <c r="X183" t="s">
        <v>3691</v>
      </c>
      <c r="Y183" t="s">
        <v>3692</v>
      </c>
      <c r="Z183" t="s">
        <v>3693</v>
      </c>
      <c r="AA183" t="s">
        <v>74</v>
      </c>
      <c r="AB183" t="s">
        <v>74</v>
      </c>
      <c r="AC183" t="s">
        <v>3694</v>
      </c>
      <c r="AD183" t="s">
        <v>3694</v>
      </c>
      <c r="AE183" t="s">
        <v>3694</v>
      </c>
      <c r="AF183" t="s">
        <v>74</v>
      </c>
      <c r="AG183">
        <v>55</v>
      </c>
      <c r="AH183">
        <v>0</v>
      </c>
      <c r="AI183">
        <v>0</v>
      </c>
      <c r="AJ183">
        <v>0</v>
      </c>
      <c r="AK183">
        <v>0</v>
      </c>
      <c r="AL183" t="s">
        <v>443</v>
      </c>
      <c r="AM183" t="s">
        <v>245</v>
      </c>
      <c r="AN183" t="s">
        <v>444</v>
      </c>
      <c r="AO183" t="s">
        <v>3695</v>
      </c>
      <c r="AP183" t="s">
        <v>3696</v>
      </c>
      <c r="AQ183" t="s">
        <v>74</v>
      </c>
      <c r="AR183" t="s">
        <v>3697</v>
      </c>
      <c r="AS183" t="s">
        <v>3698</v>
      </c>
      <c r="AT183" t="s">
        <v>3680</v>
      </c>
      <c r="AU183">
        <v>2023</v>
      </c>
      <c r="AV183">
        <v>55</v>
      </c>
      <c r="AW183">
        <v>1</v>
      </c>
      <c r="AX183" t="s">
        <v>74</v>
      </c>
      <c r="AY183" t="s">
        <v>74</v>
      </c>
      <c r="AZ183" t="s">
        <v>74</v>
      </c>
      <c r="BA183" t="s">
        <v>74</v>
      </c>
      <c r="BB183" t="s">
        <v>74</v>
      </c>
      <c r="BC183" t="s">
        <v>74</v>
      </c>
      <c r="BD183">
        <v>64</v>
      </c>
      <c r="BE183" t="s">
        <v>3699</v>
      </c>
      <c r="BF183" t="str">
        <f>HYPERLINK("http://dx.doi.org/10.1186/s12711-023-00841-y","http://dx.doi.org/10.1186/s12711-023-00841-y")</f>
        <v>http://dx.doi.org/10.1186/s12711-023-00841-y</v>
      </c>
      <c r="BG183" t="s">
        <v>74</v>
      </c>
      <c r="BH183" t="s">
        <v>74</v>
      </c>
      <c r="BI183">
        <v>14</v>
      </c>
      <c r="BJ183" t="s">
        <v>3700</v>
      </c>
      <c r="BK183" t="s">
        <v>126</v>
      </c>
      <c r="BL183" t="s">
        <v>3701</v>
      </c>
      <c r="BM183" t="s">
        <v>3702</v>
      </c>
      <c r="BN183">
        <v>37723431</v>
      </c>
      <c r="BO183" t="s">
        <v>302</v>
      </c>
      <c r="BP183" t="s">
        <v>74</v>
      </c>
      <c r="BQ183" t="s">
        <v>74</v>
      </c>
      <c r="BR183" t="s">
        <v>99</v>
      </c>
      <c r="BS183" t="s">
        <v>3703</v>
      </c>
      <c r="BT183" t="str">
        <f>HYPERLINK("https%3A%2F%2Fwww.webofscience.com%2Fwos%2Fwoscc%2Ffull-record%2FWOS:001069335100001","View Full Record in Web of Science")</f>
        <v>View Full Record in Web of Science</v>
      </c>
    </row>
    <row r="184" spans="1:72" x14ac:dyDescent="0.15">
      <c r="A184" t="s">
        <v>72</v>
      </c>
      <c r="B184" t="s">
        <v>3704</v>
      </c>
      <c r="C184" t="s">
        <v>74</v>
      </c>
      <c r="D184" t="s">
        <v>74</v>
      </c>
      <c r="E184" t="s">
        <v>74</v>
      </c>
      <c r="F184" t="s">
        <v>3705</v>
      </c>
      <c r="G184" t="s">
        <v>74</v>
      </c>
      <c r="H184" t="s">
        <v>74</v>
      </c>
      <c r="I184" t="s">
        <v>3706</v>
      </c>
      <c r="J184" t="s">
        <v>3707</v>
      </c>
      <c r="K184" t="s">
        <v>74</v>
      </c>
      <c r="L184" t="s">
        <v>74</v>
      </c>
      <c r="M184" t="s">
        <v>78</v>
      </c>
      <c r="N184" t="s">
        <v>1246</v>
      </c>
      <c r="O184" t="s">
        <v>74</v>
      </c>
      <c r="P184" t="s">
        <v>74</v>
      </c>
      <c r="Q184" t="s">
        <v>74</v>
      </c>
      <c r="R184" t="s">
        <v>74</v>
      </c>
      <c r="S184" t="s">
        <v>74</v>
      </c>
      <c r="T184" t="s">
        <v>3708</v>
      </c>
      <c r="U184" t="s">
        <v>3709</v>
      </c>
      <c r="V184" t="s">
        <v>3710</v>
      </c>
      <c r="W184" t="s">
        <v>3711</v>
      </c>
      <c r="X184" t="s">
        <v>3712</v>
      </c>
      <c r="Y184" t="s">
        <v>3713</v>
      </c>
      <c r="Z184" t="s">
        <v>3714</v>
      </c>
      <c r="AA184" t="s">
        <v>74</v>
      </c>
      <c r="AB184" t="s">
        <v>74</v>
      </c>
      <c r="AC184" t="s">
        <v>3715</v>
      </c>
      <c r="AD184" t="s">
        <v>3715</v>
      </c>
      <c r="AE184" t="s">
        <v>3716</v>
      </c>
      <c r="AF184" t="s">
        <v>74</v>
      </c>
      <c r="AG184">
        <v>46</v>
      </c>
      <c r="AH184">
        <v>0</v>
      </c>
      <c r="AI184">
        <v>0</v>
      </c>
      <c r="AJ184">
        <v>0</v>
      </c>
      <c r="AK184">
        <v>0</v>
      </c>
      <c r="AL184" t="s">
        <v>146</v>
      </c>
      <c r="AM184" t="s">
        <v>147</v>
      </c>
      <c r="AN184" t="s">
        <v>148</v>
      </c>
      <c r="AO184" t="s">
        <v>3717</v>
      </c>
      <c r="AP184" t="s">
        <v>3718</v>
      </c>
      <c r="AQ184" t="s">
        <v>74</v>
      </c>
      <c r="AR184" t="s">
        <v>3707</v>
      </c>
      <c r="AS184" t="s">
        <v>3719</v>
      </c>
      <c r="AT184" t="s">
        <v>3593</v>
      </c>
      <c r="AU184">
        <v>2023</v>
      </c>
      <c r="AV184" t="s">
        <v>74</v>
      </c>
      <c r="AW184" t="s">
        <v>74</v>
      </c>
      <c r="AX184" t="s">
        <v>74</v>
      </c>
      <c r="AY184" t="s">
        <v>74</v>
      </c>
      <c r="AZ184" t="s">
        <v>74</v>
      </c>
      <c r="BA184" t="s">
        <v>74</v>
      </c>
      <c r="BB184" t="s">
        <v>74</v>
      </c>
      <c r="BC184" t="s">
        <v>74</v>
      </c>
      <c r="BD184" t="s">
        <v>74</v>
      </c>
      <c r="BE184" t="s">
        <v>3720</v>
      </c>
      <c r="BF184" t="str">
        <f>HYPERLINK("http://dx.doi.org/10.1007/s00607-023-01224-3","http://dx.doi.org/10.1007/s00607-023-01224-3")</f>
        <v>http://dx.doi.org/10.1007/s00607-023-01224-3</v>
      </c>
      <c r="BG184" t="s">
        <v>74</v>
      </c>
      <c r="BH184" t="s">
        <v>2079</v>
      </c>
      <c r="BI184">
        <v>31</v>
      </c>
      <c r="BJ184" t="s">
        <v>2101</v>
      </c>
      <c r="BK184" t="s">
        <v>126</v>
      </c>
      <c r="BL184" t="s">
        <v>1139</v>
      </c>
      <c r="BM184" t="s">
        <v>3721</v>
      </c>
      <c r="BN184" t="s">
        <v>74</v>
      </c>
      <c r="BO184" t="s">
        <v>74</v>
      </c>
      <c r="BP184" t="s">
        <v>74</v>
      </c>
      <c r="BQ184" t="s">
        <v>74</v>
      </c>
      <c r="BR184" t="s">
        <v>99</v>
      </c>
      <c r="BS184" t="s">
        <v>3722</v>
      </c>
      <c r="BT184" t="str">
        <f>HYPERLINK("https%3A%2F%2Fwww.webofscience.com%2Fwos%2Fwoscc%2Ffull-record%2FWOS:001072923400001","View Full Record in Web of Science")</f>
        <v>View Full Record in Web of Science</v>
      </c>
    </row>
    <row r="185" spans="1:72" x14ac:dyDescent="0.15">
      <c r="A185" t="s">
        <v>72</v>
      </c>
      <c r="B185" t="s">
        <v>3723</v>
      </c>
      <c r="C185" t="s">
        <v>74</v>
      </c>
      <c r="D185" t="s">
        <v>74</v>
      </c>
      <c r="E185" t="s">
        <v>74</v>
      </c>
      <c r="F185" t="s">
        <v>3724</v>
      </c>
      <c r="G185" t="s">
        <v>74</v>
      </c>
      <c r="H185" t="s">
        <v>74</v>
      </c>
      <c r="I185" t="s">
        <v>3725</v>
      </c>
      <c r="J185" t="s">
        <v>3726</v>
      </c>
      <c r="K185" t="s">
        <v>74</v>
      </c>
      <c r="L185" t="s">
        <v>74</v>
      </c>
      <c r="M185" t="s">
        <v>78</v>
      </c>
      <c r="N185" t="s">
        <v>79</v>
      </c>
      <c r="O185" t="s">
        <v>74</v>
      </c>
      <c r="P185" t="s">
        <v>74</v>
      </c>
      <c r="Q185" t="s">
        <v>74</v>
      </c>
      <c r="R185" t="s">
        <v>74</v>
      </c>
      <c r="S185" t="s">
        <v>74</v>
      </c>
      <c r="T185" t="s">
        <v>3727</v>
      </c>
      <c r="U185" t="s">
        <v>3728</v>
      </c>
      <c r="V185" t="s">
        <v>3729</v>
      </c>
      <c r="W185" t="s">
        <v>3730</v>
      </c>
      <c r="X185" t="s">
        <v>3731</v>
      </c>
      <c r="Y185" t="s">
        <v>3732</v>
      </c>
      <c r="Z185" t="s">
        <v>3733</v>
      </c>
      <c r="AA185" t="s">
        <v>74</v>
      </c>
      <c r="AB185" t="s">
        <v>3734</v>
      </c>
      <c r="AC185" t="s">
        <v>3735</v>
      </c>
      <c r="AD185" t="s">
        <v>3735</v>
      </c>
      <c r="AE185" t="s">
        <v>3735</v>
      </c>
      <c r="AF185" t="s">
        <v>74</v>
      </c>
      <c r="AG185">
        <v>35</v>
      </c>
      <c r="AH185">
        <v>0</v>
      </c>
      <c r="AI185">
        <v>0</v>
      </c>
      <c r="AJ185">
        <v>2</v>
      </c>
      <c r="AK185">
        <v>2</v>
      </c>
      <c r="AL185" t="s">
        <v>443</v>
      </c>
      <c r="AM185" t="s">
        <v>245</v>
      </c>
      <c r="AN185" t="s">
        <v>444</v>
      </c>
      <c r="AO185" t="s">
        <v>3736</v>
      </c>
      <c r="AP185" t="s">
        <v>74</v>
      </c>
      <c r="AQ185" t="s">
        <v>74</v>
      </c>
      <c r="AR185" t="s">
        <v>3737</v>
      </c>
      <c r="AS185" t="s">
        <v>3738</v>
      </c>
      <c r="AT185" t="s">
        <v>3680</v>
      </c>
      <c r="AU185">
        <v>2023</v>
      </c>
      <c r="AV185">
        <v>15</v>
      </c>
      <c r="AW185">
        <v>1</v>
      </c>
      <c r="AX185" t="s">
        <v>74</v>
      </c>
      <c r="AY185" t="s">
        <v>74</v>
      </c>
      <c r="AZ185" t="s">
        <v>74</v>
      </c>
      <c r="BA185" t="s">
        <v>74</v>
      </c>
      <c r="BB185" t="s">
        <v>74</v>
      </c>
      <c r="BC185" t="s">
        <v>74</v>
      </c>
      <c r="BD185">
        <v>72</v>
      </c>
      <c r="BE185" t="s">
        <v>3739</v>
      </c>
      <c r="BF185" t="str">
        <f>HYPERLINK("http://dx.doi.org/10.1186/s13073-023-01218-y","http://dx.doi.org/10.1186/s13073-023-01218-y")</f>
        <v>http://dx.doi.org/10.1186/s13073-023-01218-y</v>
      </c>
      <c r="BG185" t="s">
        <v>74</v>
      </c>
      <c r="BH185" t="s">
        <v>74</v>
      </c>
      <c r="BI185">
        <v>14</v>
      </c>
      <c r="BJ185" t="s">
        <v>3740</v>
      </c>
      <c r="BK185" t="s">
        <v>126</v>
      </c>
      <c r="BL185" t="s">
        <v>3740</v>
      </c>
      <c r="BM185" t="s">
        <v>3741</v>
      </c>
      <c r="BN185">
        <v>37723590</v>
      </c>
      <c r="BO185" t="s">
        <v>3356</v>
      </c>
      <c r="BP185" t="s">
        <v>74</v>
      </c>
      <c r="BQ185" t="s">
        <v>74</v>
      </c>
      <c r="BR185" t="s">
        <v>99</v>
      </c>
      <c r="BS185" t="s">
        <v>3742</v>
      </c>
      <c r="BT185" t="str">
        <f>HYPERLINK("https%3A%2F%2Fwww.webofscience.com%2Fwos%2Fwoscc%2Ffull-record%2FWOS:001068038700002","View Full Record in Web of Science")</f>
        <v>View Full Record in Web of Science</v>
      </c>
    </row>
    <row r="186" spans="1:72" x14ac:dyDescent="0.15">
      <c r="A186" t="s">
        <v>72</v>
      </c>
      <c r="B186" t="s">
        <v>3743</v>
      </c>
      <c r="C186" t="s">
        <v>74</v>
      </c>
      <c r="D186" t="s">
        <v>74</v>
      </c>
      <c r="E186" t="s">
        <v>74</v>
      </c>
      <c r="F186" t="s">
        <v>3744</v>
      </c>
      <c r="G186" t="s">
        <v>74</v>
      </c>
      <c r="H186" t="s">
        <v>74</v>
      </c>
      <c r="I186" t="s">
        <v>3745</v>
      </c>
      <c r="J186" t="s">
        <v>3746</v>
      </c>
      <c r="K186" t="s">
        <v>74</v>
      </c>
      <c r="L186" t="s">
        <v>74</v>
      </c>
      <c r="M186" t="s">
        <v>78</v>
      </c>
      <c r="N186" t="s">
        <v>1246</v>
      </c>
      <c r="O186" t="s">
        <v>74</v>
      </c>
      <c r="P186" t="s">
        <v>74</v>
      </c>
      <c r="Q186" t="s">
        <v>74</v>
      </c>
      <c r="R186" t="s">
        <v>74</v>
      </c>
      <c r="S186" t="s">
        <v>74</v>
      </c>
      <c r="T186" t="s">
        <v>3747</v>
      </c>
      <c r="U186" t="s">
        <v>3748</v>
      </c>
      <c r="V186" t="s">
        <v>3749</v>
      </c>
      <c r="W186" t="s">
        <v>3750</v>
      </c>
      <c r="X186" t="s">
        <v>3751</v>
      </c>
      <c r="Y186" t="s">
        <v>3752</v>
      </c>
      <c r="Z186" t="s">
        <v>3753</v>
      </c>
      <c r="AA186" t="s">
        <v>74</v>
      </c>
      <c r="AB186" t="s">
        <v>74</v>
      </c>
      <c r="AC186" t="s">
        <v>3754</v>
      </c>
      <c r="AD186" t="s">
        <v>3754</v>
      </c>
      <c r="AE186" t="s">
        <v>3755</v>
      </c>
      <c r="AF186" t="s">
        <v>74</v>
      </c>
      <c r="AG186">
        <v>28</v>
      </c>
      <c r="AH186">
        <v>0</v>
      </c>
      <c r="AI186">
        <v>0</v>
      </c>
      <c r="AJ186">
        <v>2</v>
      </c>
      <c r="AK186">
        <v>2</v>
      </c>
      <c r="AL186" t="s">
        <v>172</v>
      </c>
      <c r="AM186" t="s">
        <v>173</v>
      </c>
      <c r="AN186" t="s">
        <v>174</v>
      </c>
      <c r="AO186" t="s">
        <v>3756</v>
      </c>
      <c r="AP186" t="s">
        <v>3757</v>
      </c>
      <c r="AQ186" t="s">
        <v>74</v>
      </c>
      <c r="AR186" t="s">
        <v>3758</v>
      </c>
      <c r="AS186" t="s">
        <v>3759</v>
      </c>
      <c r="AT186" t="s">
        <v>3760</v>
      </c>
      <c r="AU186">
        <v>2023</v>
      </c>
      <c r="AV186" t="s">
        <v>74</v>
      </c>
      <c r="AW186" t="s">
        <v>74</v>
      </c>
      <c r="AX186" t="s">
        <v>74</v>
      </c>
      <c r="AY186" t="s">
        <v>74</v>
      </c>
      <c r="AZ186" t="s">
        <v>74</v>
      </c>
      <c r="BA186" t="s">
        <v>74</v>
      </c>
      <c r="BB186" t="s">
        <v>74</v>
      </c>
      <c r="BC186" t="s">
        <v>74</v>
      </c>
      <c r="BD186" t="s">
        <v>74</v>
      </c>
      <c r="BE186" t="s">
        <v>3761</v>
      </c>
      <c r="BF186" t="str">
        <f>HYPERLINK("http://dx.doi.org/10.1007/s43440-023-00524","http://dx.doi.org/10.1007/s43440-023-00524")</f>
        <v>http://dx.doi.org/10.1007/s43440-023-00524</v>
      </c>
      <c r="BG186" t="s">
        <v>74</v>
      </c>
      <c r="BH186" t="s">
        <v>2079</v>
      </c>
      <c r="BI186">
        <v>11</v>
      </c>
      <c r="BJ186" t="s">
        <v>1038</v>
      </c>
      <c r="BK186" t="s">
        <v>126</v>
      </c>
      <c r="BL186" t="s">
        <v>1038</v>
      </c>
      <c r="BM186" t="s">
        <v>3762</v>
      </c>
      <c r="BN186" t="s">
        <v>74</v>
      </c>
      <c r="BO186" t="s">
        <v>74</v>
      </c>
      <c r="BP186" t="s">
        <v>74</v>
      </c>
      <c r="BQ186" t="s">
        <v>74</v>
      </c>
      <c r="BR186" t="s">
        <v>99</v>
      </c>
      <c r="BS186" t="s">
        <v>3763</v>
      </c>
      <c r="BT186" t="str">
        <f>HYPERLINK("https%3A%2F%2Fwww.webofscience.com%2Fwos%2Fwoscc%2Ffull-record%2FWOS:001067454800001","View Full Record in Web of Science")</f>
        <v>View Full Record in Web of Science</v>
      </c>
    </row>
    <row r="187" spans="1:72" x14ac:dyDescent="0.15">
      <c r="A187" t="s">
        <v>72</v>
      </c>
      <c r="B187" t="s">
        <v>3764</v>
      </c>
      <c r="C187" t="s">
        <v>74</v>
      </c>
      <c r="D187" t="s">
        <v>74</v>
      </c>
      <c r="E187" t="s">
        <v>74</v>
      </c>
      <c r="F187" t="s">
        <v>3765</v>
      </c>
      <c r="G187" t="s">
        <v>74</v>
      </c>
      <c r="H187" t="s">
        <v>74</v>
      </c>
      <c r="I187" t="s">
        <v>3766</v>
      </c>
      <c r="J187" t="s">
        <v>3767</v>
      </c>
      <c r="K187" t="s">
        <v>74</v>
      </c>
      <c r="L187" t="s">
        <v>74</v>
      </c>
      <c r="M187" t="s">
        <v>78</v>
      </c>
      <c r="N187" t="s">
        <v>1246</v>
      </c>
      <c r="O187" t="s">
        <v>74</v>
      </c>
      <c r="P187" t="s">
        <v>74</v>
      </c>
      <c r="Q187" t="s">
        <v>74</v>
      </c>
      <c r="R187" t="s">
        <v>74</v>
      </c>
      <c r="S187" t="s">
        <v>74</v>
      </c>
      <c r="T187" t="s">
        <v>3768</v>
      </c>
      <c r="U187" t="s">
        <v>74</v>
      </c>
      <c r="V187" t="s">
        <v>3769</v>
      </c>
      <c r="W187" t="s">
        <v>3770</v>
      </c>
      <c r="X187" t="s">
        <v>3771</v>
      </c>
      <c r="Y187" t="s">
        <v>3772</v>
      </c>
      <c r="Z187" t="s">
        <v>3773</v>
      </c>
      <c r="AA187" t="s">
        <v>74</v>
      </c>
      <c r="AB187" t="s">
        <v>74</v>
      </c>
      <c r="AC187" t="s">
        <v>74</v>
      </c>
      <c r="AD187" t="s">
        <v>74</v>
      </c>
      <c r="AE187" t="s">
        <v>74</v>
      </c>
      <c r="AF187" t="s">
        <v>74</v>
      </c>
      <c r="AG187">
        <v>37</v>
      </c>
      <c r="AH187">
        <v>0</v>
      </c>
      <c r="AI187">
        <v>0</v>
      </c>
      <c r="AJ187">
        <v>0</v>
      </c>
      <c r="AK187">
        <v>0</v>
      </c>
      <c r="AL187" t="s">
        <v>117</v>
      </c>
      <c r="AM187" t="s">
        <v>627</v>
      </c>
      <c r="AN187" t="s">
        <v>628</v>
      </c>
      <c r="AO187" t="s">
        <v>3774</v>
      </c>
      <c r="AP187" t="s">
        <v>3775</v>
      </c>
      <c r="AQ187" t="s">
        <v>74</v>
      </c>
      <c r="AR187" t="s">
        <v>3776</v>
      </c>
      <c r="AS187" t="s">
        <v>3777</v>
      </c>
      <c r="AT187" t="s">
        <v>3760</v>
      </c>
      <c r="AU187">
        <v>2023</v>
      </c>
      <c r="AV187" t="s">
        <v>74</v>
      </c>
      <c r="AW187" t="s">
        <v>74</v>
      </c>
      <c r="AX187" t="s">
        <v>74</v>
      </c>
      <c r="AY187" t="s">
        <v>74</v>
      </c>
      <c r="AZ187" t="s">
        <v>74</v>
      </c>
      <c r="BA187" t="s">
        <v>74</v>
      </c>
      <c r="BB187" t="s">
        <v>74</v>
      </c>
      <c r="BC187" t="s">
        <v>74</v>
      </c>
      <c r="BD187" t="s">
        <v>74</v>
      </c>
      <c r="BE187" t="s">
        <v>3778</v>
      </c>
      <c r="BF187" t="str">
        <f>HYPERLINK("http://dx.doi.org/10.1007/s11098-023-02040-3","http://dx.doi.org/10.1007/s11098-023-02040-3")</f>
        <v>http://dx.doi.org/10.1007/s11098-023-02040-3</v>
      </c>
      <c r="BG187" t="s">
        <v>74</v>
      </c>
      <c r="BH187" t="s">
        <v>2079</v>
      </c>
      <c r="BI187">
        <v>21</v>
      </c>
      <c r="BJ187" t="s">
        <v>3779</v>
      </c>
      <c r="BK187" t="s">
        <v>3780</v>
      </c>
      <c r="BL187" t="s">
        <v>3779</v>
      </c>
      <c r="BM187" t="s">
        <v>3781</v>
      </c>
      <c r="BN187" t="s">
        <v>74</v>
      </c>
      <c r="BO187" t="s">
        <v>327</v>
      </c>
      <c r="BP187" t="s">
        <v>74</v>
      </c>
      <c r="BQ187" t="s">
        <v>74</v>
      </c>
      <c r="BR187" t="s">
        <v>99</v>
      </c>
      <c r="BS187" t="s">
        <v>3782</v>
      </c>
      <c r="BT187" t="str">
        <f>HYPERLINK("https%3A%2F%2Fwww.webofscience.com%2Fwos%2Fwoscc%2Ffull-record%2FWOS:001067458600001","View Full Record in Web of Science")</f>
        <v>View Full Record in Web of Science</v>
      </c>
    </row>
    <row r="188" spans="1:72" x14ac:dyDescent="0.15">
      <c r="A188" t="s">
        <v>72</v>
      </c>
      <c r="B188" t="s">
        <v>3783</v>
      </c>
      <c r="C188" t="s">
        <v>74</v>
      </c>
      <c r="D188" t="s">
        <v>74</v>
      </c>
      <c r="E188" t="s">
        <v>74</v>
      </c>
      <c r="F188" t="s">
        <v>3784</v>
      </c>
      <c r="G188" t="s">
        <v>74</v>
      </c>
      <c r="H188" t="s">
        <v>74</v>
      </c>
      <c r="I188" t="s">
        <v>3785</v>
      </c>
      <c r="J188" t="s">
        <v>3786</v>
      </c>
      <c r="K188" t="s">
        <v>74</v>
      </c>
      <c r="L188" t="s">
        <v>74</v>
      </c>
      <c r="M188" t="s">
        <v>78</v>
      </c>
      <c r="N188" t="s">
        <v>79</v>
      </c>
      <c r="O188" t="s">
        <v>74</v>
      </c>
      <c r="P188" t="s">
        <v>74</v>
      </c>
      <c r="Q188" t="s">
        <v>74</v>
      </c>
      <c r="R188" t="s">
        <v>74</v>
      </c>
      <c r="S188" t="s">
        <v>74</v>
      </c>
      <c r="T188" t="s">
        <v>3787</v>
      </c>
      <c r="U188" t="s">
        <v>74</v>
      </c>
      <c r="V188" t="s">
        <v>3788</v>
      </c>
      <c r="W188" t="s">
        <v>3789</v>
      </c>
      <c r="X188" t="s">
        <v>3790</v>
      </c>
      <c r="Y188" t="s">
        <v>3791</v>
      </c>
      <c r="Z188" t="s">
        <v>3792</v>
      </c>
      <c r="AA188" t="s">
        <v>74</v>
      </c>
      <c r="AB188" t="s">
        <v>74</v>
      </c>
      <c r="AC188" t="s">
        <v>3793</v>
      </c>
      <c r="AD188" t="s">
        <v>3793</v>
      </c>
      <c r="AE188" t="s">
        <v>3793</v>
      </c>
      <c r="AF188" t="s">
        <v>74</v>
      </c>
      <c r="AG188">
        <v>30</v>
      </c>
      <c r="AH188">
        <v>0</v>
      </c>
      <c r="AI188">
        <v>0</v>
      </c>
      <c r="AJ188">
        <v>1</v>
      </c>
      <c r="AK188">
        <v>1</v>
      </c>
      <c r="AL188" t="s">
        <v>443</v>
      </c>
      <c r="AM188" t="s">
        <v>245</v>
      </c>
      <c r="AN188" t="s">
        <v>444</v>
      </c>
      <c r="AO188" t="s">
        <v>74</v>
      </c>
      <c r="AP188" t="s">
        <v>3794</v>
      </c>
      <c r="AQ188" t="s">
        <v>74</v>
      </c>
      <c r="AR188" t="s">
        <v>3795</v>
      </c>
      <c r="AS188" t="s">
        <v>3796</v>
      </c>
      <c r="AT188" t="s">
        <v>3797</v>
      </c>
      <c r="AU188">
        <v>2023</v>
      </c>
      <c r="AV188">
        <v>23</v>
      </c>
      <c r="AW188">
        <v>1</v>
      </c>
      <c r="AX188" t="s">
        <v>74</v>
      </c>
      <c r="AY188" t="s">
        <v>74</v>
      </c>
      <c r="AZ188" t="s">
        <v>74</v>
      </c>
      <c r="BA188" t="s">
        <v>74</v>
      </c>
      <c r="BB188" t="s">
        <v>74</v>
      </c>
      <c r="BC188" t="s">
        <v>74</v>
      </c>
      <c r="BD188">
        <v>206</v>
      </c>
      <c r="BE188" t="s">
        <v>3798</v>
      </c>
      <c r="BF188" t="str">
        <f>HYPERLINK("http://dx.doi.org/10.1186/s12935-023-03021-6","http://dx.doi.org/10.1186/s12935-023-03021-6")</f>
        <v>http://dx.doi.org/10.1186/s12935-023-03021-6</v>
      </c>
      <c r="BG188" t="s">
        <v>74</v>
      </c>
      <c r="BH188" t="s">
        <v>74</v>
      </c>
      <c r="BI188">
        <v>14</v>
      </c>
      <c r="BJ188" t="s">
        <v>1951</v>
      </c>
      <c r="BK188" t="s">
        <v>126</v>
      </c>
      <c r="BL188" t="s">
        <v>1951</v>
      </c>
      <c r="BM188" t="s">
        <v>3799</v>
      </c>
      <c r="BN188">
        <v>37718440</v>
      </c>
      <c r="BO188" t="s">
        <v>302</v>
      </c>
      <c r="BP188" t="s">
        <v>74</v>
      </c>
      <c r="BQ188" t="s">
        <v>74</v>
      </c>
      <c r="BR188" t="s">
        <v>99</v>
      </c>
      <c r="BS188" t="s">
        <v>3800</v>
      </c>
      <c r="BT188" t="str">
        <f>HYPERLINK("https%3A%2F%2Fwww.webofscience.com%2Fwos%2Fwoscc%2Ffull-record%2FWOS:001068954700001","View Full Record in Web of Science")</f>
        <v>View Full Record in Web of Science</v>
      </c>
    </row>
    <row r="189" spans="1:72" x14ac:dyDescent="0.15">
      <c r="A189" t="s">
        <v>72</v>
      </c>
      <c r="B189" t="s">
        <v>3801</v>
      </c>
      <c r="C189" t="s">
        <v>74</v>
      </c>
      <c r="D189" t="s">
        <v>74</v>
      </c>
      <c r="E189" t="s">
        <v>74</v>
      </c>
      <c r="F189" t="s">
        <v>3802</v>
      </c>
      <c r="G189" t="s">
        <v>74</v>
      </c>
      <c r="H189" t="s">
        <v>74</v>
      </c>
      <c r="I189" t="s">
        <v>3803</v>
      </c>
      <c r="J189" t="s">
        <v>3804</v>
      </c>
      <c r="K189" t="s">
        <v>74</v>
      </c>
      <c r="L189" t="s">
        <v>74</v>
      </c>
      <c r="M189" t="s">
        <v>78</v>
      </c>
      <c r="N189" t="s">
        <v>1246</v>
      </c>
      <c r="O189" t="s">
        <v>74</v>
      </c>
      <c r="P189" t="s">
        <v>74</v>
      </c>
      <c r="Q189" t="s">
        <v>74</v>
      </c>
      <c r="R189" t="s">
        <v>74</v>
      </c>
      <c r="S189" t="s">
        <v>74</v>
      </c>
      <c r="T189" t="s">
        <v>3805</v>
      </c>
      <c r="U189" t="s">
        <v>3806</v>
      </c>
      <c r="V189" t="s">
        <v>3807</v>
      </c>
      <c r="W189" t="s">
        <v>3808</v>
      </c>
      <c r="X189" t="s">
        <v>3809</v>
      </c>
      <c r="Y189" t="s">
        <v>3810</v>
      </c>
      <c r="Z189" t="s">
        <v>3811</v>
      </c>
      <c r="AA189" t="s">
        <v>74</v>
      </c>
      <c r="AB189" t="s">
        <v>74</v>
      </c>
      <c r="AC189" t="s">
        <v>74</v>
      </c>
      <c r="AD189" t="s">
        <v>74</v>
      </c>
      <c r="AE189" t="s">
        <v>74</v>
      </c>
      <c r="AF189" t="s">
        <v>74</v>
      </c>
      <c r="AG189">
        <v>29</v>
      </c>
      <c r="AH189">
        <v>0</v>
      </c>
      <c r="AI189">
        <v>0</v>
      </c>
      <c r="AJ189">
        <v>0</v>
      </c>
      <c r="AK189">
        <v>0</v>
      </c>
      <c r="AL189" t="s">
        <v>244</v>
      </c>
      <c r="AM189" t="s">
        <v>245</v>
      </c>
      <c r="AN189" t="s">
        <v>246</v>
      </c>
      <c r="AO189" t="s">
        <v>3812</v>
      </c>
      <c r="AP189" t="s">
        <v>3813</v>
      </c>
      <c r="AQ189" t="s">
        <v>74</v>
      </c>
      <c r="AR189" t="s">
        <v>3814</v>
      </c>
      <c r="AS189" t="s">
        <v>3815</v>
      </c>
      <c r="AT189" t="s">
        <v>3816</v>
      </c>
      <c r="AU189">
        <v>2023</v>
      </c>
      <c r="AV189" t="s">
        <v>74</v>
      </c>
      <c r="AW189" t="s">
        <v>74</v>
      </c>
      <c r="AX189" t="s">
        <v>74</v>
      </c>
      <c r="AY189" t="s">
        <v>74</v>
      </c>
      <c r="AZ189" t="s">
        <v>74</v>
      </c>
      <c r="BA189" t="s">
        <v>74</v>
      </c>
      <c r="BB189" t="s">
        <v>74</v>
      </c>
      <c r="BC189" t="s">
        <v>74</v>
      </c>
      <c r="BD189" t="s">
        <v>74</v>
      </c>
      <c r="BE189" t="s">
        <v>3817</v>
      </c>
      <c r="BF189" t="str">
        <f>HYPERLINK("http://dx.doi.org/10.1007/s10115-023-01956","http://dx.doi.org/10.1007/s10115-023-01956")</f>
        <v>http://dx.doi.org/10.1007/s10115-023-01956</v>
      </c>
      <c r="BG189" t="s">
        <v>74</v>
      </c>
      <c r="BH189" t="s">
        <v>2079</v>
      </c>
      <c r="BI189">
        <v>26</v>
      </c>
      <c r="BJ189" t="s">
        <v>3818</v>
      </c>
      <c r="BK189" t="s">
        <v>126</v>
      </c>
      <c r="BL189" t="s">
        <v>1139</v>
      </c>
      <c r="BM189" t="s">
        <v>3819</v>
      </c>
      <c r="BN189" t="s">
        <v>74</v>
      </c>
      <c r="BO189" t="s">
        <v>74</v>
      </c>
      <c r="BP189" t="s">
        <v>74</v>
      </c>
      <c r="BQ189" t="s">
        <v>74</v>
      </c>
      <c r="BR189" t="s">
        <v>99</v>
      </c>
      <c r="BS189" t="s">
        <v>3820</v>
      </c>
      <c r="BT189" t="str">
        <f>HYPERLINK("https%3A%2F%2Fwww.webofscience.com%2Fwos%2Fwoscc%2Ffull-record%2FWOS:001066953600003","View Full Record in Web of Science")</f>
        <v>View Full Record in Web of Science</v>
      </c>
    </row>
    <row r="190" spans="1:72" x14ac:dyDescent="0.15">
      <c r="A190" t="s">
        <v>72</v>
      </c>
      <c r="B190" t="s">
        <v>3821</v>
      </c>
      <c r="C190" t="s">
        <v>74</v>
      </c>
      <c r="D190" t="s">
        <v>74</v>
      </c>
      <c r="E190" t="s">
        <v>74</v>
      </c>
      <c r="F190" t="s">
        <v>3822</v>
      </c>
      <c r="G190" t="s">
        <v>74</v>
      </c>
      <c r="H190" t="s">
        <v>74</v>
      </c>
      <c r="I190" t="s">
        <v>3823</v>
      </c>
      <c r="J190" t="s">
        <v>2087</v>
      </c>
      <c r="K190" t="s">
        <v>74</v>
      </c>
      <c r="L190" t="s">
        <v>74</v>
      </c>
      <c r="M190" t="s">
        <v>78</v>
      </c>
      <c r="N190" t="s">
        <v>79</v>
      </c>
      <c r="O190" t="s">
        <v>74</v>
      </c>
      <c r="P190" t="s">
        <v>74</v>
      </c>
      <c r="Q190" t="s">
        <v>74</v>
      </c>
      <c r="R190" t="s">
        <v>74</v>
      </c>
      <c r="S190" t="s">
        <v>74</v>
      </c>
      <c r="T190" t="s">
        <v>3824</v>
      </c>
      <c r="U190" t="s">
        <v>74</v>
      </c>
      <c r="V190" t="s">
        <v>3825</v>
      </c>
      <c r="W190" t="s">
        <v>3826</v>
      </c>
      <c r="X190" t="s">
        <v>3827</v>
      </c>
      <c r="Y190" t="s">
        <v>3828</v>
      </c>
      <c r="Z190" t="s">
        <v>3829</v>
      </c>
      <c r="AA190" t="s">
        <v>74</v>
      </c>
      <c r="AB190" t="s">
        <v>74</v>
      </c>
      <c r="AC190" t="s">
        <v>3830</v>
      </c>
      <c r="AD190" t="s">
        <v>3830</v>
      </c>
      <c r="AE190" t="s">
        <v>3830</v>
      </c>
      <c r="AF190" t="s">
        <v>74</v>
      </c>
      <c r="AG190">
        <v>27</v>
      </c>
      <c r="AH190">
        <v>0</v>
      </c>
      <c r="AI190">
        <v>0</v>
      </c>
      <c r="AJ190">
        <v>0</v>
      </c>
      <c r="AK190">
        <v>0</v>
      </c>
      <c r="AL190" t="s">
        <v>317</v>
      </c>
      <c r="AM190" t="s">
        <v>245</v>
      </c>
      <c r="AN190" t="s">
        <v>318</v>
      </c>
      <c r="AO190" t="s">
        <v>74</v>
      </c>
      <c r="AP190" t="s">
        <v>2096</v>
      </c>
      <c r="AQ190" t="s">
        <v>74</v>
      </c>
      <c r="AR190" t="s">
        <v>2097</v>
      </c>
      <c r="AS190" t="s">
        <v>2098</v>
      </c>
      <c r="AT190" t="s">
        <v>3831</v>
      </c>
      <c r="AU190">
        <v>2023</v>
      </c>
      <c r="AV190">
        <v>10</v>
      </c>
      <c r="AW190">
        <v>1</v>
      </c>
      <c r="AX190" t="s">
        <v>74</v>
      </c>
      <c r="AY190" t="s">
        <v>74</v>
      </c>
      <c r="AZ190" t="s">
        <v>74</v>
      </c>
      <c r="BA190" t="s">
        <v>74</v>
      </c>
      <c r="BB190" t="s">
        <v>74</v>
      </c>
      <c r="BC190" t="s">
        <v>74</v>
      </c>
      <c r="BD190">
        <v>143</v>
      </c>
      <c r="BE190" t="s">
        <v>3832</v>
      </c>
      <c r="BF190" t="str">
        <f>HYPERLINK("http://dx.doi.org/10.1186/s40537-023-00822-4","http://dx.doi.org/10.1186/s40537-023-00822-4")</f>
        <v>http://dx.doi.org/10.1186/s40537-023-00822-4</v>
      </c>
      <c r="BG190" t="s">
        <v>74</v>
      </c>
      <c r="BH190" t="s">
        <v>74</v>
      </c>
      <c r="BI190">
        <v>13</v>
      </c>
      <c r="BJ190" t="s">
        <v>2101</v>
      </c>
      <c r="BK190" t="s">
        <v>126</v>
      </c>
      <c r="BL190" t="s">
        <v>1139</v>
      </c>
      <c r="BM190" t="s">
        <v>3833</v>
      </c>
      <c r="BN190" t="s">
        <v>74</v>
      </c>
      <c r="BO190" t="s">
        <v>302</v>
      </c>
      <c r="BP190" t="s">
        <v>74</v>
      </c>
      <c r="BQ190" t="s">
        <v>74</v>
      </c>
      <c r="BR190" t="s">
        <v>99</v>
      </c>
      <c r="BS190" t="s">
        <v>3834</v>
      </c>
      <c r="BT190" t="str">
        <f>HYPERLINK("https%3A%2F%2Fwww.webofscience.com%2Fwos%2Fwoscc%2Ffull-record%2FWOS:001067228500001","View Full Record in Web of Science")</f>
        <v>View Full Record in Web of Science</v>
      </c>
    </row>
    <row r="191" spans="1:72" x14ac:dyDescent="0.15">
      <c r="A191" t="s">
        <v>72</v>
      </c>
      <c r="B191" t="s">
        <v>3835</v>
      </c>
      <c r="C191" t="s">
        <v>74</v>
      </c>
      <c r="D191" t="s">
        <v>74</v>
      </c>
      <c r="E191" t="s">
        <v>74</v>
      </c>
      <c r="F191" t="s">
        <v>3836</v>
      </c>
      <c r="G191" t="s">
        <v>74</v>
      </c>
      <c r="H191" t="s">
        <v>74</v>
      </c>
      <c r="I191" t="s">
        <v>3837</v>
      </c>
      <c r="J191" t="s">
        <v>3838</v>
      </c>
      <c r="K191" t="s">
        <v>74</v>
      </c>
      <c r="L191" t="s">
        <v>74</v>
      </c>
      <c r="M191" t="s">
        <v>78</v>
      </c>
      <c r="N191" t="s">
        <v>79</v>
      </c>
      <c r="O191" t="s">
        <v>74</v>
      </c>
      <c r="P191" t="s">
        <v>74</v>
      </c>
      <c r="Q191" t="s">
        <v>74</v>
      </c>
      <c r="R191" t="s">
        <v>74</v>
      </c>
      <c r="S191" t="s">
        <v>74</v>
      </c>
      <c r="T191" t="s">
        <v>3839</v>
      </c>
      <c r="U191" t="s">
        <v>74</v>
      </c>
      <c r="V191" t="s">
        <v>3840</v>
      </c>
      <c r="W191" t="s">
        <v>3841</v>
      </c>
      <c r="X191" t="s">
        <v>3842</v>
      </c>
      <c r="Y191" t="s">
        <v>3843</v>
      </c>
      <c r="Z191" t="s">
        <v>3844</v>
      </c>
      <c r="AA191" t="s">
        <v>74</v>
      </c>
      <c r="AB191" t="s">
        <v>74</v>
      </c>
      <c r="AC191" t="s">
        <v>932</v>
      </c>
      <c r="AD191" t="s">
        <v>932</v>
      </c>
      <c r="AE191" t="s">
        <v>932</v>
      </c>
      <c r="AF191" t="s">
        <v>74</v>
      </c>
      <c r="AG191">
        <v>18</v>
      </c>
      <c r="AH191">
        <v>0</v>
      </c>
      <c r="AI191">
        <v>0</v>
      </c>
      <c r="AJ191">
        <v>0</v>
      </c>
      <c r="AK191">
        <v>0</v>
      </c>
      <c r="AL191" t="s">
        <v>443</v>
      </c>
      <c r="AM191" t="s">
        <v>245</v>
      </c>
      <c r="AN191" t="s">
        <v>444</v>
      </c>
      <c r="AO191" t="s">
        <v>74</v>
      </c>
      <c r="AP191" t="s">
        <v>3845</v>
      </c>
      <c r="AQ191" t="s">
        <v>74</v>
      </c>
      <c r="AR191" t="s">
        <v>3846</v>
      </c>
      <c r="AS191" t="s">
        <v>3847</v>
      </c>
      <c r="AT191" t="s">
        <v>3831</v>
      </c>
      <c r="AU191">
        <v>2023</v>
      </c>
      <c r="AV191">
        <v>12</v>
      </c>
      <c r="AW191">
        <v>1</v>
      </c>
      <c r="AX191" t="s">
        <v>74</v>
      </c>
      <c r="AY191" t="s">
        <v>74</v>
      </c>
      <c r="AZ191" t="s">
        <v>74</v>
      </c>
      <c r="BA191" t="s">
        <v>74</v>
      </c>
      <c r="BB191" t="s">
        <v>74</v>
      </c>
      <c r="BC191" t="s">
        <v>74</v>
      </c>
      <c r="BD191">
        <v>50</v>
      </c>
      <c r="BE191" t="s">
        <v>3848</v>
      </c>
      <c r="BF191" t="str">
        <f>HYPERLINK("http://dx.doi.org/10.1186/s13741-023-00340-0","http://dx.doi.org/10.1186/s13741-023-00340-0")</f>
        <v>http://dx.doi.org/10.1186/s13741-023-00340-0</v>
      </c>
      <c r="BG191" t="s">
        <v>74</v>
      </c>
      <c r="BH191" t="s">
        <v>74</v>
      </c>
      <c r="BI191">
        <v>7</v>
      </c>
      <c r="BJ191" t="s">
        <v>3849</v>
      </c>
      <c r="BK191" t="s">
        <v>126</v>
      </c>
      <c r="BL191" t="s">
        <v>3849</v>
      </c>
      <c r="BM191" t="s">
        <v>3850</v>
      </c>
      <c r="BN191">
        <v>37715220</v>
      </c>
      <c r="BO191" t="s">
        <v>157</v>
      </c>
      <c r="BP191" t="s">
        <v>74</v>
      </c>
      <c r="BQ191" t="s">
        <v>74</v>
      </c>
      <c r="BR191" t="s">
        <v>99</v>
      </c>
      <c r="BS191" t="s">
        <v>3851</v>
      </c>
      <c r="BT191" t="str">
        <f>HYPERLINK("https%3A%2F%2Fwww.webofscience.com%2Fwos%2Fwoscc%2Ffull-record%2FWOS:001068887600001","View Full Record in Web of Science")</f>
        <v>View Full Record in Web of Science</v>
      </c>
    </row>
    <row r="192" spans="1:72" x14ac:dyDescent="0.15">
      <c r="A192" t="s">
        <v>72</v>
      </c>
      <c r="B192" t="s">
        <v>3852</v>
      </c>
      <c r="C192" t="s">
        <v>74</v>
      </c>
      <c r="D192" t="s">
        <v>74</v>
      </c>
      <c r="E192" t="s">
        <v>74</v>
      </c>
      <c r="F192" t="s">
        <v>3853</v>
      </c>
      <c r="G192" t="s">
        <v>74</v>
      </c>
      <c r="H192" t="s">
        <v>74</v>
      </c>
      <c r="I192" t="s">
        <v>3854</v>
      </c>
      <c r="J192" t="s">
        <v>3855</v>
      </c>
      <c r="K192" t="s">
        <v>74</v>
      </c>
      <c r="L192" t="s">
        <v>74</v>
      </c>
      <c r="M192" t="s">
        <v>78</v>
      </c>
      <c r="N192" t="s">
        <v>1246</v>
      </c>
      <c r="O192" t="s">
        <v>74</v>
      </c>
      <c r="P192" t="s">
        <v>74</v>
      </c>
      <c r="Q192" t="s">
        <v>74</v>
      </c>
      <c r="R192" t="s">
        <v>74</v>
      </c>
      <c r="S192" t="s">
        <v>74</v>
      </c>
      <c r="T192" t="s">
        <v>3856</v>
      </c>
      <c r="U192" t="s">
        <v>3857</v>
      </c>
      <c r="V192" t="s">
        <v>3858</v>
      </c>
      <c r="W192" t="s">
        <v>3859</v>
      </c>
      <c r="X192" t="s">
        <v>3860</v>
      </c>
      <c r="Y192" t="s">
        <v>3861</v>
      </c>
      <c r="Z192" t="s">
        <v>3862</v>
      </c>
      <c r="AA192" t="s">
        <v>74</v>
      </c>
      <c r="AB192" t="s">
        <v>74</v>
      </c>
      <c r="AC192" t="s">
        <v>3863</v>
      </c>
      <c r="AD192" t="s">
        <v>3864</v>
      </c>
      <c r="AE192" t="s">
        <v>3865</v>
      </c>
      <c r="AF192" t="s">
        <v>74</v>
      </c>
      <c r="AG192">
        <v>55</v>
      </c>
      <c r="AH192">
        <v>0</v>
      </c>
      <c r="AI192">
        <v>0</v>
      </c>
      <c r="AJ192">
        <v>0</v>
      </c>
      <c r="AK192">
        <v>0</v>
      </c>
      <c r="AL192" t="s">
        <v>317</v>
      </c>
      <c r="AM192" t="s">
        <v>245</v>
      </c>
      <c r="AN192" t="s">
        <v>318</v>
      </c>
      <c r="AO192" t="s">
        <v>3866</v>
      </c>
      <c r="AP192" t="s">
        <v>3867</v>
      </c>
      <c r="AQ192" t="s">
        <v>74</v>
      </c>
      <c r="AR192" t="s">
        <v>3868</v>
      </c>
      <c r="AS192" t="s">
        <v>3869</v>
      </c>
      <c r="AT192" t="s">
        <v>3816</v>
      </c>
      <c r="AU192">
        <v>2023</v>
      </c>
      <c r="AV192" t="s">
        <v>74</v>
      </c>
      <c r="AW192" t="s">
        <v>74</v>
      </c>
      <c r="AX192" t="s">
        <v>74</v>
      </c>
      <c r="AY192" t="s">
        <v>74</v>
      </c>
      <c r="AZ192" t="s">
        <v>74</v>
      </c>
      <c r="BA192" t="s">
        <v>74</v>
      </c>
      <c r="BB192" t="s">
        <v>74</v>
      </c>
      <c r="BC192" t="s">
        <v>74</v>
      </c>
      <c r="BD192" t="s">
        <v>74</v>
      </c>
      <c r="BE192" t="s">
        <v>3870</v>
      </c>
      <c r="BF192" t="str">
        <f>HYPERLINK("http://dx.doi.org/10.1007/s12011-023-03774-1","http://dx.doi.org/10.1007/s12011-023-03774-1")</f>
        <v>http://dx.doi.org/10.1007/s12011-023-03774-1</v>
      </c>
      <c r="BG192" t="s">
        <v>74</v>
      </c>
      <c r="BH192" t="s">
        <v>2079</v>
      </c>
      <c r="BI192">
        <v>10</v>
      </c>
      <c r="BJ192" t="s">
        <v>3871</v>
      </c>
      <c r="BK192" t="s">
        <v>126</v>
      </c>
      <c r="BL192" t="s">
        <v>3871</v>
      </c>
      <c r="BM192" t="s">
        <v>3872</v>
      </c>
      <c r="BN192">
        <v>37715918</v>
      </c>
      <c r="BO192" t="s">
        <v>74</v>
      </c>
      <c r="BP192" t="s">
        <v>74</v>
      </c>
      <c r="BQ192" t="s">
        <v>74</v>
      </c>
      <c r="BR192" t="s">
        <v>99</v>
      </c>
      <c r="BS192" t="s">
        <v>3873</v>
      </c>
      <c r="BT192" t="str">
        <f>HYPERLINK("https%3A%2F%2Fwww.webofscience.com%2Fwos%2Fwoscc%2Ffull-record%2FWOS:001066128600001","View Full Record in Web of Science")</f>
        <v>View Full Record in Web of Science</v>
      </c>
    </row>
    <row r="193" spans="1:72" x14ac:dyDescent="0.15">
      <c r="A193" t="s">
        <v>72</v>
      </c>
      <c r="B193" t="s">
        <v>3874</v>
      </c>
      <c r="C193" t="s">
        <v>74</v>
      </c>
      <c r="D193" t="s">
        <v>74</v>
      </c>
      <c r="E193" t="s">
        <v>74</v>
      </c>
      <c r="F193" t="s">
        <v>3875</v>
      </c>
      <c r="G193" t="s">
        <v>74</v>
      </c>
      <c r="H193" t="s">
        <v>74</v>
      </c>
      <c r="I193" t="s">
        <v>3876</v>
      </c>
      <c r="J193" t="s">
        <v>3877</v>
      </c>
      <c r="K193" t="s">
        <v>74</v>
      </c>
      <c r="L193" t="s">
        <v>74</v>
      </c>
      <c r="M193" t="s">
        <v>78</v>
      </c>
      <c r="N193" t="s">
        <v>1246</v>
      </c>
      <c r="O193" t="s">
        <v>74</v>
      </c>
      <c r="P193" t="s">
        <v>74</v>
      </c>
      <c r="Q193" t="s">
        <v>74</v>
      </c>
      <c r="R193" t="s">
        <v>74</v>
      </c>
      <c r="S193" t="s">
        <v>74</v>
      </c>
      <c r="T193" t="s">
        <v>3878</v>
      </c>
      <c r="U193" t="s">
        <v>3879</v>
      </c>
      <c r="V193" t="s">
        <v>3880</v>
      </c>
      <c r="W193" t="s">
        <v>3881</v>
      </c>
      <c r="X193" t="s">
        <v>3882</v>
      </c>
      <c r="Y193" t="s">
        <v>3883</v>
      </c>
      <c r="Z193" t="s">
        <v>3884</v>
      </c>
      <c r="AA193" t="s">
        <v>74</v>
      </c>
      <c r="AB193" t="s">
        <v>74</v>
      </c>
      <c r="AC193" t="s">
        <v>74</v>
      </c>
      <c r="AD193" t="s">
        <v>74</v>
      </c>
      <c r="AE193" t="s">
        <v>74</v>
      </c>
      <c r="AF193" t="s">
        <v>74</v>
      </c>
      <c r="AG193">
        <v>11</v>
      </c>
      <c r="AH193">
        <v>0</v>
      </c>
      <c r="AI193">
        <v>0</v>
      </c>
      <c r="AJ193">
        <v>0</v>
      </c>
      <c r="AK193">
        <v>0</v>
      </c>
      <c r="AL193" t="s">
        <v>117</v>
      </c>
      <c r="AM193" t="s">
        <v>118</v>
      </c>
      <c r="AN193" t="s">
        <v>119</v>
      </c>
      <c r="AO193" t="s">
        <v>3885</v>
      </c>
      <c r="AP193" t="s">
        <v>3886</v>
      </c>
      <c r="AQ193" t="s">
        <v>74</v>
      </c>
      <c r="AR193" t="s">
        <v>3877</v>
      </c>
      <c r="AS193" t="s">
        <v>3887</v>
      </c>
      <c r="AT193" t="s">
        <v>3816</v>
      </c>
      <c r="AU193">
        <v>2023</v>
      </c>
      <c r="AV193" t="s">
        <v>74</v>
      </c>
      <c r="AW193" t="s">
        <v>74</v>
      </c>
      <c r="AX193" t="s">
        <v>74</v>
      </c>
      <c r="AY193" t="s">
        <v>74</v>
      </c>
      <c r="AZ193" t="s">
        <v>74</v>
      </c>
      <c r="BA193" t="s">
        <v>74</v>
      </c>
      <c r="BB193" t="s">
        <v>74</v>
      </c>
      <c r="BC193" t="s">
        <v>74</v>
      </c>
      <c r="BD193" t="s">
        <v>74</v>
      </c>
      <c r="BE193" t="s">
        <v>3888</v>
      </c>
      <c r="BF193" t="str">
        <f>HYPERLINK("http://dx.doi.org/10.1007/s12311-023-01605-6","http://dx.doi.org/10.1007/s12311-023-01605-6")</f>
        <v>http://dx.doi.org/10.1007/s12311-023-01605-6</v>
      </c>
      <c r="BG193" t="s">
        <v>74</v>
      </c>
      <c r="BH193" t="s">
        <v>2079</v>
      </c>
      <c r="BI193">
        <v>4</v>
      </c>
      <c r="BJ193" t="s">
        <v>3889</v>
      </c>
      <c r="BK193" t="s">
        <v>126</v>
      </c>
      <c r="BL193" t="s">
        <v>2057</v>
      </c>
      <c r="BM193" t="s">
        <v>3890</v>
      </c>
      <c r="BN193">
        <v>37715888</v>
      </c>
      <c r="BO193" t="s">
        <v>74</v>
      </c>
      <c r="BP193" t="s">
        <v>74</v>
      </c>
      <c r="BQ193" t="s">
        <v>74</v>
      </c>
      <c r="BR193" t="s">
        <v>99</v>
      </c>
      <c r="BS193" t="s">
        <v>3891</v>
      </c>
      <c r="BT193" t="str">
        <f>HYPERLINK("https%3A%2F%2Fwww.webofscience.com%2Fwos%2Fwoscc%2Ffull-record%2FWOS:001066914900001","View Full Record in Web of Science")</f>
        <v>View Full Record in Web of Science</v>
      </c>
    </row>
    <row r="194" spans="1:72" x14ac:dyDescent="0.15">
      <c r="A194" t="s">
        <v>72</v>
      </c>
      <c r="B194" t="s">
        <v>3892</v>
      </c>
      <c r="C194" t="s">
        <v>74</v>
      </c>
      <c r="D194" t="s">
        <v>74</v>
      </c>
      <c r="E194" t="s">
        <v>74</v>
      </c>
      <c r="F194" t="s">
        <v>3893</v>
      </c>
      <c r="G194" t="s">
        <v>74</v>
      </c>
      <c r="H194" t="s">
        <v>74</v>
      </c>
      <c r="I194" t="s">
        <v>3894</v>
      </c>
      <c r="J194" t="s">
        <v>3895</v>
      </c>
      <c r="K194" t="s">
        <v>74</v>
      </c>
      <c r="L194" t="s">
        <v>74</v>
      </c>
      <c r="M194" t="s">
        <v>78</v>
      </c>
      <c r="N194" t="s">
        <v>1246</v>
      </c>
      <c r="O194" t="s">
        <v>74</v>
      </c>
      <c r="P194" t="s">
        <v>74</v>
      </c>
      <c r="Q194" t="s">
        <v>74</v>
      </c>
      <c r="R194" t="s">
        <v>74</v>
      </c>
      <c r="S194" t="s">
        <v>74</v>
      </c>
      <c r="T194" t="s">
        <v>3896</v>
      </c>
      <c r="U194" t="s">
        <v>3897</v>
      </c>
      <c r="V194" t="s">
        <v>3898</v>
      </c>
      <c r="W194" t="s">
        <v>3899</v>
      </c>
      <c r="X194" t="s">
        <v>3900</v>
      </c>
      <c r="Y194" t="s">
        <v>3901</v>
      </c>
      <c r="Z194" t="s">
        <v>3902</v>
      </c>
      <c r="AA194" t="s">
        <v>74</v>
      </c>
      <c r="AB194" t="s">
        <v>74</v>
      </c>
      <c r="AC194" t="s">
        <v>74</v>
      </c>
      <c r="AD194" t="s">
        <v>74</v>
      </c>
      <c r="AE194" t="s">
        <v>74</v>
      </c>
      <c r="AF194" t="s">
        <v>74</v>
      </c>
      <c r="AG194">
        <v>50</v>
      </c>
      <c r="AH194">
        <v>0</v>
      </c>
      <c r="AI194">
        <v>0</v>
      </c>
      <c r="AJ194">
        <v>0</v>
      </c>
      <c r="AK194">
        <v>0</v>
      </c>
      <c r="AL194" t="s">
        <v>117</v>
      </c>
      <c r="AM194" t="s">
        <v>118</v>
      </c>
      <c r="AN194" t="s">
        <v>119</v>
      </c>
      <c r="AO194" t="s">
        <v>3903</v>
      </c>
      <c r="AP194" t="s">
        <v>3904</v>
      </c>
      <c r="AQ194" t="s">
        <v>74</v>
      </c>
      <c r="AR194" t="s">
        <v>3905</v>
      </c>
      <c r="AS194" t="s">
        <v>3906</v>
      </c>
      <c r="AT194" t="s">
        <v>3816</v>
      </c>
      <c r="AU194">
        <v>2023</v>
      </c>
      <c r="AV194" t="s">
        <v>74</v>
      </c>
      <c r="AW194" t="s">
        <v>74</v>
      </c>
      <c r="AX194" t="s">
        <v>74</v>
      </c>
      <c r="AY194" t="s">
        <v>74</v>
      </c>
      <c r="AZ194" t="s">
        <v>74</v>
      </c>
      <c r="BA194" t="s">
        <v>74</v>
      </c>
      <c r="BB194" t="s">
        <v>74</v>
      </c>
      <c r="BC194" t="s">
        <v>74</v>
      </c>
      <c r="BD194" t="s">
        <v>74</v>
      </c>
      <c r="BE194" t="s">
        <v>3907</v>
      </c>
      <c r="BF194" t="str">
        <f>HYPERLINK("http://dx.doi.org/10.1007/s11036-023-02245-0","http://dx.doi.org/10.1007/s11036-023-02245-0")</f>
        <v>http://dx.doi.org/10.1007/s11036-023-02245-0</v>
      </c>
      <c r="BG194" t="s">
        <v>74</v>
      </c>
      <c r="BH194" t="s">
        <v>2079</v>
      </c>
      <c r="BI194">
        <v>14</v>
      </c>
      <c r="BJ194" t="s">
        <v>3908</v>
      </c>
      <c r="BK194" t="s">
        <v>126</v>
      </c>
      <c r="BL194" t="s">
        <v>1326</v>
      </c>
      <c r="BM194" t="s">
        <v>3909</v>
      </c>
      <c r="BN194" t="s">
        <v>74</v>
      </c>
      <c r="BO194" t="s">
        <v>74</v>
      </c>
      <c r="BP194" t="s">
        <v>74</v>
      </c>
      <c r="BQ194" t="s">
        <v>74</v>
      </c>
      <c r="BR194" t="s">
        <v>99</v>
      </c>
      <c r="BS194" t="s">
        <v>3910</v>
      </c>
      <c r="BT194" t="str">
        <f>HYPERLINK("https%3A%2F%2Fwww.webofscience.com%2Fwos%2Fwoscc%2Ffull-record%2FWOS:001066946600004","View Full Record in Web of Science")</f>
        <v>View Full Record in Web of Science</v>
      </c>
    </row>
    <row r="195" spans="1:72" x14ac:dyDescent="0.15">
      <c r="A195" t="s">
        <v>72</v>
      </c>
      <c r="B195" t="s">
        <v>3911</v>
      </c>
      <c r="C195" t="s">
        <v>74</v>
      </c>
      <c r="D195" t="s">
        <v>74</v>
      </c>
      <c r="E195" t="s">
        <v>74</v>
      </c>
      <c r="F195" t="s">
        <v>3912</v>
      </c>
      <c r="G195" t="s">
        <v>74</v>
      </c>
      <c r="H195" t="s">
        <v>74</v>
      </c>
      <c r="I195" t="s">
        <v>3913</v>
      </c>
      <c r="J195" t="s">
        <v>3914</v>
      </c>
      <c r="K195" t="s">
        <v>74</v>
      </c>
      <c r="L195" t="s">
        <v>74</v>
      </c>
      <c r="M195" t="s">
        <v>78</v>
      </c>
      <c r="N195" t="s">
        <v>1246</v>
      </c>
      <c r="O195" t="s">
        <v>74</v>
      </c>
      <c r="P195" t="s">
        <v>74</v>
      </c>
      <c r="Q195" t="s">
        <v>74</v>
      </c>
      <c r="R195" t="s">
        <v>74</v>
      </c>
      <c r="S195" t="s">
        <v>74</v>
      </c>
      <c r="T195" t="s">
        <v>3915</v>
      </c>
      <c r="U195" t="s">
        <v>3916</v>
      </c>
      <c r="V195" t="s">
        <v>3917</v>
      </c>
      <c r="W195" t="s">
        <v>3918</v>
      </c>
      <c r="X195" t="s">
        <v>3919</v>
      </c>
      <c r="Y195" t="s">
        <v>3920</v>
      </c>
      <c r="Z195" t="s">
        <v>3921</v>
      </c>
      <c r="AA195" t="s">
        <v>74</v>
      </c>
      <c r="AB195" t="s">
        <v>74</v>
      </c>
      <c r="AC195" t="s">
        <v>3922</v>
      </c>
      <c r="AD195" t="s">
        <v>3923</v>
      </c>
      <c r="AE195" t="s">
        <v>3924</v>
      </c>
      <c r="AF195" t="s">
        <v>74</v>
      </c>
      <c r="AG195">
        <v>42</v>
      </c>
      <c r="AH195">
        <v>0</v>
      </c>
      <c r="AI195">
        <v>0</v>
      </c>
      <c r="AJ195">
        <v>0</v>
      </c>
      <c r="AK195">
        <v>0</v>
      </c>
      <c r="AL195" t="s">
        <v>269</v>
      </c>
      <c r="AM195" t="s">
        <v>118</v>
      </c>
      <c r="AN195" t="s">
        <v>270</v>
      </c>
      <c r="AO195" t="s">
        <v>3925</v>
      </c>
      <c r="AP195" t="s">
        <v>3926</v>
      </c>
      <c r="AQ195" t="s">
        <v>74</v>
      </c>
      <c r="AR195" t="s">
        <v>3927</v>
      </c>
      <c r="AS195" t="s">
        <v>3928</v>
      </c>
      <c r="AT195" t="s">
        <v>3816</v>
      </c>
      <c r="AU195">
        <v>2023</v>
      </c>
      <c r="AV195" t="s">
        <v>74</v>
      </c>
      <c r="AW195" t="s">
        <v>74</v>
      </c>
      <c r="AX195" t="s">
        <v>74</v>
      </c>
      <c r="AY195" t="s">
        <v>74</v>
      </c>
      <c r="AZ195" t="s">
        <v>74</v>
      </c>
      <c r="BA195" t="s">
        <v>74</v>
      </c>
      <c r="BB195" t="s">
        <v>74</v>
      </c>
      <c r="BC195" t="s">
        <v>74</v>
      </c>
      <c r="BD195" t="s">
        <v>74</v>
      </c>
      <c r="BE195" t="s">
        <v>3929</v>
      </c>
      <c r="BF195" t="str">
        <f>HYPERLINK("http://dx.doi.org/10.1007/s11213-023-09662","http://dx.doi.org/10.1007/s11213-023-09662")</f>
        <v>http://dx.doi.org/10.1007/s11213-023-09662</v>
      </c>
      <c r="BG195" t="s">
        <v>74</v>
      </c>
      <c r="BH195" t="s">
        <v>2079</v>
      </c>
      <c r="BI195">
        <v>17</v>
      </c>
      <c r="BJ195" t="s">
        <v>2473</v>
      </c>
      <c r="BK195" t="s">
        <v>425</v>
      </c>
      <c r="BL195" t="s">
        <v>426</v>
      </c>
      <c r="BM195" t="s">
        <v>3930</v>
      </c>
      <c r="BN195" t="s">
        <v>74</v>
      </c>
      <c r="BO195" t="s">
        <v>74</v>
      </c>
      <c r="BP195" t="s">
        <v>74</v>
      </c>
      <c r="BQ195" t="s">
        <v>74</v>
      </c>
      <c r="BR195" t="s">
        <v>99</v>
      </c>
      <c r="BS195" t="s">
        <v>3931</v>
      </c>
      <c r="BT195" t="str">
        <f>HYPERLINK("https%3A%2F%2Fwww.webofscience.com%2Fwos%2Fwoscc%2Ffull-record%2FWOS:001066920700001","View Full Record in Web of Science")</f>
        <v>View Full Record in Web of Science</v>
      </c>
    </row>
    <row r="196" spans="1:72" x14ac:dyDescent="0.15">
      <c r="A196" t="s">
        <v>72</v>
      </c>
      <c r="B196" t="s">
        <v>3932</v>
      </c>
      <c r="C196" t="s">
        <v>74</v>
      </c>
      <c r="D196" t="s">
        <v>74</v>
      </c>
      <c r="E196" t="s">
        <v>74</v>
      </c>
      <c r="F196" t="s">
        <v>3933</v>
      </c>
      <c r="G196" t="s">
        <v>74</v>
      </c>
      <c r="H196" t="s">
        <v>74</v>
      </c>
      <c r="I196" t="s">
        <v>3934</v>
      </c>
      <c r="J196" t="s">
        <v>3935</v>
      </c>
      <c r="K196" t="s">
        <v>74</v>
      </c>
      <c r="L196" t="s">
        <v>74</v>
      </c>
      <c r="M196" t="s">
        <v>78</v>
      </c>
      <c r="N196" t="s">
        <v>1246</v>
      </c>
      <c r="O196" t="s">
        <v>74</v>
      </c>
      <c r="P196" t="s">
        <v>74</v>
      </c>
      <c r="Q196" t="s">
        <v>74</v>
      </c>
      <c r="R196" t="s">
        <v>74</v>
      </c>
      <c r="S196" t="s">
        <v>74</v>
      </c>
      <c r="T196" t="s">
        <v>3936</v>
      </c>
      <c r="U196" t="s">
        <v>3937</v>
      </c>
      <c r="V196" t="s">
        <v>3938</v>
      </c>
      <c r="W196" t="s">
        <v>3939</v>
      </c>
      <c r="X196" t="s">
        <v>3940</v>
      </c>
      <c r="Y196" t="s">
        <v>3941</v>
      </c>
      <c r="Z196" t="s">
        <v>3942</v>
      </c>
      <c r="AA196" t="s">
        <v>3943</v>
      </c>
      <c r="AB196" t="s">
        <v>3944</v>
      </c>
      <c r="AC196" t="s">
        <v>3945</v>
      </c>
      <c r="AD196" t="s">
        <v>3945</v>
      </c>
      <c r="AE196" t="s">
        <v>3946</v>
      </c>
      <c r="AF196" t="s">
        <v>74</v>
      </c>
      <c r="AG196">
        <v>48</v>
      </c>
      <c r="AH196">
        <v>0</v>
      </c>
      <c r="AI196">
        <v>0</v>
      </c>
      <c r="AJ196">
        <v>0</v>
      </c>
      <c r="AK196">
        <v>0</v>
      </c>
      <c r="AL196" t="s">
        <v>117</v>
      </c>
      <c r="AM196" t="s">
        <v>627</v>
      </c>
      <c r="AN196" t="s">
        <v>628</v>
      </c>
      <c r="AO196" t="s">
        <v>3947</v>
      </c>
      <c r="AP196" t="s">
        <v>3948</v>
      </c>
      <c r="AQ196" t="s">
        <v>74</v>
      </c>
      <c r="AR196" t="s">
        <v>3935</v>
      </c>
      <c r="AS196" t="s">
        <v>3949</v>
      </c>
      <c r="AT196" t="s">
        <v>3816</v>
      </c>
      <c r="AU196">
        <v>2023</v>
      </c>
      <c r="AV196" t="s">
        <v>74</v>
      </c>
      <c r="AW196" t="s">
        <v>74</v>
      </c>
      <c r="AX196" t="s">
        <v>74</v>
      </c>
      <c r="AY196" t="s">
        <v>74</v>
      </c>
      <c r="AZ196" t="s">
        <v>74</v>
      </c>
      <c r="BA196" t="s">
        <v>74</v>
      </c>
      <c r="BB196" t="s">
        <v>74</v>
      </c>
      <c r="BC196" t="s">
        <v>74</v>
      </c>
      <c r="BD196" t="s">
        <v>74</v>
      </c>
      <c r="BE196" t="s">
        <v>3950</v>
      </c>
      <c r="BF196" t="str">
        <f>HYPERLINK("http://dx.doi.org/10.1007/s11406-023-00684-3","http://dx.doi.org/10.1007/s11406-023-00684-3")</f>
        <v>http://dx.doi.org/10.1007/s11406-023-00684-3</v>
      </c>
      <c r="BG196" t="s">
        <v>74</v>
      </c>
      <c r="BH196" t="s">
        <v>2079</v>
      </c>
      <c r="BI196">
        <v>17</v>
      </c>
      <c r="BJ196" t="s">
        <v>3779</v>
      </c>
      <c r="BK196" t="s">
        <v>3780</v>
      </c>
      <c r="BL196" t="s">
        <v>3779</v>
      </c>
      <c r="BM196" t="s">
        <v>3951</v>
      </c>
      <c r="BN196" t="s">
        <v>74</v>
      </c>
      <c r="BO196" t="s">
        <v>183</v>
      </c>
      <c r="BP196" t="s">
        <v>74</v>
      </c>
      <c r="BQ196" t="s">
        <v>74</v>
      </c>
      <c r="BR196" t="s">
        <v>99</v>
      </c>
      <c r="BS196" t="s">
        <v>3952</v>
      </c>
      <c r="BT196" t="str">
        <f>HYPERLINK("https%3A%2F%2Fwww.webofscience.com%2Fwos%2Fwoscc%2Ffull-record%2FWOS:001066920400001","View Full Record in Web of Science")</f>
        <v>View Full Record in Web of Science</v>
      </c>
    </row>
    <row r="197" spans="1:72" x14ac:dyDescent="0.15">
      <c r="A197" t="s">
        <v>72</v>
      </c>
      <c r="B197" t="s">
        <v>3953</v>
      </c>
      <c r="C197" t="s">
        <v>74</v>
      </c>
      <c r="D197" t="s">
        <v>74</v>
      </c>
      <c r="E197" t="s">
        <v>74</v>
      </c>
      <c r="F197" t="s">
        <v>3954</v>
      </c>
      <c r="G197" t="s">
        <v>74</v>
      </c>
      <c r="H197" t="s">
        <v>74</v>
      </c>
      <c r="I197" t="s">
        <v>3955</v>
      </c>
      <c r="J197" t="s">
        <v>3956</v>
      </c>
      <c r="K197" t="s">
        <v>74</v>
      </c>
      <c r="L197" t="s">
        <v>74</v>
      </c>
      <c r="M197" t="s">
        <v>78</v>
      </c>
      <c r="N197" t="s">
        <v>79</v>
      </c>
      <c r="O197" t="s">
        <v>74</v>
      </c>
      <c r="P197" t="s">
        <v>74</v>
      </c>
      <c r="Q197" t="s">
        <v>74</v>
      </c>
      <c r="R197" t="s">
        <v>74</v>
      </c>
      <c r="S197" t="s">
        <v>74</v>
      </c>
      <c r="T197" t="s">
        <v>3957</v>
      </c>
      <c r="U197" t="s">
        <v>3958</v>
      </c>
      <c r="V197" t="s">
        <v>3959</v>
      </c>
      <c r="W197" t="s">
        <v>3960</v>
      </c>
      <c r="X197" t="s">
        <v>3961</v>
      </c>
      <c r="Y197" t="s">
        <v>3962</v>
      </c>
      <c r="Z197" t="s">
        <v>3963</v>
      </c>
      <c r="AA197" t="s">
        <v>74</v>
      </c>
      <c r="AB197" t="s">
        <v>74</v>
      </c>
      <c r="AC197" t="s">
        <v>3964</v>
      </c>
      <c r="AD197" t="s">
        <v>3964</v>
      </c>
      <c r="AE197" t="s">
        <v>3965</v>
      </c>
      <c r="AF197" t="s">
        <v>74</v>
      </c>
      <c r="AG197">
        <v>22</v>
      </c>
      <c r="AH197">
        <v>0</v>
      </c>
      <c r="AI197">
        <v>0</v>
      </c>
      <c r="AJ197">
        <v>0</v>
      </c>
      <c r="AK197">
        <v>0</v>
      </c>
      <c r="AL197" t="s">
        <v>117</v>
      </c>
      <c r="AM197" t="s">
        <v>118</v>
      </c>
      <c r="AN197" t="s">
        <v>119</v>
      </c>
      <c r="AO197" t="s">
        <v>3966</v>
      </c>
      <c r="AP197" t="s">
        <v>3967</v>
      </c>
      <c r="AQ197" t="s">
        <v>74</v>
      </c>
      <c r="AR197" t="s">
        <v>3968</v>
      </c>
      <c r="AS197" t="s">
        <v>3969</v>
      </c>
      <c r="AT197" t="s">
        <v>3970</v>
      </c>
      <c r="AU197">
        <v>2023</v>
      </c>
      <c r="AV197">
        <v>17</v>
      </c>
      <c r="AW197">
        <v>1</v>
      </c>
      <c r="AX197" t="s">
        <v>74</v>
      </c>
      <c r="AY197" t="s">
        <v>74</v>
      </c>
      <c r="AZ197" t="s">
        <v>74</v>
      </c>
      <c r="BA197" t="s">
        <v>74</v>
      </c>
      <c r="BB197" t="s">
        <v>74</v>
      </c>
      <c r="BC197" t="s">
        <v>74</v>
      </c>
      <c r="BD197">
        <v>50</v>
      </c>
      <c r="BE197" t="s">
        <v>3971</v>
      </c>
      <c r="BF197" t="str">
        <f>HYPERLINK("http://dx.doi.org/10.1186/s43168-023-00227-0","http://dx.doi.org/10.1186/s43168-023-00227-0")</f>
        <v>http://dx.doi.org/10.1186/s43168-023-00227-0</v>
      </c>
      <c r="BG197" t="s">
        <v>74</v>
      </c>
      <c r="BH197" t="s">
        <v>74</v>
      </c>
      <c r="BI197">
        <v>6</v>
      </c>
      <c r="BJ197" t="s">
        <v>3972</v>
      </c>
      <c r="BK197" t="s">
        <v>97</v>
      </c>
      <c r="BL197" t="s">
        <v>3972</v>
      </c>
      <c r="BM197" t="s">
        <v>3973</v>
      </c>
      <c r="BN197" t="s">
        <v>74</v>
      </c>
      <c r="BO197" t="s">
        <v>302</v>
      </c>
      <c r="BP197" t="s">
        <v>74</v>
      </c>
      <c r="BQ197" t="s">
        <v>74</v>
      </c>
      <c r="BR197" t="s">
        <v>99</v>
      </c>
      <c r="BS197" t="s">
        <v>3974</v>
      </c>
      <c r="BT197" t="str">
        <f>HYPERLINK("https%3A%2F%2Fwww.webofscience.com%2Fwos%2Fwoscc%2Ffull-record%2FWOS:001066532400001","View Full Record in Web of Science")</f>
        <v>View Full Record in Web of Science</v>
      </c>
    </row>
    <row r="198" spans="1:72" x14ac:dyDescent="0.15">
      <c r="A198" t="s">
        <v>72</v>
      </c>
      <c r="B198" t="s">
        <v>3975</v>
      </c>
      <c r="C198" t="s">
        <v>74</v>
      </c>
      <c r="D198" t="s">
        <v>74</v>
      </c>
      <c r="E198" t="s">
        <v>74</v>
      </c>
      <c r="F198" t="s">
        <v>3976</v>
      </c>
      <c r="G198" t="s">
        <v>74</v>
      </c>
      <c r="H198" t="s">
        <v>74</v>
      </c>
      <c r="I198" t="s">
        <v>3977</v>
      </c>
      <c r="J198" t="s">
        <v>3978</v>
      </c>
      <c r="K198" t="s">
        <v>74</v>
      </c>
      <c r="L198" t="s">
        <v>74</v>
      </c>
      <c r="M198" t="s">
        <v>78</v>
      </c>
      <c r="N198" t="s">
        <v>1246</v>
      </c>
      <c r="O198" t="s">
        <v>74</v>
      </c>
      <c r="P198" t="s">
        <v>74</v>
      </c>
      <c r="Q198" t="s">
        <v>74</v>
      </c>
      <c r="R198" t="s">
        <v>74</v>
      </c>
      <c r="S198" t="s">
        <v>74</v>
      </c>
      <c r="T198" t="s">
        <v>74</v>
      </c>
      <c r="U198" t="s">
        <v>3979</v>
      </c>
      <c r="V198" t="s">
        <v>3980</v>
      </c>
      <c r="W198" t="s">
        <v>3981</v>
      </c>
      <c r="X198" t="s">
        <v>3982</v>
      </c>
      <c r="Y198" t="s">
        <v>3983</v>
      </c>
      <c r="Z198" t="s">
        <v>3984</v>
      </c>
      <c r="AA198" t="s">
        <v>3985</v>
      </c>
      <c r="AB198" t="s">
        <v>3986</v>
      </c>
      <c r="AC198" t="s">
        <v>3987</v>
      </c>
      <c r="AD198" t="s">
        <v>3988</v>
      </c>
      <c r="AE198" t="s">
        <v>3989</v>
      </c>
      <c r="AF198" t="s">
        <v>74</v>
      </c>
      <c r="AG198">
        <v>54</v>
      </c>
      <c r="AH198">
        <v>0</v>
      </c>
      <c r="AI198">
        <v>0</v>
      </c>
      <c r="AJ198">
        <v>5</v>
      </c>
      <c r="AK198">
        <v>5</v>
      </c>
      <c r="AL198" t="s">
        <v>317</v>
      </c>
      <c r="AM198" t="s">
        <v>245</v>
      </c>
      <c r="AN198" t="s">
        <v>318</v>
      </c>
      <c r="AO198" t="s">
        <v>3990</v>
      </c>
      <c r="AP198" t="s">
        <v>3991</v>
      </c>
      <c r="AQ198" t="s">
        <v>74</v>
      </c>
      <c r="AR198" t="s">
        <v>3992</v>
      </c>
      <c r="AS198" t="s">
        <v>3993</v>
      </c>
      <c r="AT198" t="s">
        <v>3994</v>
      </c>
      <c r="AU198">
        <v>2023</v>
      </c>
      <c r="AV198" t="s">
        <v>74</v>
      </c>
      <c r="AW198" t="s">
        <v>74</v>
      </c>
      <c r="AX198" t="s">
        <v>74</v>
      </c>
      <c r="AY198" t="s">
        <v>74</v>
      </c>
      <c r="AZ198" t="s">
        <v>74</v>
      </c>
      <c r="BA198" t="s">
        <v>74</v>
      </c>
      <c r="BB198" t="s">
        <v>74</v>
      </c>
      <c r="BC198" t="s">
        <v>74</v>
      </c>
      <c r="BD198" t="s">
        <v>74</v>
      </c>
      <c r="BE198" t="s">
        <v>3995</v>
      </c>
      <c r="BF198" t="str">
        <f>HYPERLINK("http://dx.doi.org/10.1038/s41396-023-01508-8","http://dx.doi.org/10.1038/s41396-023-01508-8")</f>
        <v>http://dx.doi.org/10.1038/s41396-023-01508-8</v>
      </c>
      <c r="BG198" t="s">
        <v>74</v>
      </c>
      <c r="BH198" t="s">
        <v>2079</v>
      </c>
      <c r="BI198">
        <v>9</v>
      </c>
      <c r="BJ198" t="s">
        <v>3996</v>
      </c>
      <c r="BK198" t="s">
        <v>126</v>
      </c>
      <c r="BL198" t="s">
        <v>3997</v>
      </c>
      <c r="BM198" t="s">
        <v>3998</v>
      </c>
      <c r="BN198">
        <v>37715042</v>
      </c>
      <c r="BO198" t="s">
        <v>74</v>
      </c>
      <c r="BP198" t="s">
        <v>74</v>
      </c>
      <c r="BQ198" t="s">
        <v>74</v>
      </c>
      <c r="BR198" t="s">
        <v>99</v>
      </c>
      <c r="BS198" t="s">
        <v>3999</v>
      </c>
      <c r="BT198" t="str">
        <f>HYPERLINK("https%3A%2F%2Fwww.webofscience.com%2Fwos%2Fwoscc%2Ffull-record%2FWOS:001066011400002","View Full Record in Web of Science")</f>
        <v>View Full Record in Web of Science</v>
      </c>
    </row>
    <row r="199" spans="1:72" x14ac:dyDescent="0.15">
      <c r="A199" t="s">
        <v>72</v>
      </c>
      <c r="B199" t="s">
        <v>4000</v>
      </c>
      <c r="C199" t="s">
        <v>74</v>
      </c>
      <c r="D199" t="s">
        <v>74</v>
      </c>
      <c r="E199" t="s">
        <v>74</v>
      </c>
      <c r="F199" t="s">
        <v>4001</v>
      </c>
      <c r="G199" t="s">
        <v>74</v>
      </c>
      <c r="H199" t="s">
        <v>74</v>
      </c>
      <c r="I199" t="s">
        <v>4002</v>
      </c>
      <c r="J199" t="s">
        <v>4003</v>
      </c>
      <c r="K199" t="s">
        <v>74</v>
      </c>
      <c r="L199" t="s">
        <v>74</v>
      </c>
      <c r="M199" t="s">
        <v>78</v>
      </c>
      <c r="N199" t="s">
        <v>1246</v>
      </c>
      <c r="O199" t="s">
        <v>74</v>
      </c>
      <c r="P199" t="s">
        <v>74</v>
      </c>
      <c r="Q199" t="s">
        <v>74</v>
      </c>
      <c r="R199" t="s">
        <v>74</v>
      </c>
      <c r="S199" t="s">
        <v>74</v>
      </c>
      <c r="T199" t="s">
        <v>4004</v>
      </c>
      <c r="U199" t="s">
        <v>74</v>
      </c>
      <c r="V199" t="s">
        <v>4005</v>
      </c>
      <c r="W199" t="s">
        <v>4006</v>
      </c>
      <c r="X199" t="s">
        <v>4007</v>
      </c>
      <c r="Y199" t="s">
        <v>4008</v>
      </c>
      <c r="Z199" t="s">
        <v>4009</v>
      </c>
      <c r="AA199" t="s">
        <v>74</v>
      </c>
      <c r="AB199" t="s">
        <v>74</v>
      </c>
      <c r="AC199" t="s">
        <v>4010</v>
      </c>
      <c r="AD199" t="s">
        <v>4011</v>
      </c>
      <c r="AE199" t="s">
        <v>4012</v>
      </c>
      <c r="AF199" t="s">
        <v>74</v>
      </c>
      <c r="AG199">
        <v>25</v>
      </c>
      <c r="AH199">
        <v>0</v>
      </c>
      <c r="AI199">
        <v>0</v>
      </c>
      <c r="AJ199">
        <v>0</v>
      </c>
      <c r="AK199">
        <v>0</v>
      </c>
      <c r="AL199" t="s">
        <v>117</v>
      </c>
      <c r="AM199" t="s">
        <v>627</v>
      </c>
      <c r="AN199" t="s">
        <v>628</v>
      </c>
      <c r="AO199" t="s">
        <v>4013</v>
      </c>
      <c r="AP199" t="s">
        <v>4014</v>
      </c>
      <c r="AQ199" t="s">
        <v>74</v>
      </c>
      <c r="AR199" t="s">
        <v>4015</v>
      </c>
      <c r="AS199" t="s">
        <v>4016</v>
      </c>
      <c r="AT199" t="s">
        <v>3994</v>
      </c>
      <c r="AU199">
        <v>2023</v>
      </c>
      <c r="AV199" t="s">
        <v>74</v>
      </c>
      <c r="AW199" t="s">
        <v>74</v>
      </c>
      <c r="AX199" t="s">
        <v>74</v>
      </c>
      <c r="AY199" t="s">
        <v>74</v>
      </c>
      <c r="AZ199" t="s">
        <v>74</v>
      </c>
      <c r="BA199" t="s">
        <v>74</v>
      </c>
      <c r="BB199" t="s">
        <v>74</v>
      </c>
      <c r="BC199" t="s">
        <v>74</v>
      </c>
      <c r="BD199" t="s">
        <v>74</v>
      </c>
      <c r="BE199" t="s">
        <v>4017</v>
      </c>
      <c r="BF199" t="str">
        <f>HYPERLINK("http://dx.doi.org/10.1007/s11071-023-08900-1","http://dx.doi.org/10.1007/s11071-023-08900-1")</f>
        <v>http://dx.doi.org/10.1007/s11071-023-08900-1</v>
      </c>
      <c r="BG199" t="s">
        <v>74</v>
      </c>
      <c r="BH199" t="s">
        <v>2079</v>
      </c>
      <c r="BI199">
        <v>21</v>
      </c>
      <c r="BJ199" t="s">
        <v>4018</v>
      </c>
      <c r="BK199" t="s">
        <v>126</v>
      </c>
      <c r="BL199" t="s">
        <v>4019</v>
      </c>
      <c r="BM199" t="s">
        <v>4020</v>
      </c>
      <c r="BN199" t="s">
        <v>74</v>
      </c>
      <c r="BO199" t="s">
        <v>74</v>
      </c>
      <c r="BP199" t="s">
        <v>74</v>
      </c>
      <c r="BQ199" t="s">
        <v>74</v>
      </c>
      <c r="BR199" t="s">
        <v>99</v>
      </c>
      <c r="BS199" t="s">
        <v>4021</v>
      </c>
      <c r="BT199" t="str">
        <f>HYPERLINK("https%3A%2F%2Fwww.webofscience.com%2Fwos%2Fwoscc%2Ffull-record%2FWOS:001066753900003","View Full Record in Web of Science")</f>
        <v>View Full Record in Web of Science</v>
      </c>
    </row>
    <row r="200" spans="1:72" x14ac:dyDescent="0.15">
      <c r="A200" t="s">
        <v>72</v>
      </c>
      <c r="B200" t="s">
        <v>4022</v>
      </c>
      <c r="C200" t="s">
        <v>74</v>
      </c>
      <c r="D200" t="s">
        <v>74</v>
      </c>
      <c r="E200" t="s">
        <v>74</v>
      </c>
      <c r="F200" t="s">
        <v>4023</v>
      </c>
      <c r="G200" t="s">
        <v>74</v>
      </c>
      <c r="H200" t="s">
        <v>74</v>
      </c>
      <c r="I200" t="s">
        <v>4024</v>
      </c>
      <c r="J200" t="s">
        <v>4025</v>
      </c>
      <c r="K200" t="s">
        <v>74</v>
      </c>
      <c r="L200" t="s">
        <v>74</v>
      </c>
      <c r="M200" t="s">
        <v>78</v>
      </c>
      <c r="N200" t="s">
        <v>1246</v>
      </c>
      <c r="O200" t="s">
        <v>74</v>
      </c>
      <c r="P200" t="s">
        <v>74</v>
      </c>
      <c r="Q200" t="s">
        <v>74</v>
      </c>
      <c r="R200" t="s">
        <v>74</v>
      </c>
      <c r="S200" t="s">
        <v>74</v>
      </c>
      <c r="T200" t="s">
        <v>4026</v>
      </c>
      <c r="U200" t="s">
        <v>4027</v>
      </c>
      <c r="V200" t="s">
        <v>4028</v>
      </c>
      <c r="W200" t="s">
        <v>4029</v>
      </c>
      <c r="X200" t="s">
        <v>4030</v>
      </c>
      <c r="Y200" t="s">
        <v>4031</v>
      </c>
      <c r="Z200" t="s">
        <v>4032</v>
      </c>
      <c r="AA200" t="s">
        <v>74</v>
      </c>
      <c r="AB200" t="s">
        <v>74</v>
      </c>
      <c r="AC200" t="s">
        <v>4033</v>
      </c>
      <c r="AD200" t="s">
        <v>4034</v>
      </c>
      <c r="AE200" t="s">
        <v>4035</v>
      </c>
      <c r="AF200" t="s">
        <v>74</v>
      </c>
      <c r="AG200">
        <v>28</v>
      </c>
      <c r="AH200">
        <v>0</v>
      </c>
      <c r="AI200">
        <v>0</v>
      </c>
      <c r="AJ200">
        <v>0</v>
      </c>
      <c r="AK200">
        <v>0</v>
      </c>
      <c r="AL200" t="s">
        <v>117</v>
      </c>
      <c r="AM200" t="s">
        <v>627</v>
      </c>
      <c r="AN200" t="s">
        <v>628</v>
      </c>
      <c r="AO200" t="s">
        <v>4036</v>
      </c>
      <c r="AP200" t="s">
        <v>4037</v>
      </c>
      <c r="AQ200" t="s">
        <v>74</v>
      </c>
      <c r="AR200" t="s">
        <v>4038</v>
      </c>
      <c r="AS200" t="s">
        <v>4039</v>
      </c>
      <c r="AT200" t="s">
        <v>3994</v>
      </c>
      <c r="AU200">
        <v>2023</v>
      </c>
      <c r="AV200" t="s">
        <v>74</v>
      </c>
      <c r="AW200" t="s">
        <v>74</v>
      </c>
      <c r="AX200" t="s">
        <v>74</v>
      </c>
      <c r="AY200" t="s">
        <v>74</v>
      </c>
      <c r="AZ200" t="s">
        <v>74</v>
      </c>
      <c r="BA200" t="s">
        <v>74</v>
      </c>
      <c r="BB200" t="s">
        <v>74</v>
      </c>
      <c r="BC200" t="s">
        <v>74</v>
      </c>
      <c r="BD200" t="s">
        <v>74</v>
      </c>
      <c r="BE200" t="s">
        <v>4040</v>
      </c>
      <c r="BF200" t="str">
        <f>HYPERLINK("http://dx.doi.org/10.1007/s12650-023-00945","http://dx.doi.org/10.1007/s12650-023-00945")</f>
        <v>http://dx.doi.org/10.1007/s12650-023-00945</v>
      </c>
      <c r="BG200" t="s">
        <v>74</v>
      </c>
      <c r="BH200" t="s">
        <v>2079</v>
      </c>
      <c r="BI200">
        <v>19</v>
      </c>
      <c r="BJ200" t="s">
        <v>4041</v>
      </c>
      <c r="BK200" t="s">
        <v>126</v>
      </c>
      <c r="BL200" t="s">
        <v>4042</v>
      </c>
      <c r="BM200" t="s">
        <v>4043</v>
      </c>
      <c r="BN200" t="s">
        <v>74</v>
      </c>
      <c r="BO200" t="s">
        <v>74</v>
      </c>
      <c r="BP200" t="s">
        <v>74</v>
      </c>
      <c r="BQ200" t="s">
        <v>74</v>
      </c>
      <c r="BR200" t="s">
        <v>99</v>
      </c>
      <c r="BS200" t="s">
        <v>4044</v>
      </c>
      <c r="BT200" t="str">
        <f>HYPERLINK("https%3A%2F%2Fwww.webofscience.com%2Fwos%2Fwoscc%2Ffull-record%2FWOS:001065971800001","View Full Record in Web of Science")</f>
        <v>View Full Record in Web of Science</v>
      </c>
    </row>
    <row r="201" spans="1:72" x14ac:dyDescent="0.15">
      <c r="A201" t="s">
        <v>72</v>
      </c>
      <c r="B201" t="s">
        <v>4045</v>
      </c>
      <c r="C201" t="s">
        <v>74</v>
      </c>
      <c r="D201" t="s">
        <v>74</v>
      </c>
      <c r="E201" t="s">
        <v>74</v>
      </c>
      <c r="F201" t="s">
        <v>4046</v>
      </c>
      <c r="G201" t="s">
        <v>74</v>
      </c>
      <c r="H201" t="s">
        <v>74</v>
      </c>
      <c r="I201" t="s">
        <v>4047</v>
      </c>
      <c r="J201" t="s">
        <v>4048</v>
      </c>
      <c r="K201" t="s">
        <v>74</v>
      </c>
      <c r="L201" t="s">
        <v>74</v>
      </c>
      <c r="M201" t="s">
        <v>78</v>
      </c>
      <c r="N201" t="s">
        <v>1246</v>
      </c>
      <c r="O201" t="s">
        <v>74</v>
      </c>
      <c r="P201" t="s">
        <v>74</v>
      </c>
      <c r="Q201" t="s">
        <v>74</v>
      </c>
      <c r="R201" t="s">
        <v>74</v>
      </c>
      <c r="S201" t="s">
        <v>74</v>
      </c>
      <c r="T201" t="s">
        <v>4049</v>
      </c>
      <c r="U201" t="s">
        <v>4050</v>
      </c>
      <c r="V201" t="s">
        <v>4051</v>
      </c>
      <c r="W201" t="s">
        <v>4052</v>
      </c>
      <c r="X201" t="s">
        <v>4053</v>
      </c>
      <c r="Y201" t="s">
        <v>4054</v>
      </c>
      <c r="Z201" t="s">
        <v>4055</v>
      </c>
      <c r="AA201" t="s">
        <v>74</v>
      </c>
      <c r="AB201" t="s">
        <v>74</v>
      </c>
      <c r="AC201" t="s">
        <v>4056</v>
      </c>
      <c r="AD201" t="s">
        <v>4057</v>
      </c>
      <c r="AE201" t="s">
        <v>4058</v>
      </c>
      <c r="AF201" t="s">
        <v>74</v>
      </c>
      <c r="AG201">
        <v>39</v>
      </c>
      <c r="AH201">
        <v>0</v>
      </c>
      <c r="AI201">
        <v>0</v>
      </c>
      <c r="AJ201">
        <v>0</v>
      </c>
      <c r="AK201">
        <v>0</v>
      </c>
      <c r="AL201" t="s">
        <v>117</v>
      </c>
      <c r="AM201" t="s">
        <v>118</v>
      </c>
      <c r="AN201" t="s">
        <v>119</v>
      </c>
      <c r="AO201" t="s">
        <v>4059</v>
      </c>
      <c r="AP201" t="s">
        <v>4060</v>
      </c>
      <c r="AQ201" t="s">
        <v>74</v>
      </c>
      <c r="AR201" t="s">
        <v>4061</v>
      </c>
      <c r="AS201" t="s">
        <v>4062</v>
      </c>
      <c r="AT201" t="s">
        <v>3994</v>
      </c>
      <c r="AU201">
        <v>2023</v>
      </c>
      <c r="AV201" t="s">
        <v>74</v>
      </c>
      <c r="AW201" t="s">
        <v>74</v>
      </c>
      <c r="AX201" t="s">
        <v>74</v>
      </c>
      <c r="AY201" t="s">
        <v>74</v>
      </c>
      <c r="AZ201" t="s">
        <v>74</v>
      </c>
      <c r="BA201" t="s">
        <v>74</v>
      </c>
      <c r="BB201" t="s">
        <v>74</v>
      </c>
      <c r="BC201" t="s">
        <v>74</v>
      </c>
      <c r="BD201" t="s">
        <v>74</v>
      </c>
      <c r="BE201" t="s">
        <v>4063</v>
      </c>
      <c r="BF201" t="str">
        <f>HYPERLINK("http://dx.doi.org/10.1007/s40313-023-01036","http://dx.doi.org/10.1007/s40313-023-01036")</f>
        <v>http://dx.doi.org/10.1007/s40313-023-01036</v>
      </c>
      <c r="BG201" t="s">
        <v>74</v>
      </c>
      <c r="BH201" t="s">
        <v>2079</v>
      </c>
      <c r="BI201">
        <v>14</v>
      </c>
      <c r="BJ201" t="s">
        <v>4064</v>
      </c>
      <c r="BK201" t="s">
        <v>97</v>
      </c>
      <c r="BL201" t="s">
        <v>4064</v>
      </c>
      <c r="BM201" t="s">
        <v>4065</v>
      </c>
      <c r="BN201" t="s">
        <v>74</v>
      </c>
      <c r="BO201" t="s">
        <v>74</v>
      </c>
      <c r="BP201" t="s">
        <v>74</v>
      </c>
      <c r="BQ201" t="s">
        <v>74</v>
      </c>
      <c r="BR201" t="s">
        <v>99</v>
      </c>
      <c r="BS201" t="s">
        <v>4066</v>
      </c>
      <c r="BT201" t="str">
        <f>HYPERLINK("https%3A%2F%2Fwww.webofscience.com%2Fwos%2Fwoscc%2Ffull-record%2FWOS:001066752000001","View Full Record in Web of Science")</f>
        <v>View Full Record in Web of Science</v>
      </c>
    </row>
    <row r="202" spans="1:72" x14ac:dyDescent="0.15">
      <c r="A202" t="s">
        <v>72</v>
      </c>
      <c r="B202" t="s">
        <v>4067</v>
      </c>
      <c r="C202" t="s">
        <v>74</v>
      </c>
      <c r="D202" t="s">
        <v>74</v>
      </c>
      <c r="E202" t="s">
        <v>74</v>
      </c>
      <c r="F202" t="s">
        <v>4068</v>
      </c>
      <c r="G202" t="s">
        <v>74</v>
      </c>
      <c r="H202" t="s">
        <v>74</v>
      </c>
      <c r="I202" t="s">
        <v>4069</v>
      </c>
      <c r="J202" t="s">
        <v>4070</v>
      </c>
      <c r="K202" t="s">
        <v>74</v>
      </c>
      <c r="L202" t="s">
        <v>74</v>
      </c>
      <c r="M202" t="s">
        <v>78</v>
      </c>
      <c r="N202" t="s">
        <v>2174</v>
      </c>
      <c r="O202" t="s">
        <v>74</v>
      </c>
      <c r="P202" t="s">
        <v>74</v>
      </c>
      <c r="Q202" t="s">
        <v>74</v>
      </c>
      <c r="R202" t="s">
        <v>74</v>
      </c>
      <c r="S202" t="s">
        <v>74</v>
      </c>
      <c r="T202" t="s">
        <v>4071</v>
      </c>
      <c r="U202" t="s">
        <v>4072</v>
      </c>
      <c r="V202" t="s">
        <v>4073</v>
      </c>
      <c r="W202" t="s">
        <v>4074</v>
      </c>
      <c r="X202" t="s">
        <v>4075</v>
      </c>
      <c r="Y202" t="s">
        <v>4076</v>
      </c>
      <c r="Z202" t="s">
        <v>4077</v>
      </c>
      <c r="AA202" t="s">
        <v>74</v>
      </c>
      <c r="AB202" t="s">
        <v>74</v>
      </c>
      <c r="AC202" t="s">
        <v>4078</v>
      </c>
      <c r="AD202" t="s">
        <v>4078</v>
      </c>
      <c r="AE202" t="s">
        <v>4079</v>
      </c>
      <c r="AF202" t="s">
        <v>74</v>
      </c>
      <c r="AG202">
        <v>122</v>
      </c>
      <c r="AH202">
        <v>0</v>
      </c>
      <c r="AI202">
        <v>0</v>
      </c>
      <c r="AJ202">
        <v>1</v>
      </c>
      <c r="AK202">
        <v>1</v>
      </c>
      <c r="AL202" t="s">
        <v>117</v>
      </c>
      <c r="AM202" t="s">
        <v>627</v>
      </c>
      <c r="AN202" t="s">
        <v>628</v>
      </c>
      <c r="AO202" t="s">
        <v>4080</v>
      </c>
      <c r="AP202" t="s">
        <v>4081</v>
      </c>
      <c r="AQ202" t="s">
        <v>74</v>
      </c>
      <c r="AR202" t="s">
        <v>4082</v>
      </c>
      <c r="AS202" t="s">
        <v>4083</v>
      </c>
      <c r="AT202" t="s">
        <v>3994</v>
      </c>
      <c r="AU202">
        <v>2023</v>
      </c>
      <c r="AV202" t="s">
        <v>74</v>
      </c>
      <c r="AW202" t="s">
        <v>74</v>
      </c>
      <c r="AX202" t="s">
        <v>74</v>
      </c>
      <c r="AY202" t="s">
        <v>74</v>
      </c>
      <c r="AZ202" t="s">
        <v>74</v>
      </c>
      <c r="BA202" t="s">
        <v>74</v>
      </c>
      <c r="BB202" t="s">
        <v>74</v>
      </c>
      <c r="BC202" t="s">
        <v>74</v>
      </c>
      <c r="BD202" t="s">
        <v>74</v>
      </c>
      <c r="BE202" t="s">
        <v>4084</v>
      </c>
      <c r="BF202" t="str">
        <f>HYPERLINK("http://dx.doi.org/10.1007/s13402-023-00858","http://dx.doi.org/10.1007/s13402-023-00858")</f>
        <v>http://dx.doi.org/10.1007/s13402-023-00858</v>
      </c>
      <c r="BG202" t="s">
        <v>74</v>
      </c>
      <c r="BH202" t="s">
        <v>2079</v>
      </c>
      <c r="BI202">
        <v>17</v>
      </c>
      <c r="BJ202" t="s">
        <v>4085</v>
      </c>
      <c r="BK202" t="s">
        <v>126</v>
      </c>
      <c r="BL202" t="s">
        <v>4085</v>
      </c>
      <c r="BM202" t="s">
        <v>4086</v>
      </c>
      <c r="BN202" t="s">
        <v>74</v>
      </c>
      <c r="BO202" t="s">
        <v>74</v>
      </c>
      <c r="BP202" t="s">
        <v>74</v>
      </c>
      <c r="BQ202" t="s">
        <v>74</v>
      </c>
      <c r="BR202" t="s">
        <v>99</v>
      </c>
      <c r="BS202" t="s">
        <v>4087</v>
      </c>
      <c r="BT202" t="str">
        <f>HYPERLINK("https%3A%2F%2Fwww.webofscience.com%2Fwos%2Fwoscc%2Ffull-record%2FWOS:001065969100001","View Full Record in Web of Science")</f>
        <v>View Full Record in Web of Science</v>
      </c>
    </row>
    <row r="203" spans="1:72" x14ac:dyDescent="0.15">
      <c r="A203" t="s">
        <v>72</v>
      </c>
      <c r="B203" t="s">
        <v>4088</v>
      </c>
      <c r="C203" t="s">
        <v>74</v>
      </c>
      <c r="D203" t="s">
        <v>74</v>
      </c>
      <c r="E203" t="s">
        <v>74</v>
      </c>
      <c r="F203" t="s">
        <v>4089</v>
      </c>
      <c r="G203" t="s">
        <v>74</v>
      </c>
      <c r="H203" t="s">
        <v>74</v>
      </c>
      <c r="I203" t="s">
        <v>4090</v>
      </c>
      <c r="J203" t="s">
        <v>4091</v>
      </c>
      <c r="K203" t="s">
        <v>74</v>
      </c>
      <c r="L203" t="s">
        <v>74</v>
      </c>
      <c r="M203" t="s">
        <v>78</v>
      </c>
      <c r="N203" t="s">
        <v>1246</v>
      </c>
      <c r="O203" t="s">
        <v>74</v>
      </c>
      <c r="P203" t="s">
        <v>74</v>
      </c>
      <c r="Q203" t="s">
        <v>74</v>
      </c>
      <c r="R203" t="s">
        <v>74</v>
      </c>
      <c r="S203" t="s">
        <v>74</v>
      </c>
      <c r="T203" t="s">
        <v>4092</v>
      </c>
      <c r="U203" t="s">
        <v>4093</v>
      </c>
      <c r="V203" t="s">
        <v>4094</v>
      </c>
      <c r="W203" t="s">
        <v>4095</v>
      </c>
      <c r="X203" t="s">
        <v>4096</v>
      </c>
      <c r="Y203" t="s">
        <v>4097</v>
      </c>
      <c r="Z203" t="s">
        <v>4098</v>
      </c>
      <c r="AA203" t="s">
        <v>74</v>
      </c>
      <c r="AB203" t="s">
        <v>74</v>
      </c>
      <c r="AC203" t="s">
        <v>4099</v>
      </c>
      <c r="AD203" t="s">
        <v>4099</v>
      </c>
      <c r="AE203" t="s">
        <v>4100</v>
      </c>
      <c r="AF203" t="s">
        <v>74</v>
      </c>
      <c r="AG203">
        <v>47</v>
      </c>
      <c r="AH203">
        <v>0</v>
      </c>
      <c r="AI203">
        <v>0</v>
      </c>
      <c r="AJ203">
        <v>1</v>
      </c>
      <c r="AK203">
        <v>1</v>
      </c>
      <c r="AL203" t="s">
        <v>317</v>
      </c>
      <c r="AM203" t="s">
        <v>245</v>
      </c>
      <c r="AN203" t="s">
        <v>318</v>
      </c>
      <c r="AO203" t="s">
        <v>4101</v>
      </c>
      <c r="AP203" t="s">
        <v>4102</v>
      </c>
      <c r="AQ203" t="s">
        <v>74</v>
      </c>
      <c r="AR203" t="s">
        <v>4091</v>
      </c>
      <c r="AS203" t="s">
        <v>4103</v>
      </c>
      <c r="AT203" t="s">
        <v>3994</v>
      </c>
      <c r="AU203">
        <v>2023</v>
      </c>
      <c r="AV203" t="s">
        <v>74</v>
      </c>
      <c r="AW203" t="s">
        <v>74</v>
      </c>
      <c r="AX203" t="s">
        <v>74</v>
      </c>
      <c r="AY203" t="s">
        <v>74</v>
      </c>
      <c r="AZ203" t="s">
        <v>74</v>
      </c>
      <c r="BA203" t="s">
        <v>74</v>
      </c>
      <c r="BB203" t="s">
        <v>74</v>
      </c>
      <c r="BC203" t="s">
        <v>74</v>
      </c>
      <c r="BD203" t="s">
        <v>74</v>
      </c>
      <c r="BE203" t="s">
        <v>4104</v>
      </c>
      <c r="BF203" t="str">
        <f>HYPERLINK("http://dx.doi.org/10.1007/s42994-023-00112","http://dx.doi.org/10.1007/s42994-023-00112")</f>
        <v>http://dx.doi.org/10.1007/s42994-023-00112</v>
      </c>
      <c r="BG203" t="s">
        <v>74</v>
      </c>
      <c r="BH203" t="s">
        <v>2079</v>
      </c>
      <c r="BI203">
        <v>17</v>
      </c>
      <c r="BJ203" t="s">
        <v>4105</v>
      </c>
      <c r="BK203" t="s">
        <v>97</v>
      </c>
      <c r="BL203" t="s">
        <v>4105</v>
      </c>
      <c r="BM203" t="s">
        <v>4106</v>
      </c>
      <c r="BN203" t="s">
        <v>74</v>
      </c>
      <c r="BO203" t="s">
        <v>74</v>
      </c>
      <c r="BP203" t="s">
        <v>74</v>
      </c>
      <c r="BQ203" t="s">
        <v>74</v>
      </c>
      <c r="BR203" t="s">
        <v>99</v>
      </c>
      <c r="BS203" t="s">
        <v>4107</v>
      </c>
      <c r="BT203" t="str">
        <f>HYPERLINK("https%3A%2F%2Fwww.webofscience.com%2Fwos%2Fwoscc%2Ffull-record%2FWOS:001065960500001","View Full Record in Web of Science")</f>
        <v>View Full Record in Web of Science</v>
      </c>
    </row>
    <row r="204" spans="1:72" x14ac:dyDescent="0.15">
      <c r="A204" t="s">
        <v>72</v>
      </c>
      <c r="B204" t="s">
        <v>4108</v>
      </c>
      <c r="C204" t="s">
        <v>74</v>
      </c>
      <c r="D204" t="s">
        <v>74</v>
      </c>
      <c r="E204" t="s">
        <v>74</v>
      </c>
      <c r="F204" t="s">
        <v>4109</v>
      </c>
      <c r="G204" t="s">
        <v>74</v>
      </c>
      <c r="H204" t="s">
        <v>74</v>
      </c>
      <c r="I204" t="s">
        <v>4110</v>
      </c>
      <c r="J204" t="s">
        <v>4111</v>
      </c>
      <c r="K204" t="s">
        <v>74</v>
      </c>
      <c r="L204" t="s">
        <v>74</v>
      </c>
      <c r="M204" t="s">
        <v>78</v>
      </c>
      <c r="N204" t="s">
        <v>1246</v>
      </c>
      <c r="O204" t="s">
        <v>74</v>
      </c>
      <c r="P204" t="s">
        <v>74</v>
      </c>
      <c r="Q204" t="s">
        <v>74</v>
      </c>
      <c r="R204" t="s">
        <v>74</v>
      </c>
      <c r="S204" t="s">
        <v>74</v>
      </c>
      <c r="T204" t="s">
        <v>4112</v>
      </c>
      <c r="U204" t="s">
        <v>4113</v>
      </c>
      <c r="V204" t="s">
        <v>4114</v>
      </c>
      <c r="W204" t="s">
        <v>4115</v>
      </c>
      <c r="X204" t="s">
        <v>4116</v>
      </c>
      <c r="Y204" t="s">
        <v>4117</v>
      </c>
      <c r="Z204" t="s">
        <v>4118</v>
      </c>
      <c r="AA204" t="s">
        <v>74</v>
      </c>
      <c r="AB204" t="s">
        <v>74</v>
      </c>
      <c r="AC204" t="s">
        <v>4119</v>
      </c>
      <c r="AD204" t="s">
        <v>4120</v>
      </c>
      <c r="AE204" t="s">
        <v>4121</v>
      </c>
      <c r="AF204" t="s">
        <v>74</v>
      </c>
      <c r="AG204">
        <v>34</v>
      </c>
      <c r="AH204">
        <v>0</v>
      </c>
      <c r="AI204">
        <v>0</v>
      </c>
      <c r="AJ204">
        <v>0</v>
      </c>
      <c r="AK204">
        <v>0</v>
      </c>
      <c r="AL204" t="s">
        <v>117</v>
      </c>
      <c r="AM204" t="s">
        <v>118</v>
      </c>
      <c r="AN204" t="s">
        <v>119</v>
      </c>
      <c r="AO204" t="s">
        <v>4122</v>
      </c>
      <c r="AP204" t="s">
        <v>4123</v>
      </c>
      <c r="AQ204" t="s">
        <v>74</v>
      </c>
      <c r="AR204" t="s">
        <v>4124</v>
      </c>
      <c r="AS204" t="s">
        <v>4125</v>
      </c>
      <c r="AT204" t="s">
        <v>3994</v>
      </c>
      <c r="AU204">
        <v>2023</v>
      </c>
      <c r="AV204" t="s">
        <v>74</v>
      </c>
      <c r="AW204" t="s">
        <v>74</v>
      </c>
      <c r="AX204" t="s">
        <v>74</v>
      </c>
      <c r="AY204" t="s">
        <v>74</v>
      </c>
      <c r="AZ204" t="s">
        <v>74</v>
      </c>
      <c r="BA204" t="s">
        <v>74</v>
      </c>
      <c r="BB204" t="s">
        <v>74</v>
      </c>
      <c r="BC204" t="s">
        <v>74</v>
      </c>
      <c r="BD204" t="s">
        <v>74</v>
      </c>
      <c r="BE204" t="s">
        <v>4126</v>
      </c>
      <c r="BF204" t="str">
        <f>HYPERLINK("http://dx.doi.org/10.1007/s10163-023-01771","http://dx.doi.org/10.1007/s10163-023-01771")</f>
        <v>http://dx.doi.org/10.1007/s10163-023-01771</v>
      </c>
      <c r="BG204" t="s">
        <v>74</v>
      </c>
      <c r="BH204" t="s">
        <v>2079</v>
      </c>
      <c r="BI204">
        <v>14</v>
      </c>
      <c r="BJ204" t="s">
        <v>1346</v>
      </c>
      <c r="BK204" t="s">
        <v>126</v>
      </c>
      <c r="BL204" t="s">
        <v>1347</v>
      </c>
      <c r="BM204" t="s">
        <v>4127</v>
      </c>
      <c r="BN204" t="s">
        <v>74</v>
      </c>
      <c r="BO204" t="s">
        <v>74</v>
      </c>
      <c r="BP204" t="s">
        <v>74</v>
      </c>
      <c r="BQ204" t="s">
        <v>74</v>
      </c>
      <c r="BR204" t="s">
        <v>99</v>
      </c>
      <c r="BS204" t="s">
        <v>4128</v>
      </c>
      <c r="BT204" t="str">
        <f>HYPERLINK("https%3A%2F%2Fwww.webofscience.com%2Fwos%2Fwoscc%2Ffull-record%2FWOS:001066744900001","View Full Record in Web of Science")</f>
        <v>View Full Record in Web of Science</v>
      </c>
    </row>
    <row r="205" spans="1:72" x14ac:dyDescent="0.15">
      <c r="A205" t="s">
        <v>72</v>
      </c>
      <c r="B205" t="s">
        <v>4129</v>
      </c>
      <c r="C205" t="s">
        <v>74</v>
      </c>
      <c r="D205" t="s">
        <v>74</v>
      </c>
      <c r="E205" t="s">
        <v>74</v>
      </c>
      <c r="F205" t="s">
        <v>4130</v>
      </c>
      <c r="G205" t="s">
        <v>74</v>
      </c>
      <c r="H205" t="s">
        <v>74</v>
      </c>
      <c r="I205" t="s">
        <v>4131</v>
      </c>
      <c r="J205" t="s">
        <v>4132</v>
      </c>
      <c r="K205" t="s">
        <v>74</v>
      </c>
      <c r="L205" t="s">
        <v>74</v>
      </c>
      <c r="M205" t="s">
        <v>78</v>
      </c>
      <c r="N205" t="s">
        <v>1246</v>
      </c>
      <c r="O205" t="s">
        <v>74</v>
      </c>
      <c r="P205" t="s">
        <v>74</v>
      </c>
      <c r="Q205" t="s">
        <v>74</v>
      </c>
      <c r="R205" t="s">
        <v>74</v>
      </c>
      <c r="S205" t="s">
        <v>74</v>
      </c>
      <c r="T205" t="s">
        <v>74</v>
      </c>
      <c r="U205" t="s">
        <v>4133</v>
      </c>
      <c r="V205" t="s">
        <v>4134</v>
      </c>
      <c r="W205" t="s">
        <v>4135</v>
      </c>
      <c r="X205" t="s">
        <v>4136</v>
      </c>
      <c r="Y205" t="s">
        <v>4137</v>
      </c>
      <c r="Z205" t="s">
        <v>4138</v>
      </c>
      <c r="AA205" t="s">
        <v>74</v>
      </c>
      <c r="AB205" t="s">
        <v>74</v>
      </c>
      <c r="AC205" t="s">
        <v>4139</v>
      </c>
      <c r="AD205" t="s">
        <v>4140</v>
      </c>
      <c r="AE205" t="s">
        <v>4141</v>
      </c>
      <c r="AF205" t="s">
        <v>74</v>
      </c>
      <c r="AG205">
        <v>53</v>
      </c>
      <c r="AH205">
        <v>0</v>
      </c>
      <c r="AI205">
        <v>0</v>
      </c>
      <c r="AJ205">
        <v>0</v>
      </c>
      <c r="AK205">
        <v>0</v>
      </c>
      <c r="AL205" t="s">
        <v>317</v>
      </c>
      <c r="AM205" t="s">
        <v>245</v>
      </c>
      <c r="AN205" t="s">
        <v>318</v>
      </c>
      <c r="AO205" t="s">
        <v>4142</v>
      </c>
      <c r="AP205" t="s">
        <v>4143</v>
      </c>
      <c r="AQ205" t="s">
        <v>74</v>
      </c>
      <c r="AR205" t="s">
        <v>4144</v>
      </c>
      <c r="AS205" t="s">
        <v>4145</v>
      </c>
      <c r="AT205" t="s">
        <v>3994</v>
      </c>
      <c r="AU205">
        <v>2023</v>
      </c>
      <c r="AV205" t="s">
        <v>74</v>
      </c>
      <c r="AW205" t="s">
        <v>74</v>
      </c>
      <c r="AX205" t="s">
        <v>74</v>
      </c>
      <c r="AY205" t="s">
        <v>74</v>
      </c>
      <c r="AZ205" t="s">
        <v>74</v>
      </c>
      <c r="BA205" t="s">
        <v>74</v>
      </c>
      <c r="BB205" t="s">
        <v>74</v>
      </c>
      <c r="BC205" t="s">
        <v>74</v>
      </c>
      <c r="BD205" t="s">
        <v>74</v>
      </c>
      <c r="BE205" t="s">
        <v>4146</v>
      </c>
      <c r="BF205" t="str">
        <f>HYPERLINK("http://dx.doi.org/10.1038/s41416-023-02432-6","http://dx.doi.org/10.1038/s41416-023-02432-6")</f>
        <v>http://dx.doi.org/10.1038/s41416-023-02432-6</v>
      </c>
      <c r="BG205" t="s">
        <v>74</v>
      </c>
      <c r="BH205" t="s">
        <v>2079</v>
      </c>
      <c r="BI205">
        <v>13</v>
      </c>
      <c r="BJ205" t="s">
        <v>1951</v>
      </c>
      <c r="BK205" t="s">
        <v>126</v>
      </c>
      <c r="BL205" t="s">
        <v>1951</v>
      </c>
      <c r="BM205" t="s">
        <v>4147</v>
      </c>
      <c r="BN205">
        <v>37715025</v>
      </c>
      <c r="BO205" t="s">
        <v>74</v>
      </c>
      <c r="BP205" t="s">
        <v>74</v>
      </c>
      <c r="BQ205" t="s">
        <v>74</v>
      </c>
      <c r="BR205" t="s">
        <v>99</v>
      </c>
      <c r="BS205" t="s">
        <v>4148</v>
      </c>
      <c r="BT205" t="str">
        <f>HYPERLINK("https%3A%2F%2Fwww.webofscience.com%2Fwos%2Fwoscc%2Ffull-record%2FWOS:001066749300003","View Full Record in Web of Science")</f>
        <v>View Full Record in Web of Science</v>
      </c>
    </row>
    <row r="206" spans="1:72" x14ac:dyDescent="0.15">
      <c r="A206" t="s">
        <v>72</v>
      </c>
      <c r="B206" t="s">
        <v>4149</v>
      </c>
      <c r="C206" t="s">
        <v>74</v>
      </c>
      <c r="D206" t="s">
        <v>74</v>
      </c>
      <c r="E206" t="s">
        <v>74</v>
      </c>
      <c r="F206" t="s">
        <v>4150</v>
      </c>
      <c r="G206" t="s">
        <v>74</v>
      </c>
      <c r="H206" t="s">
        <v>74</v>
      </c>
      <c r="I206" t="s">
        <v>4151</v>
      </c>
      <c r="J206" t="s">
        <v>2215</v>
      </c>
      <c r="K206" t="s">
        <v>74</v>
      </c>
      <c r="L206" t="s">
        <v>74</v>
      </c>
      <c r="M206" t="s">
        <v>78</v>
      </c>
      <c r="N206" t="s">
        <v>1246</v>
      </c>
      <c r="O206" t="s">
        <v>74</v>
      </c>
      <c r="P206" t="s">
        <v>74</v>
      </c>
      <c r="Q206" t="s">
        <v>74</v>
      </c>
      <c r="R206" t="s">
        <v>74</v>
      </c>
      <c r="S206" t="s">
        <v>74</v>
      </c>
      <c r="T206" t="s">
        <v>4152</v>
      </c>
      <c r="U206" t="s">
        <v>74</v>
      </c>
      <c r="V206" t="s">
        <v>4153</v>
      </c>
      <c r="W206" t="s">
        <v>4154</v>
      </c>
      <c r="X206" t="s">
        <v>74</v>
      </c>
      <c r="Y206" t="s">
        <v>4155</v>
      </c>
      <c r="Z206" t="s">
        <v>4156</v>
      </c>
      <c r="AA206" t="s">
        <v>74</v>
      </c>
      <c r="AB206" t="s">
        <v>74</v>
      </c>
      <c r="AC206" t="s">
        <v>4157</v>
      </c>
      <c r="AD206" t="s">
        <v>4157</v>
      </c>
      <c r="AE206" t="s">
        <v>4157</v>
      </c>
      <c r="AF206" t="s">
        <v>74</v>
      </c>
      <c r="AG206">
        <v>12</v>
      </c>
      <c r="AH206">
        <v>0</v>
      </c>
      <c r="AI206">
        <v>0</v>
      </c>
      <c r="AJ206">
        <v>0</v>
      </c>
      <c r="AK206">
        <v>0</v>
      </c>
      <c r="AL206" t="s">
        <v>117</v>
      </c>
      <c r="AM206" t="s">
        <v>118</v>
      </c>
      <c r="AN206" t="s">
        <v>119</v>
      </c>
      <c r="AO206" t="s">
        <v>2226</v>
      </c>
      <c r="AP206" t="s">
        <v>2227</v>
      </c>
      <c r="AQ206" t="s">
        <v>74</v>
      </c>
      <c r="AR206" t="s">
        <v>2228</v>
      </c>
      <c r="AS206" t="s">
        <v>2229</v>
      </c>
      <c r="AT206" t="s">
        <v>3994</v>
      </c>
      <c r="AU206">
        <v>2023</v>
      </c>
      <c r="AV206" t="s">
        <v>74</v>
      </c>
      <c r="AW206" t="s">
        <v>74</v>
      </c>
      <c r="AX206" t="s">
        <v>74</v>
      </c>
      <c r="AY206" t="s">
        <v>74</v>
      </c>
      <c r="AZ206" t="s">
        <v>74</v>
      </c>
      <c r="BA206" t="s">
        <v>74</v>
      </c>
      <c r="BB206" t="s">
        <v>74</v>
      </c>
      <c r="BC206" t="s">
        <v>74</v>
      </c>
      <c r="BD206" t="s">
        <v>74</v>
      </c>
      <c r="BE206" t="s">
        <v>4158</v>
      </c>
      <c r="BF206" t="str">
        <f>HYPERLINK("http://dx.doi.org/10.1007/s00428-023-03639","http://dx.doi.org/10.1007/s00428-023-03639")</f>
        <v>http://dx.doi.org/10.1007/s00428-023-03639</v>
      </c>
      <c r="BG206" t="s">
        <v>74</v>
      </c>
      <c r="BH206" t="s">
        <v>2079</v>
      </c>
      <c r="BI206">
        <v>7</v>
      </c>
      <c r="BJ206" t="s">
        <v>2231</v>
      </c>
      <c r="BK206" t="s">
        <v>126</v>
      </c>
      <c r="BL206" t="s">
        <v>2231</v>
      </c>
      <c r="BM206" t="s">
        <v>4159</v>
      </c>
      <c r="BN206" t="s">
        <v>74</v>
      </c>
      <c r="BO206" t="s">
        <v>74</v>
      </c>
      <c r="BP206" t="s">
        <v>74</v>
      </c>
      <c r="BQ206" t="s">
        <v>74</v>
      </c>
      <c r="BR206" t="s">
        <v>99</v>
      </c>
      <c r="BS206" t="s">
        <v>4160</v>
      </c>
      <c r="BT206" t="str">
        <f>HYPERLINK("https%3A%2F%2Fwww.webofscience.com%2Fwos%2Fwoscc%2Ffull-record%2FWOS:001067535000001","View Full Record in Web of Science")</f>
        <v>View Full Record in Web of Science</v>
      </c>
    </row>
    <row r="207" spans="1:72" x14ac:dyDescent="0.15">
      <c r="A207" t="s">
        <v>72</v>
      </c>
      <c r="B207" t="s">
        <v>4161</v>
      </c>
      <c r="C207" t="s">
        <v>74</v>
      </c>
      <c r="D207" t="s">
        <v>74</v>
      </c>
      <c r="E207" t="s">
        <v>74</v>
      </c>
      <c r="F207" t="s">
        <v>4162</v>
      </c>
      <c r="G207" t="s">
        <v>74</v>
      </c>
      <c r="H207" t="s">
        <v>74</v>
      </c>
      <c r="I207" t="s">
        <v>4163</v>
      </c>
      <c r="J207" t="s">
        <v>4164</v>
      </c>
      <c r="K207" t="s">
        <v>74</v>
      </c>
      <c r="L207" t="s">
        <v>74</v>
      </c>
      <c r="M207" t="s">
        <v>78</v>
      </c>
      <c r="N207" t="s">
        <v>2174</v>
      </c>
      <c r="O207" t="s">
        <v>74</v>
      </c>
      <c r="P207" t="s">
        <v>74</v>
      </c>
      <c r="Q207" t="s">
        <v>74</v>
      </c>
      <c r="R207" t="s">
        <v>74</v>
      </c>
      <c r="S207" t="s">
        <v>74</v>
      </c>
      <c r="T207" t="s">
        <v>4165</v>
      </c>
      <c r="U207" t="s">
        <v>4166</v>
      </c>
      <c r="V207" t="s">
        <v>4167</v>
      </c>
      <c r="W207" t="s">
        <v>4168</v>
      </c>
      <c r="X207" t="s">
        <v>4169</v>
      </c>
      <c r="Y207" t="s">
        <v>4170</v>
      </c>
      <c r="Z207" t="s">
        <v>4171</v>
      </c>
      <c r="AA207" t="s">
        <v>74</v>
      </c>
      <c r="AB207" t="s">
        <v>74</v>
      </c>
      <c r="AC207" t="s">
        <v>4172</v>
      </c>
      <c r="AD207" t="s">
        <v>4172</v>
      </c>
      <c r="AE207" t="s">
        <v>4173</v>
      </c>
      <c r="AF207" t="s">
        <v>74</v>
      </c>
      <c r="AG207">
        <v>140</v>
      </c>
      <c r="AH207">
        <v>0</v>
      </c>
      <c r="AI207">
        <v>0</v>
      </c>
      <c r="AJ207">
        <v>0</v>
      </c>
      <c r="AK207">
        <v>0</v>
      </c>
      <c r="AL207" t="s">
        <v>317</v>
      </c>
      <c r="AM207" t="s">
        <v>245</v>
      </c>
      <c r="AN207" t="s">
        <v>318</v>
      </c>
      <c r="AO207" t="s">
        <v>4174</v>
      </c>
      <c r="AP207" t="s">
        <v>4175</v>
      </c>
      <c r="AQ207" t="s">
        <v>74</v>
      </c>
      <c r="AR207" t="s">
        <v>4176</v>
      </c>
      <c r="AS207" t="s">
        <v>4177</v>
      </c>
      <c r="AT207" t="s">
        <v>3994</v>
      </c>
      <c r="AU207">
        <v>2023</v>
      </c>
      <c r="AV207" t="s">
        <v>74</v>
      </c>
      <c r="AW207" t="s">
        <v>74</v>
      </c>
      <c r="AX207" t="s">
        <v>74</v>
      </c>
      <c r="AY207" t="s">
        <v>74</v>
      </c>
      <c r="AZ207" t="s">
        <v>74</v>
      </c>
      <c r="BA207" t="s">
        <v>74</v>
      </c>
      <c r="BB207" t="s">
        <v>74</v>
      </c>
      <c r="BC207" t="s">
        <v>74</v>
      </c>
      <c r="BD207" t="s">
        <v>74</v>
      </c>
      <c r="BE207" t="s">
        <v>4178</v>
      </c>
      <c r="BF207" t="str">
        <f>HYPERLINK("http://dx.doi.org/10.1007/s12551-023-01140","http://dx.doi.org/10.1007/s12551-023-01140")</f>
        <v>http://dx.doi.org/10.1007/s12551-023-01140</v>
      </c>
      <c r="BG207" t="s">
        <v>74</v>
      </c>
      <c r="BH207" t="s">
        <v>2079</v>
      </c>
      <c r="BI207">
        <v>12</v>
      </c>
      <c r="BJ207" t="s">
        <v>4179</v>
      </c>
      <c r="BK207" t="s">
        <v>97</v>
      </c>
      <c r="BL207" t="s">
        <v>4179</v>
      </c>
      <c r="BM207" t="s">
        <v>4180</v>
      </c>
      <c r="BN207" t="s">
        <v>74</v>
      </c>
      <c r="BO207" t="s">
        <v>74</v>
      </c>
      <c r="BP207" t="s">
        <v>74</v>
      </c>
      <c r="BQ207" t="s">
        <v>74</v>
      </c>
      <c r="BR207" t="s">
        <v>99</v>
      </c>
      <c r="BS207" t="s">
        <v>4181</v>
      </c>
      <c r="BT207" t="str">
        <f>HYPERLINK("https%3A%2F%2Fwww.webofscience.com%2Fwos%2Fwoscc%2Ffull-record%2FWOS:001066739500002","View Full Record in Web of Science")</f>
        <v>View Full Record in Web of Science</v>
      </c>
    </row>
    <row r="208" spans="1:72" x14ac:dyDescent="0.15">
      <c r="A208" t="s">
        <v>72</v>
      </c>
      <c r="B208" t="s">
        <v>4182</v>
      </c>
      <c r="C208" t="s">
        <v>74</v>
      </c>
      <c r="D208" t="s">
        <v>74</v>
      </c>
      <c r="E208" t="s">
        <v>74</v>
      </c>
      <c r="F208" t="s">
        <v>4183</v>
      </c>
      <c r="G208" t="s">
        <v>74</v>
      </c>
      <c r="H208" t="s">
        <v>74</v>
      </c>
      <c r="I208" t="s">
        <v>4184</v>
      </c>
      <c r="J208" t="s">
        <v>4185</v>
      </c>
      <c r="K208" t="s">
        <v>74</v>
      </c>
      <c r="L208" t="s">
        <v>74</v>
      </c>
      <c r="M208" t="s">
        <v>78</v>
      </c>
      <c r="N208" t="s">
        <v>79</v>
      </c>
      <c r="O208" t="s">
        <v>74</v>
      </c>
      <c r="P208" t="s">
        <v>74</v>
      </c>
      <c r="Q208" t="s">
        <v>74</v>
      </c>
      <c r="R208" t="s">
        <v>74</v>
      </c>
      <c r="S208" t="s">
        <v>74</v>
      </c>
      <c r="T208" t="s">
        <v>4186</v>
      </c>
      <c r="U208" t="s">
        <v>4187</v>
      </c>
      <c r="V208" t="s">
        <v>4188</v>
      </c>
      <c r="W208" t="s">
        <v>4189</v>
      </c>
      <c r="X208" t="s">
        <v>4190</v>
      </c>
      <c r="Y208" t="s">
        <v>4191</v>
      </c>
      <c r="Z208" t="s">
        <v>4192</v>
      </c>
      <c r="AA208" t="s">
        <v>74</v>
      </c>
      <c r="AB208" t="s">
        <v>4193</v>
      </c>
      <c r="AC208" t="s">
        <v>4194</v>
      </c>
      <c r="AD208" t="s">
        <v>4194</v>
      </c>
      <c r="AE208" t="s">
        <v>4195</v>
      </c>
      <c r="AF208" t="s">
        <v>74</v>
      </c>
      <c r="AG208">
        <v>49</v>
      </c>
      <c r="AH208">
        <v>0</v>
      </c>
      <c r="AI208">
        <v>0</v>
      </c>
      <c r="AJ208">
        <v>0</v>
      </c>
      <c r="AK208">
        <v>0</v>
      </c>
      <c r="AL208" t="s">
        <v>317</v>
      </c>
      <c r="AM208" t="s">
        <v>245</v>
      </c>
      <c r="AN208" t="s">
        <v>318</v>
      </c>
      <c r="AO208" t="s">
        <v>74</v>
      </c>
      <c r="AP208" t="s">
        <v>4196</v>
      </c>
      <c r="AQ208" t="s">
        <v>74</v>
      </c>
      <c r="AR208" t="s">
        <v>4197</v>
      </c>
      <c r="AS208" t="s">
        <v>4198</v>
      </c>
      <c r="AT208" t="s">
        <v>3970</v>
      </c>
      <c r="AU208">
        <v>2023</v>
      </c>
      <c r="AV208">
        <v>11</v>
      </c>
      <c r="AW208">
        <v>1</v>
      </c>
      <c r="AX208" t="s">
        <v>74</v>
      </c>
      <c r="AY208" t="s">
        <v>74</v>
      </c>
      <c r="AZ208" t="s">
        <v>74</v>
      </c>
      <c r="BA208" t="s">
        <v>74</v>
      </c>
      <c r="BB208" t="s">
        <v>74</v>
      </c>
      <c r="BC208" t="s">
        <v>74</v>
      </c>
      <c r="BD208">
        <v>275</v>
      </c>
      <c r="BE208" t="s">
        <v>4199</v>
      </c>
      <c r="BF208" t="str">
        <f>HYPERLINK("http://dx.doi.org/10.1186/s40359-023-01307-y","http://dx.doi.org/10.1186/s40359-023-01307-y")</f>
        <v>http://dx.doi.org/10.1186/s40359-023-01307-y</v>
      </c>
      <c r="BG208" t="s">
        <v>74</v>
      </c>
      <c r="BH208" t="s">
        <v>74</v>
      </c>
      <c r="BI208">
        <v>13</v>
      </c>
      <c r="BJ208" t="s">
        <v>2906</v>
      </c>
      <c r="BK208" t="s">
        <v>425</v>
      </c>
      <c r="BL208" t="s">
        <v>2907</v>
      </c>
      <c r="BM208" t="s">
        <v>4200</v>
      </c>
      <c r="BN208">
        <v>37715241</v>
      </c>
      <c r="BO208" t="s">
        <v>4201</v>
      </c>
      <c r="BP208" t="s">
        <v>74</v>
      </c>
      <c r="BQ208" t="s">
        <v>74</v>
      </c>
      <c r="BR208" t="s">
        <v>99</v>
      </c>
      <c r="BS208" t="s">
        <v>4202</v>
      </c>
      <c r="BT208" t="str">
        <f>HYPERLINK("https%3A%2F%2Fwww.webofscience.com%2Fwos%2Fwoscc%2Ffull-record%2FWOS:001066749200001","View Full Record in Web of Science")</f>
        <v>View Full Record in Web of Science</v>
      </c>
    </row>
    <row r="209" spans="1:72" x14ac:dyDescent="0.15">
      <c r="A209" t="s">
        <v>72</v>
      </c>
      <c r="B209" t="s">
        <v>4203</v>
      </c>
      <c r="C209" t="s">
        <v>74</v>
      </c>
      <c r="D209" t="s">
        <v>74</v>
      </c>
      <c r="E209" t="s">
        <v>74</v>
      </c>
      <c r="F209" t="s">
        <v>4204</v>
      </c>
      <c r="G209" t="s">
        <v>74</v>
      </c>
      <c r="H209" t="s">
        <v>74</v>
      </c>
      <c r="I209" t="s">
        <v>4205</v>
      </c>
      <c r="J209" t="s">
        <v>4206</v>
      </c>
      <c r="K209" t="s">
        <v>74</v>
      </c>
      <c r="L209" t="s">
        <v>74</v>
      </c>
      <c r="M209" t="s">
        <v>78</v>
      </c>
      <c r="N209" t="s">
        <v>1246</v>
      </c>
      <c r="O209" t="s">
        <v>74</v>
      </c>
      <c r="P209" t="s">
        <v>74</v>
      </c>
      <c r="Q209" t="s">
        <v>74</v>
      </c>
      <c r="R209" t="s">
        <v>74</v>
      </c>
      <c r="S209" t="s">
        <v>74</v>
      </c>
      <c r="T209" t="s">
        <v>4207</v>
      </c>
      <c r="U209" t="s">
        <v>4208</v>
      </c>
      <c r="V209" t="s">
        <v>4209</v>
      </c>
      <c r="W209" t="s">
        <v>4210</v>
      </c>
      <c r="X209" t="s">
        <v>4211</v>
      </c>
      <c r="Y209" t="s">
        <v>4212</v>
      </c>
      <c r="Z209" t="s">
        <v>4213</v>
      </c>
      <c r="AA209" t="s">
        <v>74</v>
      </c>
      <c r="AB209" t="s">
        <v>74</v>
      </c>
      <c r="AC209" t="s">
        <v>4214</v>
      </c>
      <c r="AD209" t="s">
        <v>4215</v>
      </c>
      <c r="AE209" t="s">
        <v>4216</v>
      </c>
      <c r="AF209" t="s">
        <v>74</v>
      </c>
      <c r="AG209">
        <v>61</v>
      </c>
      <c r="AH209">
        <v>0</v>
      </c>
      <c r="AI209">
        <v>0</v>
      </c>
      <c r="AJ209">
        <v>0</v>
      </c>
      <c r="AK209">
        <v>0</v>
      </c>
      <c r="AL209" t="s">
        <v>172</v>
      </c>
      <c r="AM209" t="s">
        <v>173</v>
      </c>
      <c r="AN209" t="s">
        <v>174</v>
      </c>
      <c r="AO209" t="s">
        <v>4217</v>
      </c>
      <c r="AP209" t="s">
        <v>4218</v>
      </c>
      <c r="AQ209" t="s">
        <v>74</v>
      </c>
      <c r="AR209" t="s">
        <v>4219</v>
      </c>
      <c r="AS209" t="s">
        <v>4220</v>
      </c>
      <c r="AT209" t="s">
        <v>3994</v>
      </c>
      <c r="AU209">
        <v>2023</v>
      </c>
      <c r="AV209" t="s">
        <v>74</v>
      </c>
      <c r="AW209" t="s">
        <v>74</v>
      </c>
      <c r="AX209" t="s">
        <v>74</v>
      </c>
      <c r="AY209" t="s">
        <v>74</v>
      </c>
      <c r="AZ209" t="s">
        <v>74</v>
      </c>
      <c r="BA209" t="s">
        <v>74</v>
      </c>
      <c r="BB209" t="s">
        <v>74</v>
      </c>
      <c r="BC209" t="s">
        <v>74</v>
      </c>
      <c r="BD209" t="s">
        <v>74</v>
      </c>
      <c r="BE209" t="s">
        <v>4221</v>
      </c>
      <c r="BF209" t="str">
        <f>HYPERLINK("http://dx.doi.org/10.1007/s10340-023-01691-9","http://dx.doi.org/10.1007/s10340-023-01691-9")</f>
        <v>http://dx.doi.org/10.1007/s10340-023-01691-9</v>
      </c>
      <c r="BG209" t="s">
        <v>74</v>
      </c>
      <c r="BH209" t="s">
        <v>2079</v>
      </c>
      <c r="BI209">
        <v>11</v>
      </c>
      <c r="BJ209" t="s">
        <v>2572</v>
      </c>
      <c r="BK209" t="s">
        <v>126</v>
      </c>
      <c r="BL209" t="s">
        <v>2572</v>
      </c>
      <c r="BM209" t="s">
        <v>4222</v>
      </c>
      <c r="BN209" t="s">
        <v>74</v>
      </c>
      <c r="BO209" t="s">
        <v>74</v>
      </c>
      <c r="BP209" t="s">
        <v>74</v>
      </c>
      <c r="BQ209" t="s">
        <v>74</v>
      </c>
      <c r="BR209" t="s">
        <v>99</v>
      </c>
      <c r="BS209" t="s">
        <v>4223</v>
      </c>
      <c r="BT209" t="str">
        <f>HYPERLINK("https%3A%2F%2Fwww.webofscience.com%2Fwos%2Fwoscc%2Ffull-record%2FWOS:001066022700001","View Full Record in Web of Science")</f>
        <v>View Full Record in Web of Science</v>
      </c>
    </row>
    <row r="210" spans="1:72" x14ac:dyDescent="0.15">
      <c r="A210" t="s">
        <v>72</v>
      </c>
      <c r="B210" t="s">
        <v>4224</v>
      </c>
      <c r="C210" t="s">
        <v>74</v>
      </c>
      <c r="D210" t="s">
        <v>74</v>
      </c>
      <c r="E210" t="s">
        <v>74</v>
      </c>
      <c r="F210" t="s">
        <v>4225</v>
      </c>
      <c r="G210" t="s">
        <v>74</v>
      </c>
      <c r="H210" t="s">
        <v>74</v>
      </c>
      <c r="I210" t="s">
        <v>4226</v>
      </c>
      <c r="J210" t="s">
        <v>4227</v>
      </c>
      <c r="K210" t="s">
        <v>74</v>
      </c>
      <c r="L210" t="s">
        <v>74</v>
      </c>
      <c r="M210" t="s">
        <v>78</v>
      </c>
      <c r="N210" t="s">
        <v>1246</v>
      </c>
      <c r="O210" t="s">
        <v>74</v>
      </c>
      <c r="P210" t="s">
        <v>74</v>
      </c>
      <c r="Q210" t="s">
        <v>74</v>
      </c>
      <c r="R210" t="s">
        <v>74</v>
      </c>
      <c r="S210" t="s">
        <v>74</v>
      </c>
      <c r="T210" t="s">
        <v>4228</v>
      </c>
      <c r="U210" t="s">
        <v>4229</v>
      </c>
      <c r="V210" t="s">
        <v>4230</v>
      </c>
      <c r="W210" t="s">
        <v>4231</v>
      </c>
      <c r="X210" t="s">
        <v>4232</v>
      </c>
      <c r="Y210" t="s">
        <v>4233</v>
      </c>
      <c r="Z210" t="s">
        <v>4234</v>
      </c>
      <c r="AA210" t="s">
        <v>74</v>
      </c>
      <c r="AB210" t="s">
        <v>74</v>
      </c>
      <c r="AC210" t="s">
        <v>4235</v>
      </c>
      <c r="AD210" t="s">
        <v>4236</v>
      </c>
      <c r="AE210" t="s">
        <v>4237</v>
      </c>
      <c r="AF210" t="s">
        <v>74</v>
      </c>
      <c r="AG210">
        <v>41</v>
      </c>
      <c r="AH210">
        <v>0</v>
      </c>
      <c r="AI210">
        <v>0</v>
      </c>
      <c r="AJ210">
        <v>0</v>
      </c>
      <c r="AK210">
        <v>0</v>
      </c>
      <c r="AL210" t="s">
        <v>117</v>
      </c>
      <c r="AM210" t="s">
        <v>627</v>
      </c>
      <c r="AN210" t="s">
        <v>628</v>
      </c>
      <c r="AO210" t="s">
        <v>4238</v>
      </c>
      <c r="AP210" t="s">
        <v>4239</v>
      </c>
      <c r="AQ210" t="s">
        <v>74</v>
      </c>
      <c r="AR210" t="s">
        <v>4240</v>
      </c>
      <c r="AS210" t="s">
        <v>4241</v>
      </c>
      <c r="AT210" t="s">
        <v>3994</v>
      </c>
      <c r="AU210">
        <v>2023</v>
      </c>
      <c r="AV210" t="s">
        <v>74</v>
      </c>
      <c r="AW210" t="s">
        <v>74</v>
      </c>
      <c r="AX210" t="s">
        <v>74</v>
      </c>
      <c r="AY210" t="s">
        <v>74</v>
      </c>
      <c r="AZ210" t="s">
        <v>74</v>
      </c>
      <c r="BA210" t="s">
        <v>74</v>
      </c>
      <c r="BB210" t="s">
        <v>74</v>
      </c>
      <c r="BC210" t="s">
        <v>74</v>
      </c>
      <c r="BD210" t="s">
        <v>74</v>
      </c>
      <c r="BE210" t="s">
        <v>4242</v>
      </c>
      <c r="BF210" t="str">
        <f>HYPERLINK("http://dx.doi.org/10.1007/s12649-023-02267-5","http://dx.doi.org/10.1007/s12649-023-02267-5")</f>
        <v>http://dx.doi.org/10.1007/s12649-023-02267-5</v>
      </c>
      <c r="BG210" t="s">
        <v>74</v>
      </c>
      <c r="BH210" t="s">
        <v>2079</v>
      </c>
      <c r="BI210">
        <v>12</v>
      </c>
      <c r="BJ210" t="s">
        <v>1346</v>
      </c>
      <c r="BK210" t="s">
        <v>126</v>
      </c>
      <c r="BL210" t="s">
        <v>1347</v>
      </c>
      <c r="BM210" t="s">
        <v>4243</v>
      </c>
      <c r="BN210" t="s">
        <v>74</v>
      </c>
      <c r="BO210" t="s">
        <v>183</v>
      </c>
      <c r="BP210" t="s">
        <v>74</v>
      </c>
      <c r="BQ210" t="s">
        <v>74</v>
      </c>
      <c r="BR210" t="s">
        <v>99</v>
      </c>
      <c r="BS210" t="s">
        <v>4244</v>
      </c>
      <c r="BT210" t="str">
        <f>HYPERLINK("https%3A%2F%2Fwww.webofscience.com%2Fwos%2Fwoscc%2Ffull-record%2FWOS:001065966400001","View Full Record in Web of Science")</f>
        <v>View Full Record in Web of Science</v>
      </c>
    </row>
    <row r="211" spans="1:72" x14ac:dyDescent="0.15">
      <c r="A211" t="s">
        <v>72</v>
      </c>
      <c r="B211" t="s">
        <v>4245</v>
      </c>
      <c r="C211" t="s">
        <v>74</v>
      </c>
      <c r="D211" t="s">
        <v>74</v>
      </c>
      <c r="E211" t="s">
        <v>74</v>
      </c>
      <c r="F211" t="s">
        <v>4246</v>
      </c>
      <c r="G211" t="s">
        <v>74</v>
      </c>
      <c r="H211" t="s">
        <v>74</v>
      </c>
      <c r="I211" t="s">
        <v>4247</v>
      </c>
      <c r="J211" t="s">
        <v>4185</v>
      </c>
      <c r="K211" t="s">
        <v>74</v>
      </c>
      <c r="L211" t="s">
        <v>74</v>
      </c>
      <c r="M211" t="s">
        <v>78</v>
      </c>
      <c r="N211" t="s">
        <v>79</v>
      </c>
      <c r="O211" t="s">
        <v>74</v>
      </c>
      <c r="P211" t="s">
        <v>74</v>
      </c>
      <c r="Q211" t="s">
        <v>74</v>
      </c>
      <c r="R211" t="s">
        <v>74</v>
      </c>
      <c r="S211" t="s">
        <v>74</v>
      </c>
      <c r="T211" t="s">
        <v>4248</v>
      </c>
      <c r="U211" t="s">
        <v>4249</v>
      </c>
      <c r="V211" t="s">
        <v>4250</v>
      </c>
      <c r="W211" t="s">
        <v>4251</v>
      </c>
      <c r="X211" t="s">
        <v>4252</v>
      </c>
      <c r="Y211" t="s">
        <v>4253</v>
      </c>
      <c r="Z211" t="s">
        <v>4254</v>
      </c>
      <c r="AA211" t="s">
        <v>74</v>
      </c>
      <c r="AB211" t="s">
        <v>4255</v>
      </c>
      <c r="AC211" t="s">
        <v>4256</v>
      </c>
      <c r="AD211" t="s">
        <v>4256</v>
      </c>
      <c r="AE211" t="s">
        <v>4256</v>
      </c>
      <c r="AF211" t="s">
        <v>74</v>
      </c>
      <c r="AG211">
        <v>52</v>
      </c>
      <c r="AH211">
        <v>0</v>
      </c>
      <c r="AI211">
        <v>0</v>
      </c>
      <c r="AJ211">
        <v>0</v>
      </c>
      <c r="AK211">
        <v>0</v>
      </c>
      <c r="AL211" t="s">
        <v>317</v>
      </c>
      <c r="AM211" t="s">
        <v>245</v>
      </c>
      <c r="AN211" t="s">
        <v>318</v>
      </c>
      <c r="AO211" t="s">
        <v>74</v>
      </c>
      <c r="AP211" t="s">
        <v>4196</v>
      </c>
      <c r="AQ211" t="s">
        <v>74</v>
      </c>
      <c r="AR211" t="s">
        <v>4197</v>
      </c>
      <c r="AS211" t="s">
        <v>4198</v>
      </c>
      <c r="AT211" t="s">
        <v>3970</v>
      </c>
      <c r="AU211">
        <v>2023</v>
      </c>
      <c r="AV211">
        <v>11</v>
      </c>
      <c r="AW211">
        <v>1</v>
      </c>
      <c r="AX211" t="s">
        <v>74</v>
      </c>
      <c r="AY211" t="s">
        <v>74</v>
      </c>
      <c r="AZ211" t="s">
        <v>74</v>
      </c>
      <c r="BA211" t="s">
        <v>74</v>
      </c>
      <c r="BB211" t="s">
        <v>74</v>
      </c>
      <c r="BC211" t="s">
        <v>74</v>
      </c>
      <c r="BD211">
        <v>276</v>
      </c>
      <c r="BE211" t="s">
        <v>4257</v>
      </c>
      <c r="BF211" t="str">
        <f>HYPERLINK("http://dx.doi.org/10.1186/s40359-023-01310-3","http://dx.doi.org/10.1186/s40359-023-01310-3")</f>
        <v>http://dx.doi.org/10.1186/s40359-023-01310-3</v>
      </c>
      <c r="BG211" t="s">
        <v>74</v>
      </c>
      <c r="BH211" t="s">
        <v>74</v>
      </c>
      <c r="BI211">
        <v>17</v>
      </c>
      <c r="BJ211" t="s">
        <v>2906</v>
      </c>
      <c r="BK211" t="s">
        <v>425</v>
      </c>
      <c r="BL211" t="s">
        <v>2907</v>
      </c>
      <c r="BM211" t="s">
        <v>4200</v>
      </c>
      <c r="BN211">
        <v>37715275</v>
      </c>
      <c r="BO211" t="s">
        <v>981</v>
      </c>
      <c r="BP211" t="s">
        <v>74</v>
      </c>
      <c r="BQ211" t="s">
        <v>74</v>
      </c>
      <c r="BR211" t="s">
        <v>99</v>
      </c>
      <c r="BS211" t="s">
        <v>4258</v>
      </c>
      <c r="BT211" t="str">
        <f>HYPERLINK("https%3A%2F%2Fwww.webofscience.com%2Fwos%2Fwoscc%2Ffull-record%2FWOS:001066749200003","View Full Record in Web of Science")</f>
        <v>View Full Record in Web of Science</v>
      </c>
    </row>
    <row r="212" spans="1:72" x14ac:dyDescent="0.15">
      <c r="A212" t="s">
        <v>72</v>
      </c>
      <c r="B212" t="s">
        <v>4259</v>
      </c>
      <c r="C212" t="s">
        <v>74</v>
      </c>
      <c r="D212" t="s">
        <v>74</v>
      </c>
      <c r="E212" t="s">
        <v>74</v>
      </c>
      <c r="F212" t="s">
        <v>4260</v>
      </c>
      <c r="G212" t="s">
        <v>74</v>
      </c>
      <c r="H212" t="s">
        <v>74</v>
      </c>
      <c r="I212" t="s">
        <v>4261</v>
      </c>
      <c r="J212" t="s">
        <v>4262</v>
      </c>
      <c r="K212" t="s">
        <v>74</v>
      </c>
      <c r="L212" t="s">
        <v>74</v>
      </c>
      <c r="M212" t="s">
        <v>78</v>
      </c>
      <c r="N212" t="s">
        <v>79</v>
      </c>
      <c r="O212" t="s">
        <v>74</v>
      </c>
      <c r="P212" t="s">
        <v>74</v>
      </c>
      <c r="Q212" t="s">
        <v>74</v>
      </c>
      <c r="R212" t="s">
        <v>74</v>
      </c>
      <c r="S212" t="s">
        <v>74</v>
      </c>
      <c r="T212" t="s">
        <v>4263</v>
      </c>
      <c r="U212" t="s">
        <v>4264</v>
      </c>
      <c r="V212" t="s">
        <v>4265</v>
      </c>
      <c r="W212" t="s">
        <v>4266</v>
      </c>
      <c r="X212" t="s">
        <v>4267</v>
      </c>
      <c r="Y212" t="s">
        <v>4268</v>
      </c>
      <c r="Z212" t="s">
        <v>4269</v>
      </c>
      <c r="AA212" t="s">
        <v>4270</v>
      </c>
      <c r="AB212" t="s">
        <v>4271</v>
      </c>
      <c r="AC212" t="s">
        <v>4272</v>
      </c>
      <c r="AD212" t="s">
        <v>4272</v>
      </c>
      <c r="AE212" t="s">
        <v>4272</v>
      </c>
      <c r="AF212" t="s">
        <v>74</v>
      </c>
      <c r="AG212">
        <v>39</v>
      </c>
      <c r="AH212">
        <v>0</v>
      </c>
      <c r="AI212">
        <v>0</v>
      </c>
      <c r="AJ212">
        <v>0</v>
      </c>
      <c r="AK212">
        <v>0</v>
      </c>
      <c r="AL212" t="s">
        <v>317</v>
      </c>
      <c r="AM212" t="s">
        <v>245</v>
      </c>
      <c r="AN212" t="s">
        <v>318</v>
      </c>
      <c r="AO212" t="s">
        <v>74</v>
      </c>
      <c r="AP212" t="s">
        <v>4273</v>
      </c>
      <c r="AQ212" t="s">
        <v>74</v>
      </c>
      <c r="AR212" t="s">
        <v>4274</v>
      </c>
      <c r="AS212" t="s">
        <v>4275</v>
      </c>
      <c r="AT212" t="s">
        <v>3970</v>
      </c>
      <c r="AU212">
        <v>2023</v>
      </c>
      <c r="AV212">
        <v>30</v>
      </c>
      <c r="AW212">
        <v>1</v>
      </c>
      <c r="AX212" t="s">
        <v>74</v>
      </c>
      <c r="AY212" t="s">
        <v>74</v>
      </c>
      <c r="AZ212" t="s">
        <v>74</v>
      </c>
      <c r="BA212" t="s">
        <v>74</v>
      </c>
      <c r="BB212" t="s">
        <v>74</v>
      </c>
      <c r="BC212" t="s">
        <v>74</v>
      </c>
      <c r="BD212">
        <v>73</v>
      </c>
      <c r="BE212" t="s">
        <v>4276</v>
      </c>
      <c r="BF212" t="str">
        <f>HYPERLINK("http://dx.doi.org/10.1186/s43045-023-00347-9","http://dx.doi.org/10.1186/s43045-023-00347-9")</f>
        <v>http://dx.doi.org/10.1186/s43045-023-00347-9</v>
      </c>
      <c r="BG212" t="s">
        <v>74</v>
      </c>
      <c r="BH212" t="s">
        <v>74</v>
      </c>
      <c r="BI212">
        <v>9</v>
      </c>
      <c r="BJ212" t="s">
        <v>3373</v>
      </c>
      <c r="BK212" t="s">
        <v>97</v>
      </c>
      <c r="BL212" t="s">
        <v>3373</v>
      </c>
      <c r="BM212" t="s">
        <v>4277</v>
      </c>
      <c r="BN212" t="s">
        <v>74</v>
      </c>
      <c r="BO212" t="s">
        <v>302</v>
      </c>
      <c r="BP212" t="s">
        <v>74</v>
      </c>
      <c r="BQ212" t="s">
        <v>74</v>
      </c>
      <c r="BR212" t="s">
        <v>99</v>
      </c>
      <c r="BS212" t="s">
        <v>4278</v>
      </c>
      <c r="BT212" t="str">
        <f>HYPERLINK("https%3A%2F%2Fwww.webofscience.com%2Fwos%2Fwoscc%2Ffull-record%2FWOS:001067065600001","View Full Record in Web of Science")</f>
        <v>View Full Record in Web of Science</v>
      </c>
    </row>
    <row r="213" spans="1:72" x14ac:dyDescent="0.15">
      <c r="A213" t="s">
        <v>72</v>
      </c>
      <c r="B213" t="s">
        <v>4279</v>
      </c>
      <c r="C213" t="s">
        <v>74</v>
      </c>
      <c r="D213" t="s">
        <v>74</v>
      </c>
      <c r="E213" t="s">
        <v>74</v>
      </c>
      <c r="F213" t="s">
        <v>4280</v>
      </c>
      <c r="G213" t="s">
        <v>74</v>
      </c>
      <c r="H213" t="s">
        <v>74</v>
      </c>
      <c r="I213" t="s">
        <v>4281</v>
      </c>
      <c r="J213" t="s">
        <v>4282</v>
      </c>
      <c r="K213" t="s">
        <v>74</v>
      </c>
      <c r="L213" t="s">
        <v>74</v>
      </c>
      <c r="M213" t="s">
        <v>78</v>
      </c>
      <c r="N213" t="s">
        <v>1246</v>
      </c>
      <c r="O213" t="s">
        <v>74</v>
      </c>
      <c r="P213" t="s">
        <v>74</v>
      </c>
      <c r="Q213" t="s">
        <v>74</v>
      </c>
      <c r="R213" t="s">
        <v>74</v>
      </c>
      <c r="S213" t="s">
        <v>74</v>
      </c>
      <c r="T213" t="s">
        <v>4283</v>
      </c>
      <c r="U213" t="s">
        <v>74</v>
      </c>
      <c r="V213" t="s">
        <v>4284</v>
      </c>
      <c r="W213" t="s">
        <v>4285</v>
      </c>
      <c r="X213" t="s">
        <v>4286</v>
      </c>
      <c r="Y213" t="s">
        <v>4287</v>
      </c>
      <c r="Z213" t="s">
        <v>4288</v>
      </c>
      <c r="AA213" t="s">
        <v>74</v>
      </c>
      <c r="AB213" t="s">
        <v>74</v>
      </c>
      <c r="AC213" t="s">
        <v>74</v>
      </c>
      <c r="AD213" t="s">
        <v>74</v>
      </c>
      <c r="AE213" t="s">
        <v>74</v>
      </c>
      <c r="AF213" t="s">
        <v>74</v>
      </c>
      <c r="AG213">
        <v>5</v>
      </c>
      <c r="AH213">
        <v>0</v>
      </c>
      <c r="AI213">
        <v>0</v>
      </c>
      <c r="AJ213">
        <v>0</v>
      </c>
      <c r="AK213">
        <v>0</v>
      </c>
      <c r="AL213" t="s">
        <v>219</v>
      </c>
      <c r="AM213" t="s">
        <v>220</v>
      </c>
      <c r="AN213" t="s">
        <v>221</v>
      </c>
      <c r="AO213" t="s">
        <v>4289</v>
      </c>
      <c r="AP213" t="s">
        <v>4290</v>
      </c>
      <c r="AQ213" t="s">
        <v>74</v>
      </c>
      <c r="AR213" t="s">
        <v>4291</v>
      </c>
      <c r="AS213" t="s">
        <v>4292</v>
      </c>
      <c r="AT213" t="s">
        <v>3994</v>
      </c>
      <c r="AU213">
        <v>2023</v>
      </c>
      <c r="AV213" t="s">
        <v>74</v>
      </c>
      <c r="AW213" t="s">
        <v>74</v>
      </c>
      <c r="AX213" t="s">
        <v>74</v>
      </c>
      <c r="AY213" t="s">
        <v>74</v>
      </c>
      <c r="AZ213" t="s">
        <v>74</v>
      </c>
      <c r="BA213" t="s">
        <v>74</v>
      </c>
      <c r="BB213" t="s">
        <v>74</v>
      </c>
      <c r="BC213" t="s">
        <v>74</v>
      </c>
      <c r="BD213" t="s">
        <v>4293</v>
      </c>
      <c r="BE213" t="s">
        <v>4294</v>
      </c>
      <c r="BF213" t="str">
        <f>HYPERLINK("http://dx.doi.org/10.1007/s00013-023-01918-2","http://dx.doi.org/10.1007/s00013-023-01918-2")</f>
        <v>http://dx.doi.org/10.1007/s00013-023-01918-2</v>
      </c>
      <c r="BG213" t="s">
        <v>74</v>
      </c>
      <c r="BH213" t="s">
        <v>2079</v>
      </c>
      <c r="BI213">
        <v>4</v>
      </c>
      <c r="BJ213" t="s">
        <v>228</v>
      </c>
      <c r="BK213" t="s">
        <v>126</v>
      </c>
      <c r="BL213" t="s">
        <v>228</v>
      </c>
      <c r="BM213" t="s">
        <v>4295</v>
      </c>
      <c r="BN213" t="s">
        <v>74</v>
      </c>
      <c r="BO213" t="s">
        <v>74</v>
      </c>
      <c r="BP213" t="s">
        <v>74</v>
      </c>
      <c r="BQ213" t="s">
        <v>74</v>
      </c>
      <c r="BR213" t="s">
        <v>99</v>
      </c>
      <c r="BS213" t="s">
        <v>4296</v>
      </c>
      <c r="BT213" t="str">
        <f>HYPERLINK("https%3A%2F%2Fwww.webofscience.com%2Fwos%2Fwoscc%2Ffull-record%2FWOS:001068669700001","View Full Record in Web of Science")</f>
        <v>View Full Record in Web of Science</v>
      </c>
    </row>
    <row r="214" spans="1:72" x14ac:dyDescent="0.15">
      <c r="A214" t="s">
        <v>72</v>
      </c>
      <c r="B214" t="s">
        <v>4297</v>
      </c>
      <c r="C214" t="s">
        <v>74</v>
      </c>
      <c r="D214" t="s">
        <v>74</v>
      </c>
      <c r="E214" t="s">
        <v>74</v>
      </c>
      <c r="F214" t="s">
        <v>4298</v>
      </c>
      <c r="G214" t="s">
        <v>74</v>
      </c>
      <c r="H214" t="s">
        <v>74</v>
      </c>
      <c r="I214" t="s">
        <v>4299</v>
      </c>
      <c r="J214" t="s">
        <v>4300</v>
      </c>
      <c r="K214" t="s">
        <v>74</v>
      </c>
      <c r="L214" t="s">
        <v>74</v>
      </c>
      <c r="M214" t="s">
        <v>78</v>
      </c>
      <c r="N214" t="s">
        <v>1246</v>
      </c>
      <c r="O214" t="s">
        <v>74</v>
      </c>
      <c r="P214" t="s">
        <v>74</v>
      </c>
      <c r="Q214" t="s">
        <v>74</v>
      </c>
      <c r="R214" t="s">
        <v>74</v>
      </c>
      <c r="S214" t="s">
        <v>74</v>
      </c>
      <c r="T214" t="s">
        <v>4301</v>
      </c>
      <c r="U214" t="s">
        <v>4302</v>
      </c>
      <c r="V214" t="s">
        <v>4303</v>
      </c>
      <c r="W214" t="s">
        <v>4304</v>
      </c>
      <c r="X214" t="s">
        <v>4305</v>
      </c>
      <c r="Y214" t="s">
        <v>4306</v>
      </c>
      <c r="Z214" t="s">
        <v>4307</v>
      </c>
      <c r="AA214" t="s">
        <v>74</v>
      </c>
      <c r="AB214" t="s">
        <v>4308</v>
      </c>
      <c r="AC214" t="s">
        <v>74</v>
      </c>
      <c r="AD214" t="s">
        <v>74</v>
      </c>
      <c r="AE214" t="s">
        <v>74</v>
      </c>
      <c r="AF214" t="s">
        <v>74</v>
      </c>
      <c r="AG214">
        <v>72</v>
      </c>
      <c r="AH214">
        <v>0</v>
      </c>
      <c r="AI214">
        <v>0</v>
      </c>
      <c r="AJ214">
        <v>2</v>
      </c>
      <c r="AK214">
        <v>2</v>
      </c>
      <c r="AL214" t="s">
        <v>117</v>
      </c>
      <c r="AM214" t="s">
        <v>627</v>
      </c>
      <c r="AN214" t="s">
        <v>628</v>
      </c>
      <c r="AO214" t="s">
        <v>4309</v>
      </c>
      <c r="AP214" t="s">
        <v>4310</v>
      </c>
      <c r="AQ214" t="s">
        <v>74</v>
      </c>
      <c r="AR214" t="s">
        <v>4311</v>
      </c>
      <c r="AS214" t="s">
        <v>4312</v>
      </c>
      <c r="AT214" t="s">
        <v>4313</v>
      </c>
      <c r="AU214">
        <v>2023</v>
      </c>
      <c r="AV214" t="s">
        <v>74</v>
      </c>
      <c r="AW214" t="s">
        <v>74</v>
      </c>
      <c r="AX214" t="s">
        <v>74</v>
      </c>
      <c r="AY214" t="s">
        <v>74</v>
      </c>
      <c r="AZ214" t="s">
        <v>74</v>
      </c>
      <c r="BA214" t="s">
        <v>74</v>
      </c>
      <c r="BB214" t="s">
        <v>74</v>
      </c>
      <c r="BC214" t="s">
        <v>74</v>
      </c>
      <c r="BD214" t="s">
        <v>74</v>
      </c>
      <c r="BE214" t="s">
        <v>4314</v>
      </c>
      <c r="BF214" t="str">
        <f>HYPERLINK("http://dx.doi.org/10.1007/s11218-023-09827-6","http://dx.doi.org/10.1007/s11218-023-09827-6")</f>
        <v>http://dx.doi.org/10.1007/s11218-023-09827-6</v>
      </c>
      <c r="BG214" t="s">
        <v>74</v>
      </c>
      <c r="BH214" t="s">
        <v>2079</v>
      </c>
      <c r="BI214">
        <v>24</v>
      </c>
      <c r="BJ214" t="s">
        <v>3662</v>
      </c>
      <c r="BK214" t="s">
        <v>425</v>
      </c>
      <c r="BL214" t="s">
        <v>2907</v>
      </c>
      <c r="BM214" t="s">
        <v>4315</v>
      </c>
      <c r="BN214" t="s">
        <v>74</v>
      </c>
      <c r="BO214" t="s">
        <v>74</v>
      </c>
      <c r="BP214" t="s">
        <v>74</v>
      </c>
      <c r="BQ214" t="s">
        <v>74</v>
      </c>
      <c r="BR214" t="s">
        <v>99</v>
      </c>
      <c r="BS214" t="s">
        <v>4316</v>
      </c>
      <c r="BT214" t="str">
        <f>HYPERLINK("https%3A%2F%2Fwww.webofscience.com%2Fwos%2Fwoscc%2Ffull-record%2FWOS:001065946000002","View Full Record in Web of Science")</f>
        <v>View Full Record in Web of Science</v>
      </c>
    </row>
    <row r="215" spans="1:72" x14ac:dyDescent="0.15">
      <c r="A215" t="s">
        <v>72</v>
      </c>
      <c r="B215" t="s">
        <v>4317</v>
      </c>
      <c r="C215" t="s">
        <v>74</v>
      </c>
      <c r="D215" t="s">
        <v>74</v>
      </c>
      <c r="E215" t="s">
        <v>74</v>
      </c>
      <c r="F215" t="s">
        <v>4318</v>
      </c>
      <c r="G215" t="s">
        <v>74</v>
      </c>
      <c r="H215" t="s">
        <v>74</v>
      </c>
      <c r="I215" t="s">
        <v>4319</v>
      </c>
      <c r="J215" t="s">
        <v>2339</v>
      </c>
      <c r="K215" t="s">
        <v>74</v>
      </c>
      <c r="L215" t="s">
        <v>74</v>
      </c>
      <c r="M215" t="s">
        <v>78</v>
      </c>
      <c r="N215" t="s">
        <v>1246</v>
      </c>
      <c r="O215" t="s">
        <v>74</v>
      </c>
      <c r="P215" t="s">
        <v>74</v>
      </c>
      <c r="Q215" t="s">
        <v>74</v>
      </c>
      <c r="R215" t="s">
        <v>74</v>
      </c>
      <c r="S215" t="s">
        <v>74</v>
      </c>
      <c r="T215" t="s">
        <v>4320</v>
      </c>
      <c r="U215" t="s">
        <v>4321</v>
      </c>
      <c r="V215" t="s">
        <v>4322</v>
      </c>
      <c r="W215" t="s">
        <v>4323</v>
      </c>
      <c r="X215" t="s">
        <v>4324</v>
      </c>
      <c r="Y215" t="s">
        <v>4325</v>
      </c>
      <c r="Z215" t="s">
        <v>4326</v>
      </c>
      <c r="AA215" t="s">
        <v>74</v>
      </c>
      <c r="AB215" t="s">
        <v>74</v>
      </c>
      <c r="AC215" t="s">
        <v>4327</v>
      </c>
      <c r="AD215" t="s">
        <v>4327</v>
      </c>
      <c r="AE215" t="s">
        <v>4328</v>
      </c>
      <c r="AF215" t="s">
        <v>74</v>
      </c>
      <c r="AG215">
        <v>103</v>
      </c>
      <c r="AH215">
        <v>0</v>
      </c>
      <c r="AI215">
        <v>0</v>
      </c>
      <c r="AJ215">
        <v>1</v>
      </c>
      <c r="AK215">
        <v>1</v>
      </c>
      <c r="AL215" t="s">
        <v>117</v>
      </c>
      <c r="AM215" t="s">
        <v>118</v>
      </c>
      <c r="AN215" t="s">
        <v>119</v>
      </c>
      <c r="AO215" t="s">
        <v>2349</v>
      </c>
      <c r="AP215" t="s">
        <v>2350</v>
      </c>
      <c r="AQ215" t="s">
        <v>74</v>
      </c>
      <c r="AR215" t="s">
        <v>2339</v>
      </c>
      <c r="AS215" t="s">
        <v>2351</v>
      </c>
      <c r="AT215" t="s">
        <v>4313</v>
      </c>
      <c r="AU215">
        <v>2023</v>
      </c>
      <c r="AV215" t="s">
        <v>74</v>
      </c>
      <c r="AW215" t="s">
        <v>74</v>
      </c>
      <c r="AX215" t="s">
        <v>74</v>
      </c>
      <c r="AY215" t="s">
        <v>74</v>
      </c>
      <c r="AZ215" t="s">
        <v>74</v>
      </c>
      <c r="BA215" t="s">
        <v>74</v>
      </c>
      <c r="BB215" t="s">
        <v>74</v>
      </c>
      <c r="BC215" t="s">
        <v>74</v>
      </c>
      <c r="BD215" t="s">
        <v>74</v>
      </c>
      <c r="BE215" t="s">
        <v>4329</v>
      </c>
      <c r="BF215" t="str">
        <f>HYPERLINK("http://dx.doi.org/10.1007/s00213-023-06457","http://dx.doi.org/10.1007/s00213-023-06457")</f>
        <v>http://dx.doi.org/10.1007/s00213-023-06457</v>
      </c>
      <c r="BG215" t="s">
        <v>74</v>
      </c>
      <c r="BH215" t="s">
        <v>2079</v>
      </c>
      <c r="BI215">
        <v>13</v>
      </c>
      <c r="BJ215" t="s">
        <v>2353</v>
      </c>
      <c r="BK215" t="s">
        <v>126</v>
      </c>
      <c r="BL215" t="s">
        <v>2354</v>
      </c>
      <c r="BM215" t="s">
        <v>4330</v>
      </c>
      <c r="BN215" t="s">
        <v>74</v>
      </c>
      <c r="BO215" t="s">
        <v>74</v>
      </c>
      <c r="BP215" t="s">
        <v>74</v>
      </c>
      <c r="BQ215" t="s">
        <v>74</v>
      </c>
      <c r="BR215" t="s">
        <v>99</v>
      </c>
      <c r="BS215" t="s">
        <v>4331</v>
      </c>
      <c r="BT215" t="str">
        <f>HYPERLINK("https%3A%2F%2Fwww.webofscience.com%2Fwos%2Fwoscc%2Ffull-record%2FWOS:001065964300001","View Full Record in Web of Science")</f>
        <v>View Full Record in Web of Science</v>
      </c>
    </row>
    <row r="216" spans="1:72" x14ac:dyDescent="0.15">
      <c r="A216" t="s">
        <v>72</v>
      </c>
      <c r="B216" t="s">
        <v>4332</v>
      </c>
      <c r="C216" t="s">
        <v>74</v>
      </c>
      <c r="D216" t="s">
        <v>74</v>
      </c>
      <c r="E216" t="s">
        <v>74</v>
      </c>
      <c r="F216" t="s">
        <v>4333</v>
      </c>
      <c r="G216" t="s">
        <v>74</v>
      </c>
      <c r="H216" t="s">
        <v>74</v>
      </c>
      <c r="I216" t="s">
        <v>4334</v>
      </c>
      <c r="J216" t="s">
        <v>3492</v>
      </c>
      <c r="K216" t="s">
        <v>74</v>
      </c>
      <c r="L216" t="s">
        <v>74</v>
      </c>
      <c r="M216" t="s">
        <v>78</v>
      </c>
      <c r="N216" t="s">
        <v>1246</v>
      </c>
      <c r="O216" t="s">
        <v>74</v>
      </c>
      <c r="P216" t="s">
        <v>74</v>
      </c>
      <c r="Q216" t="s">
        <v>74</v>
      </c>
      <c r="R216" t="s">
        <v>74</v>
      </c>
      <c r="S216" t="s">
        <v>74</v>
      </c>
      <c r="T216" t="s">
        <v>4335</v>
      </c>
      <c r="U216" t="s">
        <v>4336</v>
      </c>
      <c r="V216" t="s">
        <v>4337</v>
      </c>
      <c r="W216" t="s">
        <v>4338</v>
      </c>
      <c r="X216" t="s">
        <v>4339</v>
      </c>
      <c r="Y216" t="s">
        <v>4340</v>
      </c>
      <c r="Z216" t="s">
        <v>4341</v>
      </c>
      <c r="AA216" t="s">
        <v>74</v>
      </c>
      <c r="AB216" t="s">
        <v>74</v>
      </c>
      <c r="AC216" t="s">
        <v>74</v>
      </c>
      <c r="AD216" t="s">
        <v>74</v>
      </c>
      <c r="AE216" t="s">
        <v>74</v>
      </c>
      <c r="AF216" t="s">
        <v>74</v>
      </c>
      <c r="AG216">
        <v>34</v>
      </c>
      <c r="AH216">
        <v>0</v>
      </c>
      <c r="AI216">
        <v>0</v>
      </c>
      <c r="AJ216">
        <v>0</v>
      </c>
      <c r="AK216">
        <v>0</v>
      </c>
      <c r="AL216" t="s">
        <v>172</v>
      </c>
      <c r="AM216" t="s">
        <v>173</v>
      </c>
      <c r="AN216" t="s">
        <v>174</v>
      </c>
      <c r="AO216" t="s">
        <v>3499</v>
      </c>
      <c r="AP216" t="s">
        <v>3500</v>
      </c>
      <c r="AQ216" t="s">
        <v>74</v>
      </c>
      <c r="AR216" t="s">
        <v>3501</v>
      </c>
      <c r="AS216" t="s">
        <v>3502</v>
      </c>
      <c r="AT216" t="s">
        <v>4313</v>
      </c>
      <c r="AU216">
        <v>2023</v>
      </c>
      <c r="AV216" t="s">
        <v>74</v>
      </c>
      <c r="AW216" t="s">
        <v>74</v>
      </c>
      <c r="AX216" t="s">
        <v>74</v>
      </c>
      <c r="AY216" t="s">
        <v>74</v>
      </c>
      <c r="AZ216" t="s">
        <v>74</v>
      </c>
      <c r="BA216" t="s">
        <v>74</v>
      </c>
      <c r="BB216" t="s">
        <v>74</v>
      </c>
      <c r="BC216" t="s">
        <v>74</v>
      </c>
      <c r="BD216" t="s">
        <v>74</v>
      </c>
      <c r="BE216" t="s">
        <v>4342</v>
      </c>
      <c r="BF216" t="str">
        <f>HYPERLINK("http://dx.doi.org/10.1007/s43217-023-00150","http://dx.doi.org/10.1007/s43217-023-00150")</f>
        <v>http://dx.doi.org/10.1007/s43217-023-00150</v>
      </c>
      <c r="BG216" t="s">
        <v>74</v>
      </c>
      <c r="BH216" t="s">
        <v>2079</v>
      </c>
      <c r="BI216">
        <v>11</v>
      </c>
      <c r="BJ216" t="s">
        <v>1346</v>
      </c>
      <c r="BK216" t="s">
        <v>97</v>
      </c>
      <c r="BL216" t="s">
        <v>1347</v>
      </c>
      <c r="BM216" t="s">
        <v>4343</v>
      </c>
      <c r="BN216" t="s">
        <v>74</v>
      </c>
      <c r="BO216" t="s">
        <v>74</v>
      </c>
      <c r="BP216" t="s">
        <v>74</v>
      </c>
      <c r="BQ216" t="s">
        <v>74</v>
      </c>
      <c r="BR216" t="s">
        <v>99</v>
      </c>
      <c r="BS216" t="s">
        <v>4344</v>
      </c>
      <c r="BT216" t="str">
        <f>HYPERLINK("https%3A%2F%2Fwww.webofscience.com%2Fwos%2Fwoscc%2Ffull-record%2FWOS:001065956600001","View Full Record in Web of Science")</f>
        <v>View Full Record in Web of Science</v>
      </c>
    </row>
    <row r="217" spans="1:72" x14ac:dyDescent="0.15">
      <c r="A217" t="s">
        <v>72</v>
      </c>
      <c r="B217" t="s">
        <v>4345</v>
      </c>
      <c r="C217" t="s">
        <v>74</v>
      </c>
      <c r="D217" t="s">
        <v>74</v>
      </c>
      <c r="E217" t="s">
        <v>74</v>
      </c>
      <c r="F217" t="s">
        <v>4346</v>
      </c>
      <c r="G217" t="s">
        <v>74</v>
      </c>
      <c r="H217" t="s">
        <v>74</v>
      </c>
      <c r="I217" t="s">
        <v>4347</v>
      </c>
      <c r="J217" t="s">
        <v>4348</v>
      </c>
      <c r="K217" t="s">
        <v>74</v>
      </c>
      <c r="L217" t="s">
        <v>74</v>
      </c>
      <c r="M217" t="s">
        <v>4349</v>
      </c>
      <c r="N217" t="s">
        <v>1246</v>
      </c>
      <c r="O217" t="s">
        <v>74</v>
      </c>
      <c r="P217" t="s">
        <v>74</v>
      </c>
      <c r="Q217" t="s">
        <v>74</v>
      </c>
      <c r="R217" t="s">
        <v>74</v>
      </c>
      <c r="S217" t="s">
        <v>74</v>
      </c>
      <c r="T217" t="s">
        <v>4350</v>
      </c>
      <c r="U217" t="s">
        <v>4351</v>
      </c>
      <c r="V217" t="s">
        <v>4352</v>
      </c>
      <c r="W217" t="s">
        <v>4353</v>
      </c>
      <c r="X217" t="s">
        <v>4354</v>
      </c>
      <c r="Y217" t="s">
        <v>4355</v>
      </c>
      <c r="Z217" t="s">
        <v>4356</v>
      </c>
      <c r="AA217" t="s">
        <v>74</v>
      </c>
      <c r="AB217" t="s">
        <v>74</v>
      </c>
      <c r="AC217" t="s">
        <v>74</v>
      </c>
      <c r="AD217" t="s">
        <v>74</v>
      </c>
      <c r="AE217" t="s">
        <v>74</v>
      </c>
      <c r="AF217" t="s">
        <v>74</v>
      </c>
      <c r="AG217">
        <v>15</v>
      </c>
      <c r="AH217">
        <v>0</v>
      </c>
      <c r="AI217">
        <v>0</v>
      </c>
      <c r="AJ217">
        <v>0</v>
      </c>
      <c r="AK217">
        <v>0</v>
      </c>
      <c r="AL217" t="s">
        <v>172</v>
      </c>
      <c r="AM217" t="s">
        <v>173</v>
      </c>
      <c r="AN217" t="s">
        <v>174</v>
      </c>
      <c r="AO217" t="s">
        <v>4357</v>
      </c>
      <c r="AP217" t="s">
        <v>4358</v>
      </c>
      <c r="AQ217" t="s">
        <v>74</v>
      </c>
      <c r="AR217" t="s">
        <v>4359</v>
      </c>
      <c r="AS217" t="s">
        <v>4360</v>
      </c>
      <c r="AT217" t="s">
        <v>4313</v>
      </c>
      <c r="AU217">
        <v>2023</v>
      </c>
      <c r="AV217" t="s">
        <v>74</v>
      </c>
      <c r="AW217" t="s">
        <v>74</v>
      </c>
      <c r="AX217" t="s">
        <v>74</v>
      </c>
      <c r="AY217" t="s">
        <v>74</v>
      </c>
      <c r="AZ217" t="s">
        <v>74</v>
      </c>
      <c r="BA217" t="s">
        <v>74</v>
      </c>
      <c r="BB217" t="s">
        <v>74</v>
      </c>
      <c r="BC217" t="s">
        <v>74</v>
      </c>
      <c r="BD217" t="s">
        <v>74</v>
      </c>
      <c r="BE217" t="s">
        <v>4361</v>
      </c>
      <c r="BF217" t="str">
        <f>HYPERLINK("http://dx.doi.org/10.1007/s40664-023-00515-y","http://dx.doi.org/10.1007/s40664-023-00515-y")</f>
        <v>http://dx.doi.org/10.1007/s40664-023-00515-y</v>
      </c>
      <c r="BG217" t="s">
        <v>74</v>
      </c>
      <c r="BH217" t="s">
        <v>2079</v>
      </c>
      <c r="BI217">
        <v>5</v>
      </c>
      <c r="BJ217" t="s">
        <v>2744</v>
      </c>
      <c r="BK217" t="s">
        <v>97</v>
      </c>
      <c r="BL217" t="s">
        <v>2744</v>
      </c>
      <c r="BM217" t="s">
        <v>4362</v>
      </c>
      <c r="BN217" t="s">
        <v>74</v>
      </c>
      <c r="BO217" t="s">
        <v>74</v>
      </c>
      <c r="BP217" t="s">
        <v>74</v>
      </c>
      <c r="BQ217" t="s">
        <v>74</v>
      </c>
      <c r="BR217" t="s">
        <v>99</v>
      </c>
      <c r="BS217" t="s">
        <v>4363</v>
      </c>
      <c r="BT217" t="str">
        <f>HYPERLINK("https%3A%2F%2Fwww.webofscience.com%2Fwos%2Fwoscc%2Ffull-record%2FWOS:001068068500001","View Full Record in Web of Science")</f>
        <v>View Full Record in Web of Science</v>
      </c>
    </row>
    <row r="218" spans="1:72" x14ac:dyDescent="0.15">
      <c r="A218" t="s">
        <v>72</v>
      </c>
      <c r="B218" t="s">
        <v>4364</v>
      </c>
      <c r="C218" t="s">
        <v>74</v>
      </c>
      <c r="D218" t="s">
        <v>74</v>
      </c>
      <c r="E218" t="s">
        <v>74</v>
      </c>
      <c r="F218" t="s">
        <v>4365</v>
      </c>
      <c r="G218" t="s">
        <v>74</v>
      </c>
      <c r="H218" t="s">
        <v>74</v>
      </c>
      <c r="I218" t="s">
        <v>4366</v>
      </c>
      <c r="J218" t="s">
        <v>2932</v>
      </c>
      <c r="K218" t="s">
        <v>74</v>
      </c>
      <c r="L218" t="s">
        <v>74</v>
      </c>
      <c r="M218" t="s">
        <v>78</v>
      </c>
      <c r="N218" t="s">
        <v>1246</v>
      </c>
      <c r="O218" t="s">
        <v>74</v>
      </c>
      <c r="P218" t="s">
        <v>74</v>
      </c>
      <c r="Q218" t="s">
        <v>74</v>
      </c>
      <c r="R218" t="s">
        <v>74</v>
      </c>
      <c r="S218" t="s">
        <v>74</v>
      </c>
      <c r="T218" t="s">
        <v>4367</v>
      </c>
      <c r="U218" t="s">
        <v>74</v>
      </c>
      <c r="V218" t="s">
        <v>4368</v>
      </c>
      <c r="W218" t="s">
        <v>4369</v>
      </c>
      <c r="X218" t="s">
        <v>4370</v>
      </c>
      <c r="Y218" t="s">
        <v>4371</v>
      </c>
      <c r="Z218" t="s">
        <v>4372</v>
      </c>
      <c r="AA218" t="s">
        <v>74</v>
      </c>
      <c r="AB218" t="s">
        <v>74</v>
      </c>
      <c r="AC218" t="s">
        <v>4373</v>
      </c>
      <c r="AD218" t="s">
        <v>4373</v>
      </c>
      <c r="AE218" t="s">
        <v>4374</v>
      </c>
      <c r="AF218" t="s">
        <v>74</v>
      </c>
      <c r="AG218">
        <v>37</v>
      </c>
      <c r="AH218">
        <v>0</v>
      </c>
      <c r="AI218">
        <v>0</v>
      </c>
      <c r="AJ218">
        <v>0</v>
      </c>
      <c r="AK218">
        <v>0</v>
      </c>
      <c r="AL218" t="s">
        <v>172</v>
      </c>
      <c r="AM218" t="s">
        <v>173</v>
      </c>
      <c r="AN218" t="s">
        <v>174</v>
      </c>
      <c r="AO218" t="s">
        <v>2943</v>
      </c>
      <c r="AP218" t="s">
        <v>2944</v>
      </c>
      <c r="AQ218" t="s">
        <v>74</v>
      </c>
      <c r="AR218" t="s">
        <v>2945</v>
      </c>
      <c r="AS218" t="s">
        <v>2946</v>
      </c>
      <c r="AT218" t="s">
        <v>4313</v>
      </c>
      <c r="AU218">
        <v>2023</v>
      </c>
      <c r="AV218" t="s">
        <v>74</v>
      </c>
      <c r="AW218" t="s">
        <v>74</v>
      </c>
      <c r="AX218" t="s">
        <v>74</v>
      </c>
      <c r="AY218" t="s">
        <v>74</v>
      </c>
      <c r="AZ218" t="s">
        <v>74</v>
      </c>
      <c r="BA218" t="s">
        <v>74</v>
      </c>
      <c r="BB218" t="s">
        <v>74</v>
      </c>
      <c r="BC218" t="s">
        <v>74</v>
      </c>
      <c r="BD218" t="s">
        <v>74</v>
      </c>
      <c r="BE218" t="s">
        <v>4375</v>
      </c>
      <c r="BF218" t="str">
        <f>HYPERLINK("http://dx.doi.org/10.1007/s10389-023-02085","http://dx.doi.org/10.1007/s10389-023-02085")</f>
        <v>http://dx.doi.org/10.1007/s10389-023-02085</v>
      </c>
      <c r="BG218" t="s">
        <v>74</v>
      </c>
      <c r="BH218" t="s">
        <v>2079</v>
      </c>
      <c r="BI218">
        <v>13</v>
      </c>
      <c r="BJ218" t="s">
        <v>2744</v>
      </c>
      <c r="BK218" t="s">
        <v>97</v>
      </c>
      <c r="BL218" t="s">
        <v>2744</v>
      </c>
      <c r="BM218" t="s">
        <v>4376</v>
      </c>
      <c r="BN218" t="s">
        <v>74</v>
      </c>
      <c r="BO218" t="s">
        <v>74</v>
      </c>
      <c r="BP218" t="s">
        <v>74</v>
      </c>
      <c r="BQ218" t="s">
        <v>74</v>
      </c>
      <c r="BR218" t="s">
        <v>99</v>
      </c>
      <c r="BS218" t="s">
        <v>4377</v>
      </c>
      <c r="BT218" t="str">
        <f>HYPERLINK("https%3A%2F%2Fwww.webofscience.com%2Fwos%2Fwoscc%2Ffull-record%2FWOS:001065520000001","View Full Record in Web of Science")</f>
        <v>View Full Record in Web of Science</v>
      </c>
    </row>
    <row r="219" spans="1:72" x14ac:dyDescent="0.15">
      <c r="A219" t="s">
        <v>72</v>
      </c>
      <c r="B219" t="s">
        <v>4378</v>
      </c>
      <c r="C219" t="s">
        <v>74</v>
      </c>
      <c r="D219" t="s">
        <v>74</v>
      </c>
      <c r="E219" t="s">
        <v>74</v>
      </c>
      <c r="F219" t="s">
        <v>4379</v>
      </c>
      <c r="G219" t="s">
        <v>74</v>
      </c>
      <c r="H219" t="s">
        <v>74</v>
      </c>
      <c r="I219" t="s">
        <v>4380</v>
      </c>
      <c r="J219" t="s">
        <v>4381</v>
      </c>
      <c r="K219" t="s">
        <v>74</v>
      </c>
      <c r="L219" t="s">
        <v>74</v>
      </c>
      <c r="M219" t="s">
        <v>78</v>
      </c>
      <c r="N219" t="s">
        <v>79</v>
      </c>
      <c r="O219" t="s">
        <v>74</v>
      </c>
      <c r="P219" t="s">
        <v>74</v>
      </c>
      <c r="Q219" t="s">
        <v>74</v>
      </c>
      <c r="R219" t="s">
        <v>74</v>
      </c>
      <c r="S219" t="s">
        <v>74</v>
      </c>
      <c r="T219" t="s">
        <v>4382</v>
      </c>
      <c r="U219" t="s">
        <v>4383</v>
      </c>
      <c r="V219" t="s">
        <v>4384</v>
      </c>
      <c r="W219" t="s">
        <v>4385</v>
      </c>
      <c r="X219" t="s">
        <v>74</v>
      </c>
      <c r="Y219" t="s">
        <v>4386</v>
      </c>
      <c r="Z219" t="s">
        <v>4387</v>
      </c>
      <c r="AA219" t="s">
        <v>74</v>
      </c>
      <c r="AB219" t="s">
        <v>74</v>
      </c>
      <c r="AC219" t="s">
        <v>4388</v>
      </c>
      <c r="AD219" t="s">
        <v>4388</v>
      </c>
      <c r="AE219" t="s">
        <v>4389</v>
      </c>
      <c r="AF219" t="s">
        <v>74</v>
      </c>
      <c r="AG219">
        <v>56</v>
      </c>
      <c r="AH219">
        <v>0</v>
      </c>
      <c r="AI219">
        <v>0</v>
      </c>
      <c r="AJ219">
        <v>0</v>
      </c>
      <c r="AK219">
        <v>0</v>
      </c>
      <c r="AL219" t="s">
        <v>443</v>
      </c>
      <c r="AM219" t="s">
        <v>245</v>
      </c>
      <c r="AN219" t="s">
        <v>444</v>
      </c>
      <c r="AO219" t="s">
        <v>74</v>
      </c>
      <c r="AP219" t="s">
        <v>4390</v>
      </c>
      <c r="AQ219" t="s">
        <v>74</v>
      </c>
      <c r="AR219" t="s">
        <v>4391</v>
      </c>
      <c r="AS219" t="s">
        <v>4392</v>
      </c>
      <c r="AT219" t="s">
        <v>4393</v>
      </c>
      <c r="AU219">
        <v>2023</v>
      </c>
      <c r="AV219">
        <v>23</v>
      </c>
      <c r="AW219">
        <v>1</v>
      </c>
      <c r="AX219" t="s">
        <v>74</v>
      </c>
      <c r="AY219" t="s">
        <v>74</v>
      </c>
      <c r="AZ219" t="s">
        <v>74</v>
      </c>
      <c r="BA219" t="s">
        <v>74</v>
      </c>
      <c r="BB219" t="s">
        <v>74</v>
      </c>
      <c r="BC219" t="s">
        <v>74</v>
      </c>
      <c r="BD219">
        <v>464</v>
      </c>
      <c r="BE219" t="s">
        <v>4394</v>
      </c>
      <c r="BF219" t="str">
        <f>HYPERLINK("http://dx.doi.org/10.1186/s12887-023-04299-1","http://dx.doi.org/10.1186/s12887-023-04299-1")</f>
        <v>http://dx.doi.org/10.1186/s12887-023-04299-1</v>
      </c>
      <c r="BG219" t="s">
        <v>74</v>
      </c>
      <c r="BH219" t="s">
        <v>74</v>
      </c>
      <c r="BI219">
        <v>10</v>
      </c>
      <c r="BJ219" t="s">
        <v>3066</v>
      </c>
      <c r="BK219" t="s">
        <v>126</v>
      </c>
      <c r="BL219" t="s">
        <v>3066</v>
      </c>
      <c r="BM219" t="s">
        <v>4395</v>
      </c>
      <c r="BN219">
        <v>37710201</v>
      </c>
      <c r="BO219" t="s">
        <v>981</v>
      </c>
      <c r="BP219" t="s">
        <v>74</v>
      </c>
      <c r="BQ219" t="s">
        <v>74</v>
      </c>
      <c r="BR219" t="s">
        <v>99</v>
      </c>
      <c r="BS219" t="s">
        <v>4396</v>
      </c>
      <c r="BT219" t="str">
        <f>HYPERLINK("https%3A%2F%2Fwww.webofscience.com%2Fwos%2Fwoscc%2Ffull-record%2FWOS:001065536200001","View Full Record in Web of Science")</f>
        <v>View Full Record in Web of Science</v>
      </c>
    </row>
    <row r="220" spans="1:72" x14ac:dyDescent="0.15">
      <c r="A220" t="s">
        <v>72</v>
      </c>
      <c r="B220" t="s">
        <v>4397</v>
      </c>
      <c r="C220" t="s">
        <v>74</v>
      </c>
      <c r="D220" t="s">
        <v>74</v>
      </c>
      <c r="E220" t="s">
        <v>74</v>
      </c>
      <c r="F220" t="s">
        <v>4398</v>
      </c>
      <c r="G220" t="s">
        <v>74</v>
      </c>
      <c r="H220" t="s">
        <v>74</v>
      </c>
      <c r="I220" t="s">
        <v>4399</v>
      </c>
      <c r="J220" t="s">
        <v>4400</v>
      </c>
      <c r="K220" t="s">
        <v>74</v>
      </c>
      <c r="L220" t="s">
        <v>74</v>
      </c>
      <c r="M220" t="s">
        <v>78</v>
      </c>
      <c r="N220" t="s">
        <v>1246</v>
      </c>
      <c r="O220" t="s">
        <v>74</v>
      </c>
      <c r="P220" t="s">
        <v>74</v>
      </c>
      <c r="Q220" t="s">
        <v>74</v>
      </c>
      <c r="R220" t="s">
        <v>74</v>
      </c>
      <c r="S220" t="s">
        <v>74</v>
      </c>
      <c r="T220" t="s">
        <v>4401</v>
      </c>
      <c r="U220" t="s">
        <v>74</v>
      </c>
      <c r="V220" t="s">
        <v>4402</v>
      </c>
      <c r="W220" t="s">
        <v>4403</v>
      </c>
      <c r="X220" t="s">
        <v>4404</v>
      </c>
      <c r="Y220" t="s">
        <v>4405</v>
      </c>
      <c r="Z220" t="s">
        <v>4406</v>
      </c>
      <c r="AA220" t="s">
        <v>74</v>
      </c>
      <c r="AB220" t="s">
        <v>74</v>
      </c>
      <c r="AC220" t="s">
        <v>74</v>
      </c>
      <c r="AD220" t="s">
        <v>74</v>
      </c>
      <c r="AE220" t="s">
        <v>74</v>
      </c>
      <c r="AF220" t="s">
        <v>74</v>
      </c>
      <c r="AG220">
        <v>4</v>
      </c>
      <c r="AH220">
        <v>0</v>
      </c>
      <c r="AI220">
        <v>0</v>
      </c>
      <c r="AJ220">
        <v>0</v>
      </c>
      <c r="AK220">
        <v>0</v>
      </c>
      <c r="AL220" t="s">
        <v>117</v>
      </c>
      <c r="AM220" t="s">
        <v>118</v>
      </c>
      <c r="AN220" t="s">
        <v>119</v>
      </c>
      <c r="AO220" t="s">
        <v>4407</v>
      </c>
      <c r="AP220" t="s">
        <v>4408</v>
      </c>
      <c r="AQ220" t="s">
        <v>74</v>
      </c>
      <c r="AR220" t="s">
        <v>4409</v>
      </c>
      <c r="AS220" t="s">
        <v>4410</v>
      </c>
      <c r="AT220" t="s">
        <v>4313</v>
      </c>
      <c r="AU220">
        <v>2023</v>
      </c>
      <c r="AV220" t="s">
        <v>74</v>
      </c>
      <c r="AW220" t="s">
        <v>74</v>
      </c>
      <c r="AX220" t="s">
        <v>74</v>
      </c>
      <c r="AY220" t="s">
        <v>74</v>
      </c>
      <c r="AZ220" t="s">
        <v>74</v>
      </c>
      <c r="BA220" t="s">
        <v>74</v>
      </c>
      <c r="BB220" t="s">
        <v>74</v>
      </c>
      <c r="BC220" t="s">
        <v>74</v>
      </c>
      <c r="BD220" t="s">
        <v>74</v>
      </c>
      <c r="BE220" t="s">
        <v>4411</v>
      </c>
      <c r="BF220" t="str">
        <f>HYPERLINK("http://dx.doi.org/10.1007/s10998-023-00551-4","http://dx.doi.org/10.1007/s10998-023-00551-4")</f>
        <v>http://dx.doi.org/10.1007/s10998-023-00551-4</v>
      </c>
      <c r="BG220" t="s">
        <v>74</v>
      </c>
      <c r="BH220" t="s">
        <v>2079</v>
      </c>
      <c r="BI220">
        <v>7</v>
      </c>
      <c r="BJ220" t="s">
        <v>227</v>
      </c>
      <c r="BK220" t="s">
        <v>126</v>
      </c>
      <c r="BL220" t="s">
        <v>228</v>
      </c>
      <c r="BM220" t="s">
        <v>4412</v>
      </c>
      <c r="BN220" t="s">
        <v>74</v>
      </c>
      <c r="BO220" t="s">
        <v>74</v>
      </c>
      <c r="BP220" t="s">
        <v>74</v>
      </c>
      <c r="BQ220" t="s">
        <v>74</v>
      </c>
      <c r="BR220" t="s">
        <v>99</v>
      </c>
      <c r="BS220" t="s">
        <v>4413</v>
      </c>
      <c r="BT220" t="str">
        <f>HYPERLINK("https%3A%2F%2Fwww.webofscience.com%2Fwos%2Fwoscc%2Ffull-record%2FWOS:001068041000001","View Full Record in Web of Science")</f>
        <v>View Full Record in Web of Science</v>
      </c>
    </row>
    <row r="221" spans="1:72" x14ac:dyDescent="0.15">
      <c r="A221" t="s">
        <v>72</v>
      </c>
      <c r="B221" t="s">
        <v>4414</v>
      </c>
      <c r="C221" t="s">
        <v>74</v>
      </c>
      <c r="D221" t="s">
        <v>74</v>
      </c>
      <c r="E221" t="s">
        <v>74</v>
      </c>
      <c r="F221" t="s">
        <v>4415</v>
      </c>
      <c r="G221" t="s">
        <v>74</v>
      </c>
      <c r="H221" t="s">
        <v>74</v>
      </c>
      <c r="I221" t="s">
        <v>4416</v>
      </c>
      <c r="J221" t="s">
        <v>4417</v>
      </c>
      <c r="K221" t="s">
        <v>74</v>
      </c>
      <c r="L221" t="s">
        <v>74</v>
      </c>
      <c r="M221" t="s">
        <v>78</v>
      </c>
      <c r="N221" t="s">
        <v>1246</v>
      </c>
      <c r="O221" t="s">
        <v>74</v>
      </c>
      <c r="P221" t="s">
        <v>74</v>
      </c>
      <c r="Q221" t="s">
        <v>74</v>
      </c>
      <c r="R221" t="s">
        <v>74</v>
      </c>
      <c r="S221" t="s">
        <v>74</v>
      </c>
      <c r="T221" t="s">
        <v>4418</v>
      </c>
      <c r="U221" t="s">
        <v>4419</v>
      </c>
      <c r="V221" t="s">
        <v>4420</v>
      </c>
      <c r="W221" t="s">
        <v>4421</v>
      </c>
      <c r="X221" t="s">
        <v>4422</v>
      </c>
      <c r="Y221" t="s">
        <v>4423</v>
      </c>
      <c r="Z221" t="s">
        <v>4424</v>
      </c>
      <c r="AA221" t="s">
        <v>74</v>
      </c>
      <c r="AB221" t="s">
        <v>74</v>
      </c>
      <c r="AC221" t="s">
        <v>4425</v>
      </c>
      <c r="AD221" t="s">
        <v>4426</v>
      </c>
      <c r="AE221" t="s">
        <v>4427</v>
      </c>
      <c r="AF221" t="s">
        <v>74</v>
      </c>
      <c r="AG221">
        <v>187</v>
      </c>
      <c r="AH221">
        <v>0</v>
      </c>
      <c r="AI221">
        <v>0</v>
      </c>
      <c r="AJ221">
        <v>0</v>
      </c>
      <c r="AK221">
        <v>0</v>
      </c>
      <c r="AL221" t="s">
        <v>117</v>
      </c>
      <c r="AM221" t="s">
        <v>118</v>
      </c>
      <c r="AN221" t="s">
        <v>119</v>
      </c>
      <c r="AO221" t="s">
        <v>4428</v>
      </c>
      <c r="AP221" t="s">
        <v>4429</v>
      </c>
      <c r="AQ221" t="s">
        <v>74</v>
      </c>
      <c r="AR221" t="s">
        <v>4430</v>
      </c>
      <c r="AS221" t="s">
        <v>4431</v>
      </c>
      <c r="AT221" t="s">
        <v>4313</v>
      </c>
      <c r="AU221">
        <v>2023</v>
      </c>
      <c r="AV221" t="s">
        <v>74</v>
      </c>
      <c r="AW221" t="s">
        <v>74</v>
      </c>
      <c r="AX221" t="s">
        <v>74</v>
      </c>
      <c r="AY221" t="s">
        <v>74</v>
      </c>
      <c r="AZ221" t="s">
        <v>74</v>
      </c>
      <c r="BA221" t="s">
        <v>74</v>
      </c>
      <c r="BB221" t="s">
        <v>74</v>
      </c>
      <c r="BC221" t="s">
        <v>74</v>
      </c>
      <c r="BD221" t="s">
        <v>74</v>
      </c>
      <c r="BE221" t="s">
        <v>4432</v>
      </c>
      <c r="BF221" t="str">
        <f>HYPERLINK("http://dx.doi.org/10.1007/s11684-023-1018-6","http://dx.doi.org/10.1007/s11684-023-1018-6")</f>
        <v>http://dx.doi.org/10.1007/s11684-023-1018-6</v>
      </c>
      <c r="BG221" t="s">
        <v>74</v>
      </c>
      <c r="BH221" t="s">
        <v>2079</v>
      </c>
      <c r="BI221">
        <v>26</v>
      </c>
      <c r="BJ221" t="s">
        <v>3332</v>
      </c>
      <c r="BK221" t="s">
        <v>126</v>
      </c>
      <c r="BL221" t="s">
        <v>3333</v>
      </c>
      <c r="BM221" t="s">
        <v>4433</v>
      </c>
      <c r="BN221">
        <v>37707677</v>
      </c>
      <c r="BO221" t="s">
        <v>74</v>
      </c>
      <c r="BP221" t="s">
        <v>74</v>
      </c>
      <c r="BQ221" t="s">
        <v>74</v>
      </c>
      <c r="BR221" t="s">
        <v>99</v>
      </c>
      <c r="BS221" t="s">
        <v>4434</v>
      </c>
      <c r="BT221" t="str">
        <f>HYPERLINK("https%3A%2F%2Fwww.webofscience.com%2Fwos%2Fwoscc%2Ffull-record%2FWOS:001065543800001","View Full Record in Web of Science")</f>
        <v>View Full Record in Web of Science</v>
      </c>
    </row>
    <row r="222" spans="1:72" x14ac:dyDescent="0.15">
      <c r="A222" t="s">
        <v>72</v>
      </c>
      <c r="B222" t="s">
        <v>4435</v>
      </c>
      <c r="C222" t="s">
        <v>74</v>
      </c>
      <c r="D222" t="s">
        <v>74</v>
      </c>
      <c r="E222" t="s">
        <v>74</v>
      </c>
      <c r="F222" t="s">
        <v>4436</v>
      </c>
      <c r="G222" t="s">
        <v>74</v>
      </c>
      <c r="H222" t="s">
        <v>74</v>
      </c>
      <c r="I222" t="s">
        <v>4437</v>
      </c>
      <c r="J222" t="s">
        <v>4438</v>
      </c>
      <c r="K222" t="s">
        <v>74</v>
      </c>
      <c r="L222" t="s">
        <v>74</v>
      </c>
      <c r="M222" t="s">
        <v>78</v>
      </c>
      <c r="N222" t="s">
        <v>1246</v>
      </c>
      <c r="O222" t="s">
        <v>74</v>
      </c>
      <c r="P222" t="s">
        <v>74</v>
      </c>
      <c r="Q222" t="s">
        <v>74</v>
      </c>
      <c r="R222" t="s">
        <v>74</v>
      </c>
      <c r="S222" t="s">
        <v>74</v>
      </c>
      <c r="T222" t="s">
        <v>4439</v>
      </c>
      <c r="U222" t="s">
        <v>4440</v>
      </c>
      <c r="V222" t="s">
        <v>4441</v>
      </c>
      <c r="W222" t="s">
        <v>4442</v>
      </c>
      <c r="X222" t="s">
        <v>4443</v>
      </c>
      <c r="Y222" t="s">
        <v>4444</v>
      </c>
      <c r="Z222" t="s">
        <v>4445</v>
      </c>
      <c r="AA222" t="s">
        <v>74</v>
      </c>
      <c r="AB222" t="s">
        <v>74</v>
      </c>
      <c r="AC222" t="s">
        <v>4446</v>
      </c>
      <c r="AD222" t="s">
        <v>4446</v>
      </c>
      <c r="AE222" t="s">
        <v>4447</v>
      </c>
      <c r="AF222" t="s">
        <v>74</v>
      </c>
      <c r="AG222">
        <v>47</v>
      </c>
      <c r="AH222">
        <v>0</v>
      </c>
      <c r="AI222">
        <v>0</v>
      </c>
      <c r="AJ222">
        <v>1</v>
      </c>
      <c r="AK222">
        <v>1</v>
      </c>
      <c r="AL222" t="s">
        <v>117</v>
      </c>
      <c r="AM222" t="s">
        <v>118</v>
      </c>
      <c r="AN222" t="s">
        <v>119</v>
      </c>
      <c r="AO222" t="s">
        <v>4448</v>
      </c>
      <c r="AP222" t="s">
        <v>4449</v>
      </c>
      <c r="AQ222" t="s">
        <v>74</v>
      </c>
      <c r="AR222" t="s">
        <v>4450</v>
      </c>
      <c r="AS222" t="s">
        <v>4451</v>
      </c>
      <c r="AT222" t="s">
        <v>4313</v>
      </c>
      <c r="AU222">
        <v>2023</v>
      </c>
      <c r="AV222" t="s">
        <v>74</v>
      </c>
      <c r="AW222" t="s">
        <v>74</v>
      </c>
      <c r="AX222" t="s">
        <v>74</v>
      </c>
      <c r="AY222" t="s">
        <v>74</v>
      </c>
      <c r="AZ222" t="s">
        <v>74</v>
      </c>
      <c r="BA222" t="s">
        <v>74</v>
      </c>
      <c r="BB222" t="s">
        <v>74</v>
      </c>
      <c r="BC222" t="s">
        <v>74</v>
      </c>
      <c r="BD222" t="s">
        <v>74</v>
      </c>
      <c r="BE222" t="s">
        <v>4452</v>
      </c>
      <c r="BF222" t="str">
        <f>HYPERLINK("http://dx.doi.org/10.1007/s11947-023-03207","http://dx.doi.org/10.1007/s11947-023-03207")</f>
        <v>http://dx.doi.org/10.1007/s11947-023-03207</v>
      </c>
      <c r="BG222" t="s">
        <v>74</v>
      </c>
      <c r="BH222" t="s">
        <v>2079</v>
      </c>
      <c r="BI222">
        <v>11</v>
      </c>
      <c r="BJ222" t="s">
        <v>4453</v>
      </c>
      <c r="BK222" t="s">
        <v>126</v>
      </c>
      <c r="BL222" t="s">
        <v>4453</v>
      </c>
      <c r="BM222" t="s">
        <v>4454</v>
      </c>
      <c r="BN222" t="s">
        <v>74</v>
      </c>
      <c r="BO222" t="s">
        <v>74</v>
      </c>
      <c r="BP222" t="s">
        <v>74</v>
      </c>
      <c r="BQ222" t="s">
        <v>74</v>
      </c>
      <c r="BR222" t="s">
        <v>99</v>
      </c>
      <c r="BS222" t="s">
        <v>4455</v>
      </c>
      <c r="BT222" t="str">
        <f>HYPERLINK("https%3A%2F%2Fwww.webofscience.com%2Fwos%2Fwoscc%2Ffull-record%2FWOS:001065976800001","View Full Record in Web of Science")</f>
        <v>View Full Record in Web of Science</v>
      </c>
    </row>
    <row r="223" spans="1:72" x14ac:dyDescent="0.15">
      <c r="A223" t="s">
        <v>72</v>
      </c>
      <c r="B223" t="s">
        <v>4456</v>
      </c>
      <c r="C223" t="s">
        <v>74</v>
      </c>
      <c r="D223" t="s">
        <v>74</v>
      </c>
      <c r="E223" t="s">
        <v>74</v>
      </c>
      <c r="F223" t="s">
        <v>4457</v>
      </c>
      <c r="G223" t="s">
        <v>74</v>
      </c>
      <c r="H223" t="s">
        <v>74</v>
      </c>
      <c r="I223" t="s">
        <v>4458</v>
      </c>
      <c r="J223" t="s">
        <v>4459</v>
      </c>
      <c r="K223" t="s">
        <v>74</v>
      </c>
      <c r="L223" t="s">
        <v>74</v>
      </c>
      <c r="M223" t="s">
        <v>78</v>
      </c>
      <c r="N223" t="s">
        <v>79</v>
      </c>
      <c r="O223" t="s">
        <v>74</v>
      </c>
      <c r="P223" t="s">
        <v>74</v>
      </c>
      <c r="Q223" t="s">
        <v>74</v>
      </c>
      <c r="R223" t="s">
        <v>74</v>
      </c>
      <c r="S223" t="s">
        <v>74</v>
      </c>
      <c r="T223" t="s">
        <v>4460</v>
      </c>
      <c r="U223" t="s">
        <v>4461</v>
      </c>
      <c r="V223" t="s">
        <v>4462</v>
      </c>
      <c r="W223" t="s">
        <v>4463</v>
      </c>
      <c r="X223" t="s">
        <v>74</v>
      </c>
      <c r="Y223" t="s">
        <v>4464</v>
      </c>
      <c r="Z223" t="s">
        <v>4465</v>
      </c>
      <c r="AA223" t="s">
        <v>74</v>
      </c>
      <c r="AB223" t="s">
        <v>74</v>
      </c>
      <c r="AC223" t="s">
        <v>74</v>
      </c>
      <c r="AD223" t="s">
        <v>74</v>
      </c>
      <c r="AE223" t="s">
        <v>74</v>
      </c>
      <c r="AF223" t="s">
        <v>74</v>
      </c>
      <c r="AG223">
        <v>70</v>
      </c>
      <c r="AH223">
        <v>0</v>
      </c>
      <c r="AI223">
        <v>0</v>
      </c>
      <c r="AJ223">
        <v>0</v>
      </c>
      <c r="AK223">
        <v>0</v>
      </c>
      <c r="AL223" t="s">
        <v>117</v>
      </c>
      <c r="AM223" t="s">
        <v>118</v>
      </c>
      <c r="AN223" t="s">
        <v>119</v>
      </c>
      <c r="AO223" t="s">
        <v>4466</v>
      </c>
      <c r="AP223" t="s">
        <v>4467</v>
      </c>
      <c r="AQ223" t="s">
        <v>74</v>
      </c>
      <c r="AR223" t="s">
        <v>4468</v>
      </c>
      <c r="AS223" t="s">
        <v>4469</v>
      </c>
      <c r="AT223" t="s">
        <v>4393</v>
      </c>
      <c r="AU223">
        <v>2023</v>
      </c>
      <c r="AV223">
        <v>9</v>
      </c>
      <c r="AW223">
        <v>1</v>
      </c>
      <c r="AX223" t="s">
        <v>74</v>
      </c>
      <c r="AY223" t="s">
        <v>74</v>
      </c>
      <c r="AZ223" t="s">
        <v>74</v>
      </c>
      <c r="BA223" t="s">
        <v>74</v>
      </c>
      <c r="BB223" t="s">
        <v>74</v>
      </c>
      <c r="BC223" t="s">
        <v>74</v>
      </c>
      <c r="BD223">
        <v>79</v>
      </c>
      <c r="BE223" t="s">
        <v>4470</v>
      </c>
      <c r="BF223" t="str">
        <f>HYPERLINK("http://dx.doi.org/10.1186/s43094-023-00532-x","http://dx.doi.org/10.1186/s43094-023-00532-x")</f>
        <v>http://dx.doi.org/10.1186/s43094-023-00532-x</v>
      </c>
      <c r="BG223" t="s">
        <v>74</v>
      </c>
      <c r="BH223" t="s">
        <v>74</v>
      </c>
      <c r="BI223">
        <v>27</v>
      </c>
      <c r="BJ223" t="s">
        <v>1038</v>
      </c>
      <c r="BK223" t="s">
        <v>97</v>
      </c>
      <c r="BL223" t="s">
        <v>1038</v>
      </c>
      <c r="BM223" t="s">
        <v>4471</v>
      </c>
      <c r="BN223" t="s">
        <v>74</v>
      </c>
      <c r="BO223" t="s">
        <v>302</v>
      </c>
      <c r="BP223" t="s">
        <v>74</v>
      </c>
      <c r="BQ223" t="s">
        <v>74</v>
      </c>
      <c r="BR223" t="s">
        <v>99</v>
      </c>
      <c r="BS223" t="s">
        <v>4472</v>
      </c>
      <c r="BT223" t="str">
        <f>HYPERLINK("https%3A%2F%2Fwww.webofscience.com%2Fwos%2Fwoscc%2Ffull-record%2FWOS:001070291500001","View Full Record in Web of Science")</f>
        <v>View Full Record in Web of Science</v>
      </c>
    </row>
    <row r="224" spans="1:72" x14ac:dyDescent="0.15">
      <c r="A224" t="s">
        <v>72</v>
      </c>
      <c r="B224" t="s">
        <v>4473</v>
      </c>
      <c r="C224" t="s">
        <v>74</v>
      </c>
      <c r="D224" t="s">
        <v>74</v>
      </c>
      <c r="E224" t="s">
        <v>74</v>
      </c>
      <c r="F224" t="s">
        <v>4474</v>
      </c>
      <c r="G224" t="s">
        <v>74</v>
      </c>
      <c r="H224" t="s">
        <v>74</v>
      </c>
      <c r="I224" t="s">
        <v>4475</v>
      </c>
      <c r="J224" t="s">
        <v>4476</v>
      </c>
      <c r="K224" t="s">
        <v>74</v>
      </c>
      <c r="L224" t="s">
        <v>74</v>
      </c>
      <c r="M224" t="s">
        <v>78</v>
      </c>
      <c r="N224" t="s">
        <v>79</v>
      </c>
      <c r="O224" t="s">
        <v>74</v>
      </c>
      <c r="P224" t="s">
        <v>74</v>
      </c>
      <c r="Q224" t="s">
        <v>74</v>
      </c>
      <c r="R224" t="s">
        <v>74</v>
      </c>
      <c r="S224" t="s">
        <v>74</v>
      </c>
      <c r="T224" t="s">
        <v>4477</v>
      </c>
      <c r="U224" t="s">
        <v>4478</v>
      </c>
      <c r="V224" t="s">
        <v>4479</v>
      </c>
      <c r="W224" t="s">
        <v>4480</v>
      </c>
      <c r="X224" t="s">
        <v>4481</v>
      </c>
      <c r="Y224" t="s">
        <v>4482</v>
      </c>
      <c r="Z224" t="s">
        <v>4483</v>
      </c>
      <c r="AA224" t="s">
        <v>74</v>
      </c>
      <c r="AB224" t="s">
        <v>74</v>
      </c>
      <c r="AC224" t="s">
        <v>74</v>
      </c>
      <c r="AD224" t="s">
        <v>74</v>
      </c>
      <c r="AE224" t="s">
        <v>74</v>
      </c>
      <c r="AF224" t="s">
        <v>74</v>
      </c>
      <c r="AG224">
        <v>29</v>
      </c>
      <c r="AH224">
        <v>0</v>
      </c>
      <c r="AI224">
        <v>0</v>
      </c>
      <c r="AJ224">
        <v>0</v>
      </c>
      <c r="AK224">
        <v>0</v>
      </c>
      <c r="AL224" t="s">
        <v>443</v>
      </c>
      <c r="AM224" t="s">
        <v>245</v>
      </c>
      <c r="AN224" t="s">
        <v>444</v>
      </c>
      <c r="AO224" t="s">
        <v>74</v>
      </c>
      <c r="AP224" t="s">
        <v>4484</v>
      </c>
      <c r="AQ224" t="s">
        <v>74</v>
      </c>
      <c r="AR224" t="s">
        <v>4485</v>
      </c>
      <c r="AS224" t="s">
        <v>4486</v>
      </c>
      <c r="AT224" t="s">
        <v>4393</v>
      </c>
      <c r="AU224">
        <v>2023</v>
      </c>
      <c r="AV224">
        <v>17</v>
      </c>
      <c r="AW224">
        <v>1</v>
      </c>
      <c r="AX224" t="s">
        <v>74</v>
      </c>
      <c r="AY224" t="s">
        <v>74</v>
      </c>
      <c r="AZ224" t="s">
        <v>74</v>
      </c>
      <c r="BA224" t="s">
        <v>74</v>
      </c>
      <c r="BB224" t="s">
        <v>74</v>
      </c>
      <c r="BC224" t="s">
        <v>74</v>
      </c>
      <c r="BD224">
        <v>114</v>
      </c>
      <c r="BE224" t="s">
        <v>4487</v>
      </c>
      <c r="BF224" t="str">
        <f>HYPERLINK("http://dx.doi.org/10.1186/s13065-023-01029-7","http://dx.doi.org/10.1186/s13065-023-01029-7")</f>
        <v>http://dx.doi.org/10.1186/s13065-023-01029-7</v>
      </c>
      <c r="BG224" t="s">
        <v>74</v>
      </c>
      <c r="BH224" t="s">
        <v>74</v>
      </c>
      <c r="BI224">
        <v>17</v>
      </c>
      <c r="BJ224" t="s">
        <v>2825</v>
      </c>
      <c r="BK224" t="s">
        <v>126</v>
      </c>
      <c r="BL224" t="s">
        <v>2826</v>
      </c>
      <c r="BM224" t="s">
        <v>4488</v>
      </c>
      <c r="BN224">
        <v>37710338</v>
      </c>
      <c r="BO224" t="s">
        <v>981</v>
      </c>
      <c r="BP224" t="s">
        <v>74</v>
      </c>
      <c r="BQ224" t="s">
        <v>74</v>
      </c>
      <c r="BR224" t="s">
        <v>99</v>
      </c>
      <c r="BS224" t="s">
        <v>4489</v>
      </c>
      <c r="BT224" t="str">
        <f>HYPERLINK("https%3A%2F%2Fwww.webofscience.com%2Fwos%2Fwoscc%2Ffull-record%2FWOS:001067522800001","View Full Record in Web of Science")</f>
        <v>View Full Record in Web of Science</v>
      </c>
    </row>
    <row r="225" spans="1:72" x14ac:dyDescent="0.15">
      <c r="A225" t="s">
        <v>72</v>
      </c>
      <c r="B225" t="s">
        <v>4490</v>
      </c>
      <c r="C225" t="s">
        <v>74</v>
      </c>
      <c r="D225" t="s">
        <v>74</v>
      </c>
      <c r="E225" t="s">
        <v>74</v>
      </c>
      <c r="F225" t="s">
        <v>4491</v>
      </c>
      <c r="G225" t="s">
        <v>74</v>
      </c>
      <c r="H225" t="s">
        <v>74</v>
      </c>
      <c r="I225" t="s">
        <v>4492</v>
      </c>
      <c r="J225" t="s">
        <v>4493</v>
      </c>
      <c r="K225" t="s">
        <v>74</v>
      </c>
      <c r="L225" t="s">
        <v>74</v>
      </c>
      <c r="M225" t="s">
        <v>78</v>
      </c>
      <c r="N225" t="s">
        <v>2174</v>
      </c>
      <c r="O225" t="s">
        <v>74</v>
      </c>
      <c r="P225" t="s">
        <v>74</v>
      </c>
      <c r="Q225" t="s">
        <v>74</v>
      </c>
      <c r="R225" t="s">
        <v>74</v>
      </c>
      <c r="S225" t="s">
        <v>74</v>
      </c>
      <c r="T225" t="s">
        <v>74</v>
      </c>
      <c r="U225" t="s">
        <v>4494</v>
      </c>
      <c r="V225" t="s">
        <v>4495</v>
      </c>
      <c r="W225" t="s">
        <v>4496</v>
      </c>
      <c r="X225" t="s">
        <v>4497</v>
      </c>
      <c r="Y225" t="s">
        <v>4498</v>
      </c>
      <c r="Z225" t="s">
        <v>4499</v>
      </c>
      <c r="AA225" t="s">
        <v>74</v>
      </c>
      <c r="AB225" t="s">
        <v>74</v>
      </c>
      <c r="AC225" t="s">
        <v>4500</v>
      </c>
      <c r="AD225" t="s">
        <v>4501</v>
      </c>
      <c r="AE225" t="s">
        <v>4502</v>
      </c>
      <c r="AF225" t="s">
        <v>74</v>
      </c>
      <c r="AG225">
        <v>188</v>
      </c>
      <c r="AH225">
        <v>0</v>
      </c>
      <c r="AI225">
        <v>0</v>
      </c>
      <c r="AJ225">
        <v>0</v>
      </c>
      <c r="AK225">
        <v>0</v>
      </c>
      <c r="AL225" t="s">
        <v>317</v>
      </c>
      <c r="AM225" t="s">
        <v>245</v>
      </c>
      <c r="AN225" t="s">
        <v>318</v>
      </c>
      <c r="AO225" t="s">
        <v>4503</v>
      </c>
      <c r="AP225" t="s">
        <v>4504</v>
      </c>
      <c r="AQ225" t="s">
        <v>74</v>
      </c>
      <c r="AR225" t="s">
        <v>4505</v>
      </c>
      <c r="AS225" t="s">
        <v>4506</v>
      </c>
      <c r="AT225" t="s">
        <v>4313</v>
      </c>
      <c r="AU225">
        <v>2023</v>
      </c>
      <c r="AV225" t="s">
        <v>74</v>
      </c>
      <c r="AW225" t="s">
        <v>74</v>
      </c>
      <c r="AX225" t="s">
        <v>74</v>
      </c>
      <c r="AY225" t="s">
        <v>74</v>
      </c>
      <c r="AZ225" t="s">
        <v>74</v>
      </c>
      <c r="BA225" t="s">
        <v>74</v>
      </c>
      <c r="BB225" t="s">
        <v>74</v>
      </c>
      <c r="BC225" t="s">
        <v>74</v>
      </c>
      <c r="BD225" t="s">
        <v>74</v>
      </c>
      <c r="BE225" t="s">
        <v>4507</v>
      </c>
      <c r="BF225" t="str">
        <f>HYPERLINK("http://dx.doi.org/10.1038/s41386-023-01728-8","http://dx.doi.org/10.1038/s41386-023-01728-8")</f>
        <v>http://dx.doi.org/10.1038/s41386-023-01728-8</v>
      </c>
      <c r="BG225" t="s">
        <v>74</v>
      </c>
      <c r="BH225" t="s">
        <v>2079</v>
      </c>
      <c r="BI225">
        <v>13</v>
      </c>
      <c r="BJ225" t="s">
        <v>2353</v>
      </c>
      <c r="BK225" t="s">
        <v>126</v>
      </c>
      <c r="BL225" t="s">
        <v>2354</v>
      </c>
      <c r="BM225" t="s">
        <v>4508</v>
      </c>
      <c r="BN225">
        <v>37709943</v>
      </c>
      <c r="BO225" t="s">
        <v>74</v>
      </c>
      <c r="BP225" t="s">
        <v>74</v>
      </c>
      <c r="BQ225" t="s">
        <v>74</v>
      </c>
      <c r="BR225" t="s">
        <v>99</v>
      </c>
      <c r="BS225" t="s">
        <v>4509</v>
      </c>
      <c r="BT225" t="str">
        <f>HYPERLINK("https%3A%2F%2Fwww.webofscience.com%2Fwos%2Fwoscc%2Ffull-record%2FWOS:001070737200001","View Full Record in Web of Science")</f>
        <v>View Full Record in Web of Science</v>
      </c>
    </row>
    <row r="226" spans="1:72" x14ac:dyDescent="0.15">
      <c r="A226" t="s">
        <v>72</v>
      </c>
      <c r="B226" t="s">
        <v>4510</v>
      </c>
      <c r="C226" t="s">
        <v>74</v>
      </c>
      <c r="D226" t="s">
        <v>74</v>
      </c>
      <c r="E226" t="s">
        <v>74</v>
      </c>
      <c r="F226" t="s">
        <v>4511</v>
      </c>
      <c r="G226" t="s">
        <v>74</v>
      </c>
      <c r="H226" t="s">
        <v>74</v>
      </c>
      <c r="I226" t="s">
        <v>4512</v>
      </c>
      <c r="J226" t="s">
        <v>2499</v>
      </c>
      <c r="K226" t="s">
        <v>74</v>
      </c>
      <c r="L226" t="s">
        <v>74</v>
      </c>
      <c r="M226" t="s">
        <v>78</v>
      </c>
      <c r="N226" t="s">
        <v>2174</v>
      </c>
      <c r="O226" t="s">
        <v>74</v>
      </c>
      <c r="P226" t="s">
        <v>74</v>
      </c>
      <c r="Q226" t="s">
        <v>74</v>
      </c>
      <c r="R226" t="s">
        <v>74</v>
      </c>
      <c r="S226" t="s">
        <v>74</v>
      </c>
      <c r="T226" t="s">
        <v>4513</v>
      </c>
      <c r="U226" t="s">
        <v>4514</v>
      </c>
      <c r="V226" t="s">
        <v>4515</v>
      </c>
      <c r="W226" t="s">
        <v>4516</v>
      </c>
      <c r="X226" t="s">
        <v>74</v>
      </c>
      <c r="Y226" t="s">
        <v>4517</v>
      </c>
      <c r="Z226" t="s">
        <v>4518</v>
      </c>
      <c r="AA226" t="s">
        <v>4519</v>
      </c>
      <c r="AB226" t="s">
        <v>4520</v>
      </c>
      <c r="AC226" t="s">
        <v>4521</v>
      </c>
      <c r="AD226" t="s">
        <v>4521</v>
      </c>
      <c r="AE226" t="s">
        <v>4521</v>
      </c>
      <c r="AF226" t="s">
        <v>74</v>
      </c>
      <c r="AG226">
        <v>87</v>
      </c>
      <c r="AH226">
        <v>0</v>
      </c>
      <c r="AI226">
        <v>0</v>
      </c>
      <c r="AJ226">
        <v>0</v>
      </c>
      <c r="AK226">
        <v>0</v>
      </c>
      <c r="AL226" t="s">
        <v>172</v>
      </c>
      <c r="AM226" t="s">
        <v>173</v>
      </c>
      <c r="AN226" t="s">
        <v>174</v>
      </c>
      <c r="AO226" t="s">
        <v>2507</v>
      </c>
      <c r="AP226" t="s">
        <v>2508</v>
      </c>
      <c r="AQ226" t="s">
        <v>74</v>
      </c>
      <c r="AR226" t="s">
        <v>2509</v>
      </c>
      <c r="AS226" t="s">
        <v>2510</v>
      </c>
      <c r="AT226" t="s">
        <v>4313</v>
      </c>
      <c r="AU226">
        <v>2023</v>
      </c>
      <c r="AV226" t="s">
        <v>74</v>
      </c>
      <c r="AW226" t="s">
        <v>74</v>
      </c>
      <c r="AX226" t="s">
        <v>74</v>
      </c>
      <c r="AY226" t="s">
        <v>74</v>
      </c>
      <c r="AZ226" t="s">
        <v>74</v>
      </c>
      <c r="BA226" t="s">
        <v>74</v>
      </c>
      <c r="BB226" t="s">
        <v>74</v>
      </c>
      <c r="BC226" t="s">
        <v>74</v>
      </c>
      <c r="BD226" t="s">
        <v>74</v>
      </c>
      <c r="BE226" t="s">
        <v>4522</v>
      </c>
      <c r="BF226" t="str">
        <f>HYPERLINK("http://dx.doi.org/10.1007/s43465-023-00998-0","http://dx.doi.org/10.1007/s43465-023-00998-0")</f>
        <v>http://dx.doi.org/10.1007/s43465-023-00998-0</v>
      </c>
      <c r="BG226" t="s">
        <v>74</v>
      </c>
      <c r="BH226" t="s">
        <v>2079</v>
      </c>
      <c r="BI226">
        <v>11</v>
      </c>
      <c r="BJ226" t="s">
        <v>2512</v>
      </c>
      <c r="BK226" t="s">
        <v>126</v>
      </c>
      <c r="BL226" t="s">
        <v>2512</v>
      </c>
      <c r="BM226" t="s">
        <v>4523</v>
      </c>
      <c r="BN226" t="s">
        <v>74</v>
      </c>
      <c r="BO226" t="s">
        <v>74</v>
      </c>
      <c r="BP226" t="s">
        <v>74</v>
      </c>
      <c r="BQ226" t="s">
        <v>74</v>
      </c>
      <c r="BR226" t="s">
        <v>99</v>
      </c>
      <c r="BS226" t="s">
        <v>4524</v>
      </c>
      <c r="BT226" t="str">
        <f>HYPERLINK("https%3A%2F%2Fwww.webofscience.com%2Fwos%2Fwoscc%2Ffull-record%2FWOS:001067049900002","View Full Record in Web of Science")</f>
        <v>View Full Record in Web of Science</v>
      </c>
    </row>
    <row r="227" spans="1:72" x14ac:dyDescent="0.15">
      <c r="A227" t="s">
        <v>72</v>
      </c>
      <c r="B227" t="s">
        <v>4525</v>
      </c>
      <c r="C227" t="s">
        <v>74</v>
      </c>
      <c r="D227" t="s">
        <v>74</v>
      </c>
      <c r="E227" t="s">
        <v>74</v>
      </c>
      <c r="F227" t="s">
        <v>4526</v>
      </c>
      <c r="G227" t="s">
        <v>74</v>
      </c>
      <c r="H227" t="s">
        <v>74</v>
      </c>
      <c r="I227" t="s">
        <v>4527</v>
      </c>
      <c r="J227" t="s">
        <v>2320</v>
      </c>
      <c r="K227" t="s">
        <v>74</v>
      </c>
      <c r="L227" t="s">
        <v>74</v>
      </c>
      <c r="M227" t="s">
        <v>78</v>
      </c>
      <c r="N227" t="s">
        <v>1246</v>
      </c>
      <c r="O227" t="s">
        <v>74</v>
      </c>
      <c r="P227" t="s">
        <v>74</v>
      </c>
      <c r="Q227" t="s">
        <v>74</v>
      </c>
      <c r="R227" t="s">
        <v>74</v>
      </c>
      <c r="S227" t="s">
        <v>74</v>
      </c>
      <c r="T227" t="s">
        <v>4528</v>
      </c>
      <c r="U227" t="s">
        <v>4529</v>
      </c>
      <c r="V227" t="s">
        <v>4530</v>
      </c>
      <c r="W227" t="s">
        <v>4531</v>
      </c>
      <c r="X227" t="s">
        <v>4532</v>
      </c>
      <c r="Y227" t="s">
        <v>4533</v>
      </c>
      <c r="Z227" t="s">
        <v>4534</v>
      </c>
      <c r="AA227" t="s">
        <v>74</v>
      </c>
      <c r="AB227" t="s">
        <v>74</v>
      </c>
      <c r="AC227" t="s">
        <v>74</v>
      </c>
      <c r="AD227" t="s">
        <v>74</v>
      </c>
      <c r="AE227" t="s">
        <v>74</v>
      </c>
      <c r="AF227" t="s">
        <v>74</v>
      </c>
      <c r="AG227">
        <v>32</v>
      </c>
      <c r="AH227">
        <v>0</v>
      </c>
      <c r="AI227">
        <v>0</v>
      </c>
      <c r="AJ227">
        <v>0</v>
      </c>
      <c r="AK227">
        <v>0</v>
      </c>
      <c r="AL227" t="s">
        <v>117</v>
      </c>
      <c r="AM227" t="s">
        <v>118</v>
      </c>
      <c r="AN227" t="s">
        <v>119</v>
      </c>
      <c r="AO227" t="s">
        <v>2327</v>
      </c>
      <c r="AP227" t="s">
        <v>2328</v>
      </c>
      <c r="AQ227" t="s">
        <v>74</v>
      </c>
      <c r="AR227" t="s">
        <v>2329</v>
      </c>
      <c r="AS227" t="s">
        <v>2330</v>
      </c>
      <c r="AT227" t="s">
        <v>4535</v>
      </c>
      <c r="AU227">
        <v>2023</v>
      </c>
      <c r="AV227" t="s">
        <v>74</v>
      </c>
      <c r="AW227" t="s">
        <v>74</v>
      </c>
      <c r="AX227" t="s">
        <v>74</v>
      </c>
      <c r="AY227" t="s">
        <v>74</v>
      </c>
      <c r="AZ227" t="s">
        <v>74</v>
      </c>
      <c r="BA227" t="s">
        <v>74</v>
      </c>
      <c r="BB227" t="s">
        <v>74</v>
      </c>
      <c r="BC227" t="s">
        <v>74</v>
      </c>
      <c r="BD227" t="s">
        <v>74</v>
      </c>
      <c r="BE227" t="s">
        <v>4536</v>
      </c>
      <c r="BF227" t="str">
        <f>HYPERLINK("http://dx.doi.org/10.1007/s00202-023-02009-9","http://dx.doi.org/10.1007/s00202-023-02009-9")</f>
        <v>http://dx.doi.org/10.1007/s00202-023-02009-9</v>
      </c>
      <c r="BG227" t="s">
        <v>74</v>
      </c>
      <c r="BH227" t="s">
        <v>2079</v>
      </c>
      <c r="BI227">
        <v>14</v>
      </c>
      <c r="BJ227" t="s">
        <v>2333</v>
      </c>
      <c r="BK227" t="s">
        <v>126</v>
      </c>
      <c r="BL227" t="s">
        <v>277</v>
      </c>
      <c r="BM227" t="s">
        <v>4537</v>
      </c>
      <c r="BN227" t="s">
        <v>74</v>
      </c>
      <c r="BO227" t="s">
        <v>74</v>
      </c>
      <c r="BP227" t="s">
        <v>74</v>
      </c>
      <c r="BQ227" t="s">
        <v>74</v>
      </c>
      <c r="BR227" t="s">
        <v>99</v>
      </c>
      <c r="BS227" t="s">
        <v>4538</v>
      </c>
      <c r="BT227" t="str">
        <f>HYPERLINK("https%3A%2F%2Fwww.webofscience.com%2Fwos%2Fwoscc%2Ffull-record%2FWOS:001065354400001","View Full Record in Web of Science")</f>
        <v>View Full Record in Web of Science</v>
      </c>
    </row>
    <row r="228" spans="1:72" x14ac:dyDescent="0.15">
      <c r="A228" t="s">
        <v>72</v>
      </c>
      <c r="B228" t="s">
        <v>4539</v>
      </c>
      <c r="C228" t="s">
        <v>74</v>
      </c>
      <c r="D228" t="s">
        <v>74</v>
      </c>
      <c r="E228" t="s">
        <v>74</v>
      </c>
      <c r="F228" t="s">
        <v>4540</v>
      </c>
      <c r="G228" t="s">
        <v>74</v>
      </c>
      <c r="H228" t="s">
        <v>74</v>
      </c>
      <c r="I228" t="s">
        <v>4541</v>
      </c>
      <c r="J228" t="s">
        <v>4542</v>
      </c>
      <c r="K228" t="s">
        <v>74</v>
      </c>
      <c r="L228" t="s">
        <v>74</v>
      </c>
      <c r="M228" t="s">
        <v>78</v>
      </c>
      <c r="N228" t="s">
        <v>1246</v>
      </c>
      <c r="O228" t="s">
        <v>74</v>
      </c>
      <c r="P228" t="s">
        <v>74</v>
      </c>
      <c r="Q228" t="s">
        <v>74</v>
      </c>
      <c r="R228" t="s">
        <v>74</v>
      </c>
      <c r="S228" t="s">
        <v>74</v>
      </c>
      <c r="T228" t="s">
        <v>4543</v>
      </c>
      <c r="U228" t="s">
        <v>4544</v>
      </c>
      <c r="V228" t="s">
        <v>4545</v>
      </c>
      <c r="W228" t="s">
        <v>4546</v>
      </c>
      <c r="X228" t="s">
        <v>4547</v>
      </c>
      <c r="Y228" t="s">
        <v>4548</v>
      </c>
      <c r="Z228" t="s">
        <v>4549</v>
      </c>
      <c r="AA228" t="s">
        <v>74</v>
      </c>
      <c r="AB228" t="s">
        <v>74</v>
      </c>
      <c r="AC228" t="s">
        <v>4550</v>
      </c>
      <c r="AD228" t="s">
        <v>4551</v>
      </c>
      <c r="AE228" t="s">
        <v>4552</v>
      </c>
      <c r="AF228" t="s">
        <v>74</v>
      </c>
      <c r="AG228">
        <v>115</v>
      </c>
      <c r="AH228">
        <v>0</v>
      </c>
      <c r="AI228">
        <v>0</v>
      </c>
      <c r="AJ228">
        <v>0</v>
      </c>
      <c r="AK228">
        <v>0</v>
      </c>
      <c r="AL228" t="s">
        <v>117</v>
      </c>
      <c r="AM228" t="s">
        <v>627</v>
      </c>
      <c r="AN228" t="s">
        <v>628</v>
      </c>
      <c r="AO228" t="s">
        <v>4553</v>
      </c>
      <c r="AP228" t="s">
        <v>4554</v>
      </c>
      <c r="AQ228" t="s">
        <v>74</v>
      </c>
      <c r="AR228" t="s">
        <v>4542</v>
      </c>
      <c r="AS228" t="s">
        <v>4555</v>
      </c>
      <c r="AT228" t="s">
        <v>4535</v>
      </c>
      <c r="AU228">
        <v>2023</v>
      </c>
      <c r="AV228" t="s">
        <v>74</v>
      </c>
      <c r="AW228" t="s">
        <v>74</v>
      </c>
      <c r="AX228" t="s">
        <v>74</v>
      </c>
      <c r="AY228" t="s">
        <v>74</v>
      </c>
      <c r="AZ228" t="s">
        <v>74</v>
      </c>
      <c r="BA228" t="s">
        <v>74</v>
      </c>
      <c r="BB228" t="s">
        <v>74</v>
      </c>
      <c r="BC228" t="s">
        <v>74</v>
      </c>
      <c r="BD228" t="s">
        <v>74</v>
      </c>
      <c r="BE228" t="s">
        <v>4556</v>
      </c>
      <c r="BF228" t="str">
        <f>HYPERLINK("http://dx.doi.org/10.1007/s13199-023-00932","http://dx.doi.org/10.1007/s13199-023-00932")</f>
        <v>http://dx.doi.org/10.1007/s13199-023-00932</v>
      </c>
      <c r="BG228" t="s">
        <v>74</v>
      </c>
      <c r="BH228" t="s">
        <v>2079</v>
      </c>
      <c r="BI228">
        <v>17</v>
      </c>
      <c r="BJ228" t="s">
        <v>1967</v>
      </c>
      <c r="BK228" t="s">
        <v>126</v>
      </c>
      <c r="BL228" t="s">
        <v>1967</v>
      </c>
      <c r="BM228" t="s">
        <v>4557</v>
      </c>
      <c r="BN228" t="s">
        <v>74</v>
      </c>
      <c r="BO228" t="s">
        <v>74</v>
      </c>
      <c r="BP228" t="s">
        <v>74</v>
      </c>
      <c r="BQ228" t="s">
        <v>74</v>
      </c>
      <c r="BR228" t="s">
        <v>99</v>
      </c>
      <c r="BS228" t="s">
        <v>4558</v>
      </c>
      <c r="BT228" t="str">
        <f>HYPERLINK("https%3A%2F%2Fwww.webofscience.com%2Fwos%2Fwoscc%2Ffull-record%2FWOS:001065294700001","View Full Record in Web of Science")</f>
        <v>View Full Record in Web of Science</v>
      </c>
    </row>
    <row r="229" spans="1:72" x14ac:dyDescent="0.15">
      <c r="A229" t="s">
        <v>72</v>
      </c>
      <c r="B229" t="s">
        <v>4559</v>
      </c>
      <c r="C229" t="s">
        <v>74</v>
      </c>
      <c r="D229" t="s">
        <v>74</v>
      </c>
      <c r="E229" t="s">
        <v>74</v>
      </c>
      <c r="F229" t="s">
        <v>4560</v>
      </c>
      <c r="G229" t="s">
        <v>74</v>
      </c>
      <c r="H229" t="s">
        <v>74</v>
      </c>
      <c r="I229" t="s">
        <v>4561</v>
      </c>
      <c r="J229" t="s">
        <v>4562</v>
      </c>
      <c r="K229" t="s">
        <v>74</v>
      </c>
      <c r="L229" t="s">
        <v>74</v>
      </c>
      <c r="M229" t="s">
        <v>78</v>
      </c>
      <c r="N229" t="s">
        <v>79</v>
      </c>
      <c r="O229" t="s">
        <v>74</v>
      </c>
      <c r="P229" t="s">
        <v>74</v>
      </c>
      <c r="Q229" t="s">
        <v>74</v>
      </c>
      <c r="R229" t="s">
        <v>74</v>
      </c>
      <c r="S229" t="s">
        <v>74</v>
      </c>
      <c r="T229" t="s">
        <v>4563</v>
      </c>
      <c r="U229" t="s">
        <v>4564</v>
      </c>
      <c r="V229" t="s">
        <v>4565</v>
      </c>
      <c r="W229" t="s">
        <v>4566</v>
      </c>
      <c r="X229" t="s">
        <v>4567</v>
      </c>
      <c r="Y229" t="s">
        <v>4568</v>
      </c>
      <c r="Z229" t="s">
        <v>4569</v>
      </c>
      <c r="AA229" t="s">
        <v>74</v>
      </c>
      <c r="AB229" t="s">
        <v>74</v>
      </c>
      <c r="AC229" t="s">
        <v>4570</v>
      </c>
      <c r="AD229" t="s">
        <v>4571</v>
      </c>
      <c r="AE229" t="s">
        <v>4572</v>
      </c>
      <c r="AF229" t="s">
        <v>74</v>
      </c>
      <c r="AG229">
        <v>34</v>
      </c>
      <c r="AH229">
        <v>0</v>
      </c>
      <c r="AI229">
        <v>0</v>
      </c>
      <c r="AJ229">
        <v>1</v>
      </c>
      <c r="AK229">
        <v>1</v>
      </c>
      <c r="AL229" t="s">
        <v>443</v>
      </c>
      <c r="AM229" t="s">
        <v>245</v>
      </c>
      <c r="AN229" t="s">
        <v>444</v>
      </c>
      <c r="AO229" t="s">
        <v>74</v>
      </c>
      <c r="AP229" t="s">
        <v>4573</v>
      </c>
      <c r="AQ229" t="s">
        <v>74</v>
      </c>
      <c r="AR229" t="s">
        <v>4574</v>
      </c>
      <c r="AS229" t="s">
        <v>4575</v>
      </c>
      <c r="AT229" t="s">
        <v>4576</v>
      </c>
      <c r="AU229">
        <v>2023</v>
      </c>
      <c r="AV229">
        <v>18</v>
      </c>
      <c r="AW229">
        <v>1</v>
      </c>
      <c r="AX229" t="s">
        <v>74</v>
      </c>
      <c r="AY229" t="s">
        <v>74</v>
      </c>
      <c r="AZ229" t="s">
        <v>74</v>
      </c>
      <c r="BA229" t="s">
        <v>74</v>
      </c>
      <c r="BB229" t="s">
        <v>74</v>
      </c>
      <c r="BC229" t="s">
        <v>74</v>
      </c>
      <c r="BD229">
        <v>151</v>
      </c>
      <c r="BE229" t="s">
        <v>4577</v>
      </c>
      <c r="BF229" t="str">
        <f>HYPERLINK("http://dx.doi.org/10.1186/s13014-023-02345-x","http://dx.doi.org/10.1186/s13014-023-02345-x")</f>
        <v>http://dx.doi.org/10.1186/s13014-023-02345-x</v>
      </c>
      <c r="BG229" t="s">
        <v>74</v>
      </c>
      <c r="BH229" t="s">
        <v>74</v>
      </c>
      <c r="BI229">
        <v>12</v>
      </c>
      <c r="BJ229" t="s">
        <v>4578</v>
      </c>
      <c r="BK229" t="s">
        <v>126</v>
      </c>
      <c r="BL229" t="s">
        <v>4578</v>
      </c>
      <c r="BM229" t="s">
        <v>4579</v>
      </c>
      <c r="BN229">
        <v>37705085</v>
      </c>
      <c r="BO229" t="s">
        <v>302</v>
      </c>
      <c r="BP229" t="s">
        <v>74</v>
      </c>
      <c r="BQ229" t="s">
        <v>74</v>
      </c>
      <c r="BR229" t="s">
        <v>99</v>
      </c>
      <c r="BS229" t="s">
        <v>4580</v>
      </c>
      <c r="BT229" t="str">
        <f>HYPERLINK("https%3A%2F%2Fwww.webofscience.com%2Fwos%2Fwoscc%2Ffull-record%2FWOS:001065559600002","View Full Record in Web of Science")</f>
        <v>View Full Record in Web of Science</v>
      </c>
    </row>
    <row r="230" spans="1:72" x14ac:dyDescent="0.15">
      <c r="A230" t="s">
        <v>72</v>
      </c>
      <c r="B230" t="s">
        <v>4581</v>
      </c>
      <c r="C230" t="s">
        <v>74</v>
      </c>
      <c r="D230" t="s">
        <v>74</v>
      </c>
      <c r="E230" t="s">
        <v>74</v>
      </c>
      <c r="F230" t="s">
        <v>4582</v>
      </c>
      <c r="G230" t="s">
        <v>74</v>
      </c>
      <c r="H230" t="s">
        <v>74</v>
      </c>
      <c r="I230" t="s">
        <v>4583</v>
      </c>
      <c r="J230" t="s">
        <v>4584</v>
      </c>
      <c r="K230" t="s">
        <v>74</v>
      </c>
      <c r="L230" t="s">
        <v>74</v>
      </c>
      <c r="M230" t="s">
        <v>78</v>
      </c>
      <c r="N230" t="s">
        <v>1246</v>
      </c>
      <c r="O230" t="s">
        <v>74</v>
      </c>
      <c r="P230" t="s">
        <v>74</v>
      </c>
      <c r="Q230" t="s">
        <v>74</v>
      </c>
      <c r="R230" t="s">
        <v>74</v>
      </c>
      <c r="S230" t="s">
        <v>74</v>
      </c>
      <c r="T230" t="s">
        <v>4585</v>
      </c>
      <c r="U230" t="s">
        <v>4586</v>
      </c>
      <c r="V230" t="s">
        <v>4587</v>
      </c>
      <c r="W230" t="s">
        <v>4588</v>
      </c>
      <c r="X230" t="s">
        <v>4589</v>
      </c>
      <c r="Y230" t="s">
        <v>4590</v>
      </c>
      <c r="Z230" t="s">
        <v>4591</v>
      </c>
      <c r="AA230" t="s">
        <v>74</v>
      </c>
      <c r="AB230" t="s">
        <v>74</v>
      </c>
      <c r="AC230" t="s">
        <v>4592</v>
      </c>
      <c r="AD230" t="s">
        <v>4593</v>
      </c>
      <c r="AE230" t="s">
        <v>4594</v>
      </c>
      <c r="AF230" t="s">
        <v>74</v>
      </c>
      <c r="AG230">
        <v>29</v>
      </c>
      <c r="AH230">
        <v>0</v>
      </c>
      <c r="AI230">
        <v>0</v>
      </c>
      <c r="AJ230">
        <v>0</v>
      </c>
      <c r="AK230">
        <v>0</v>
      </c>
      <c r="AL230" t="s">
        <v>172</v>
      </c>
      <c r="AM230" t="s">
        <v>173</v>
      </c>
      <c r="AN230" t="s">
        <v>174</v>
      </c>
      <c r="AO230" t="s">
        <v>4595</v>
      </c>
      <c r="AP230" t="s">
        <v>4596</v>
      </c>
      <c r="AQ230" t="s">
        <v>74</v>
      </c>
      <c r="AR230" t="s">
        <v>4597</v>
      </c>
      <c r="AS230" t="s">
        <v>4598</v>
      </c>
      <c r="AT230" t="s">
        <v>4535</v>
      </c>
      <c r="AU230">
        <v>2023</v>
      </c>
      <c r="AV230" t="s">
        <v>74</v>
      </c>
      <c r="AW230" t="s">
        <v>74</v>
      </c>
      <c r="AX230" t="s">
        <v>74</v>
      </c>
      <c r="AY230" t="s">
        <v>74</v>
      </c>
      <c r="AZ230" t="s">
        <v>74</v>
      </c>
      <c r="BA230" t="s">
        <v>74</v>
      </c>
      <c r="BB230" t="s">
        <v>74</v>
      </c>
      <c r="BC230" t="s">
        <v>74</v>
      </c>
      <c r="BD230" t="s">
        <v>74</v>
      </c>
      <c r="BE230" t="s">
        <v>4599</v>
      </c>
      <c r="BF230" t="str">
        <f>HYPERLINK("http://dx.doi.org/10.1007/s00153-023-00891-5","http://dx.doi.org/10.1007/s00153-023-00891-5")</f>
        <v>http://dx.doi.org/10.1007/s00153-023-00891-5</v>
      </c>
      <c r="BG230" t="s">
        <v>74</v>
      </c>
      <c r="BH230" t="s">
        <v>2079</v>
      </c>
      <c r="BI230">
        <v>21</v>
      </c>
      <c r="BJ230" t="s">
        <v>4600</v>
      </c>
      <c r="BK230" t="s">
        <v>126</v>
      </c>
      <c r="BL230" t="s">
        <v>1304</v>
      </c>
      <c r="BM230" t="s">
        <v>4601</v>
      </c>
      <c r="BN230" t="s">
        <v>74</v>
      </c>
      <c r="BO230" t="s">
        <v>74</v>
      </c>
      <c r="BP230" t="s">
        <v>74</v>
      </c>
      <c r="BQ230" t="s">
        <v>74</v>
      </c>
      <c r="BR230" t="s">
        <v>99</v>
      </c>
      <c r="BS230" t="s">
        <v>4602</v>
      </c>
      <c r="BT230" t="str">
        <f>HYPERLINK("https%3A%2F%2Fwww.webofscience.com%2Fwos%2Fwoscc%2Ffull-record%2FWOS:001065540600001","View Full Record in Web of Science")</f>
        <v>View Full Record in Web of Science</v>
      </c>
    </row>
    <row r="231" spans="1:72" x14ac:dyDescent="0.15">
      <c r="A231" t="s">
        <v>72</v>
      </c>
      <c r="B231" t="s">
        <v>4603</v>
      </c>
      <c r="C231" t="s">
        <v>74</v>
      </c>
      <c r="D231" t="s">
        <v>74</v>
      </c>
      <c r="E231" t="s">
        <v>74</v>
      </c>
      <c r="F231" t="s">
        <v>4604</v>
      </c>
      <c r="G231" t="s">
        <v>74</v>
      </c>
      <c r="H231" t="s">
        <v>74</v>
      </c>
      <c r="I231" t="s">
        <v>4605</v>
      </c>
      <c r="J231" t="s">
        <v>4606</v>
      </c>
      <c r="K231" t="s">
        <v>74</v>
      </c>
      <c r="L231" t="s">
        <v>74</v>
      </c>
      <c r="M231" t="s">
        <v>78</v>
      </c>
      <c r="N231" t="s">
        <v>952</v>
      </c>
      <c r="O231" t="s">
        <v>74</v>
      </c>
      <c r="P231" t="s">
        <v>74</v>
      </c>
      <c r="Q231" t="s">
        <v>74</v>
      </c>
      <c r="R231" t="s">
        <v>74</v>
      </c>
      <c r="S231" t="s">
        <v>74</v>
      </c>
      <c r="T231" t="s">
        <v>74</v>
      </c>
      <c r="U231" t="s">
        <v>4607</v>
      </c>
      <c r="V231" t="s">
        <v>74</v>
      </c>
      <c r="W231" t="s">
        <v>4608</v>
      </c>
      <c r="X231" t="s">
        <v>4609</v>
      </c>
      <c r="Y231" t="s">
        <v>4610</v>
      </c>
      <c r="Z231" t="s">
        <v>4611</v>
      </c>
      <c r="AA231" t="s">
        <v>74</v>
      </c>
      <c r="AB231" t="s">
        <v>74</v>
      </c>
      <c r="AC231" t="s">
        <v>74</v>
      </c>
      <c r="AD231" t="s">
        <v>74</v>
      </c>
      <c r="AE231" t="s">
        <v>74</v>
      </c>
      <c r="AF231" t="s">
        <v>74</v>
      </c>
      <c r="AG231">
        <v>19</v>
      </c>
      <c r="AH231">
        <v>0</v>
      </c>
      <c r="AI231">
        <v>0</v>
      </c>
      <c r="AJ231">
        <v>0</v>
      </c>
      <c r="AK231">
        <v>0</v>
      </c>
      <c r="AL231" t="s">
        <v>317</v>
      </c>
      <c r="AM231" t="s">
        <v>245</v>
      </c>
      <c r="AN231" t="s">
        <v>318</v>
      </c>
      <c r="AO231" t="s">
        <v>4612</v>
      </c>
      <c r="AP231" t="s">
        <v>74</v>
      </c>
      <c r="AQ231" t="s">
        <v>74</v>
      </c>
      <c r="AR231" t="s">
        <v>4613</v>
      </c>
      <c r="AS231" t="s">
        <v>4614</v>
      </c>
      <c r="AT231" t="s">
        <v>4576</v>
      </c>
      <c r="AU231">
        <v>2023</v>
      </c>
      <c r="AV231">
        <v>13</v>
      </c>
      <c r="AW231">
        <v>1</v>
      </c>
      <c r="AX231" t="s">
        <v>74</v>
      </c>
      <c r="AY231" t="s">
        <v>74</v>
      </c>
      <c r="AZ231" t="s">
        <v>74</v>
      </c>
      <c r="BA231" t="s">
        <v>74</v>
      </c>
      <c r="BB231" t="s">
        <v>74</v>
      </c>
      <c r="BC231" t="s">
        <v>74</v>
      </c>
      <c r="BD231">
        <v>145</v>
      </c>
      <c r="BE231" t="s">
        <v>4615</v>
      </c>
      <c r="BF231" t="str">
        <f>HYPERLINK("http://dx.doi.org/10.1038/s41408-023-00918-3","http://dx.doi.org/10.1038/s41408-023-00918-3")</f>
        <v>http://dx.doi.org/10.1038/s41408-023-00918-3</v>
      </c>
      <c r="BG231" t="s">
        <v>74</v>
      </c>
      <c r="BH231" t="s">
        <v>74</v>
      </c>
      <c r="BI231">
        <v>3</v>
      </c>
      <c r="BJ231" t="s">
        <v>4616</v>
      </c>
      <c r="BK231" t="s">
        <v>126</v>
      </c>
      <c r="BL231" t="s">
        <v>4616</v>
      </c>
      <c r="BM231" t="s">
        <v>4617</v>
      </c>
      <c r="BN231">
        <v>37699881</v>
      </c>
      <c r="BO231" t="s">
        <v>302</v>
      </c>
      <c r="BP231" t="s">
        <v>74</v>
      </c>
      <c r="BQ231" t="s">
        <v>74</v>
      </c>
      <c r="BR231" t="s">
        <v>99</v>
      </c>
      <c r="BS231" t="s">
        <v>4618</v>
      </c>
      <c r="BT231" t="str">
        <f>HYPERLINK("https%3A%2F%2Fwww.webofscience.com%2Fwos%2Fwoscc%2Ffull-record%2FWOS:001068608600001","View Full Record in Web of Science")</f>
        <v>View Full Record in Web of Science</v>
      </c>
    </row>
    <row r="232" spans="1:72" x14ac:dyDescent="0.15">
      <c r="A232" t="s">
        <v>72</v>
      </c>
      <c r="B232" t="s">
        <v>4619</v>
      </c>
      <c r="C232" t="s">
        <v>74</v>
      </c>
      <c r="D232" t="s">
        <v>74</v>
      </c>
      <c r="E232" t="s">
        <v>74</v>
      </c>
      <c r="F232" t="s">
        <v>4620</v>
      </c>
      <c r="G232" t="s">
        <v>74</v>
      </c>
      <c r="H232" t="s">
        <v>74</v>
      </c>
      <c r="I232" t="s">
        <v>4621</v>
      </c>
      <c r="J232" t="s">
        <v>4622</v>
      </c>
      <c r="K232" t="s">
        <v>74</v>
      </c>
      <c r="L232" t="s">
        <v>74</v>
      </c>
      <c r="M232" t="s">
        <v>78</v>
      </c>
      <c r="N232" t="s">
        <v>79</v>
      </c>
      <c r="O232" t="s">
        <v>74</v>
      </c>
      <c r="P232" t="s">
        <v>74</v>
      </c>
      <c r="Q232" t="s">
        <v>74</v>
      </c>
      <c r="R232" t="s">
        <v>74</v>
      </c>
      <c r="S232" t="s">
        <v>74</v>
      </c>
      <c r="T232" t="s">
        <v>4623</v>
      </c>
      <c r="U232" t="s">
        <v>4624</v>
      </c>
      <c r="V232" t="s">
        <v>4625</v>
      </c>
      <c r="W232" t="s">
        <v>4626</v>
      </c>
      <c r="X232" t="s">
        <v>4627</v>
      </c>
      <c r="Y232" t="s">
        <v>4628</v>
      </c>
      <c r="Z232" t="s">
        <v>4629</v>
      </c>
      <c r="AA232" t="s">
        <v>4630</v>
      </c>
      <c r="AB232" t="s">
        <v>4631</v>
      </c>
      <c r="AC232" t="s">
        <v>4632</v>
      </c>
      <c r="AD232" t="s">
        <v>4632</v>
      </c>
      <c r="AE232" t="s">
        <v>4632</v>
      </c>
      <c r="AF232" t="s">
        <v>74</v>
      </c>
      <c r="AG232">
        <v>56</v>
      </c>
      <c r="AH232">
        <v>0</v>
      </c>
      <c r="AI232">
        <v>0</v>
      </c>
      <c r="AJ232">
        <v>0</v>
      </c>
      <c r="AK232">
        <v>0</v>
      </c>
      <c r="AL232" t="s">
        <v>443</v>
      </c>
      <c r="AM232" t="s">
        <v>245</v>
      </c>
      <c r="AN232" t="s">
        <v>444</v>
      </c>
      <c r="AO232" t="s">
        <v>4633</v>
      </c>
      <c r="AP232" t="s">
        <v>74</v>
      </c>
      <c r="AQ232" t="s">
        <v>74</v>
      </c>
      <c r="AR232" t="s">
        <v>4634</v>
      </c>
      <c r="AS232" t="s">
        <v>4635</v>
      </c>
      <c r="AT232" t="s">
        <v>4576</v>
      </c>
      <c r="AU232">
        <v>2023</v>
      </c>
      <c r="AV232">
        <v>15</v>
      </c>
      <c r="AW232">
        <v>1</v>
      </c>
      <c r="AX232" t="s">
        <v>74</v>
      </c>
      <c r="AY232" t="s">
        <v>74</v>
      </c>
      <c r="AZ232" t="s">
        <v>74</v>
      </c>
      <c r="BA232" t="s">
        <v>74</v>
      </c>
      <c r="BB232" t="s">
        <v>74</v>
      </c>
      <c r="BC232" t="s">
        <v>74</v>
      </c>
      <c r="BD232">
        <v>42</v>
      </c>
      <c r="BE232" t="s">
        <v>4636</v>
      </c>
      <c r="BF232" t="str">
        <f>HYPERLINK("http://dx.doi.org/10.1186/s13099-023-00565-w","http://dx.doi.org/10.1186/s13099-023-00565-w")</f>
        <v>http://dx.doi.org/10.1186/s13099-023-00565-w</v>
      </c>
      <c r="BG232" t="s">
        <v>74</v>
      </c>
      <c r="BH232" t="s">
        <v>74</v>
      </c>
      <c r="BI232">
        <v>12</v>
      </c>
      <c r="BJ232" t="s">
        <v>4637</v>
      </c>
      <c r="BK232" t="s">
        <v>126</v>
      </c>
      <c r="BL232" t="s">
        <v>4637</v>
      </c>
      <c r="BM232" t="s">
        <v>4638</v>
      </c>
      <c r="BN232">
        <v>37704999</v>
      </c>
      <c r="BO232" t="s">
        <v>302</v>
      </c>
      <c r="BP232" t="s">
        <v>74</v>
      </c>
      <c r="BQ232" t="s">
        <v>74</v>
      </c>
      <c r="BR232" t="s">
        <v>99</v>
      </c>
      <c r="BS232" t="s">
        <v>4639</v>
      </c>
      <c r="BT232" t="str">
        <f>HYPERLINK("https%3A%2F%2Fwww.webofscience.com%2Fwos%2Fwoscc%2Ffull-record%2FWOS:001065298400001","View Full Record in Web of Science")</f>
        <v>View Full Record in Web of Science</v>
      </c>
    </row>
    <row r="233" spans="1:72" x14ac:dyDescent="0.15">
      <c r="A233" t="s">
        <v>72</v>
      </c>
      <c r="B233" t="s">
        <v>4640</v>
      </c>
      <c r="C233" t="s">
        <v>74</v>
      </c>
      <c r="D233" t="s">
        <v>74</v>
      </c>
      <c r="E233" t="s">
        <v>74</v>
      </c>
      <c r="F233" t="s">
        <v>4641</v>
      </c>
      <c r="G233" t="s">
        <v>74</v>
      </c>
      <c r="H233" t="s">
        <v>74</v>
      </c>
      <c r="I233" t="s">
        <v>4642</v>
      </c>
      <c r="J233" t="s">
        <v>4643</v>
      </c>
      <c r="K233" t="s">
        <v>74</v>
      </c>
      <c r="L233" t="s">
        <v>74</v>
      </c>
      <c r="M233" t="s">
        <v>78</v>
      </c>
      <c r="N233" t="s">
        <v>1246</v>
      </c>
      <c r="O233" t="s">
        <v>74</v>
      </c>
      <c r="P233" t="s">
        <v>74</v>
      </c>
      <c r="Q233" t="s">
        <v>74</v>
      </c>
      <c r="R233" t="s">
        <v>74</v>
      </c>
      <c r="S233" t="s">
        <v>74</v>
      </c>
      <c r="T233" t="s">
        <v>4644</v>
      </c>
      <c r="U233" t="s">
        <v>4645</v>
      </c>
      <c r="V233" t="s">
        <v>4646</v>
      </c>
      <c r="W233" t="s">
        <v>4647</v>
      </c>
      <c r="X233" t="s">
        <v>4648</v>
      </c>
      <c r="Y233" t="s">
        <v>4649</v>
      </c>
      <c r="Z233" t="s">
        <v>4650</v>
      </c>
      <c r="AA233" t="s">
        <v>74</v>
      </c>
      <c r="AB233" t="s">
        <v>74</v>
      </c>
      <c r="AC233" t="s">
        <v>74</v>
      </c>
      <c r="AD233" t="s">
        <v>74</v>
      </c>
      <c r="AE233" t="s">
        <v>74</v>
      </c>
      <c r="AF233" t="s">
        <v>74</v>
      </c>
      <c r="AG233">
        <v>69</v>
      </c>
      <c r="AH233">
        <v>0</v>
      </c>
      <c r="AI233">
        <v>0</v>
      </c>
      <c r="AJ233">
        <v>0</v>
      </c>
      <c r="AK233">
        <v>0</v>
      </c>
      <c r="AL233" t="s">
        <v>117</v>
      </c>
      <c r="AM233" t="s">
        <v>118</v>
      </c>
      <c r="AN233" t="s">
        <v>119</v>
      </c>
      <c r="AO233" t="s">
        <v>4651</v>
      </c>
      <c r="AP233" t="s">
        <v>4652</v>
      </c>
      <c r="AQ233" t="s">
        <v>74</v>
      </c>
      <c r="AR233" t="s">
        <v>4653</v>
      </c>
      <c r="AS233" t="s">
        <v>4654</v>
      </c>
      <c r="AT233" t="s">
        <v>4535</v>
      </c>
      <c r="AU233">
        <v>2023</v>
      </c>
      <c r="AV233" t="s">
        <v>74</v>
      </c>
      <c r="AW233" t="s">
        <v>74</v>
      </c>
      <c r="AX233" t="s">
        <v>74</v>
      </c>
      <c r="AY233" t="s">
        <v>74</v>
      </c>
      <c r="AZ233" t="s">
        <v>74</v>
      </c>
      <c r="BA233" t="s">
        <v>74</v>
      </c>
      <c r="BB233" t="s">
        <v>74</v>
      </c>
      <c r="BC233" t="s">
        <v>74</v>
      </c>
      <c r="BD233" t="s">
        <v>74</v>
      </c>
      <c r="BE233" t="s">
        <v>4655</v>
      </c>
      <c r="BF233" t="str">
        <f>HYPERLINK("http://dx.doi.org/10.1007/s10826-023-02674-1","http://dx.doi.org/10.1007/s10826-023-02674-1")</f>
        <v>http://dx.doi.org/10.1007/s10826-023-02674-1</v>
      </c>
      <c r="BG233" t="s">
        <v>74</v>
      </c>
      <c r="BH233" t="s">
        <v>2079</v>
      </c>
      <c r="BI233">
        <v>14</v>
      </c>
      <c r="BJ233" t="s">
        <v>4656</v>
      </c>
      <c r="BK233" t="s">
        <v>425</v>
      </c>
      <c r="BL233" t="s">
        <v>4657</v>
      </c>
      <c r="BM233" t="s">
        <v>4658</v>
      </c>
      <c r="BN233" t="s">
        <v>74</v>
      </c>
      <c r="BO233" t="s">
        <v>74</v>
      </c>
      <c r="BP233" t="s">
        <v>74</v>
      </c>
      <c r="BQ233" t="s">
        <v>74</v>
      </c>
      <c r="BR233" t="s">
        <v>99</v>
      </c>
      <c r="BS233" t="s">
        <v>4659</v>
      </c>
      <c r="BT233" t="str">
        <f>HYPERLINK("https%3A%2F%2Fwww.webofscience.com%2Fwos%2Fwoscc%2Ffull-record%2FWOS:001065326900001","View Full Record in Web of Science")</f>
        <v>View Full Record in Web of Science</v>
      </c>
    </row>
    <row r="234" spans="1:72" x14ac:dyDescent="0.15">
      <c r="A234" t="s">
        <v>72</v>
      </c>
      <c r="B234" t="s">
        <v>4660</v>
      </c>
      <c r="C234" t="s">
        <v>74</v>
      </c>
      <c r="D234" t="s">
        <v>74</v>
      </c>
      <c r="E234" t="s">
        <v>74</v>
      </c>
      <c r="F234" t="s">
        <v>4661</v>
      </c>
      <c r="G234" t="s">
        <v>74</v>
      </c>
      <c r="H234" t="s">
        <v>74</v>
      </c>
      <c r="I234" t="s">
        <v>4662</v>
      </c>
      <c r="J234" t="s">
        <v>4663</v>
      </c>
      <c r="K234" t="s">
        <v>74</v>
      </c>
      <c r="L234" t="s">
        <v>74</v>
      </c>
      <c r="M234" t="s">
        <v>78</v>
      </c>
      <c r="N234" t="s">
        <v>79</v>
      </c>
      <c r="O234" t="s">
        <v>74</v>
      </c>
      <c r="P234" t="s">
        <v>74</v>
      </c>
      <c r="Q234" t="s">
        <v>74</v>
      </c>
      <c r="R234" t="s">
        <v>74</v>
      </c>
      <c r="S234" t="s">
        <v>74</v>
      </c>
      <c r="T234" t="s">
        <v>4664</v>
      </c>
      <c r="U234" t="s">
        <v>4665</v>
      </c>
      <c r="V234" t="s">
        <v>4666</v>
      </c>
      <c r="W234" t="s">
        <v>4667</v>
      </c>
      <c r="X234" t="s">
        <v>4668</v>
      </c>
      <c r="Y234" t="s">
        <v>4669</v>
      </c>
      <c r="Z234" t="s">
        <v>4670</v>
      </c>
      <c r="AA234" t="s">
        <v>74</v>
      </c>
      <c r="AB234" t="s">
        <v>74</v>
      </c>
      <c r="AC234" t="s">
        <v>74</v>
      </c>
      <c r="AD234" t="s">
        <v>74</v>
      </c>
      <c r="AE234" t="s">
        <v>74</v>
      </c>
      <c r="AF234" t="s">
        <v>74</v>
      </c>
      <c r="AG234">
        <v>53</v>
      </c>
      <c r="AH234">
        <v>0</v>
      </c>
      <c r="AI234">
        <v>0</v>
      </c>
      <c r="AJ234">
        <v>1</v>
      </c>
      <c r="AK234">
        <v>1</v>
      </c>
      <c r="AL234" t="s">
        <v>443</v>
      </c>
      <c r="AM234" t="s">
        <v>245</v>
      </c>
      <c r="AN234" t="s">
        <v>444</v>
      </c>
      <c r="AO234" t="s">
        <v>74</v>
      </c>
      <c r="AP234" t="s">
        <v>4671</v>
      </c>
      <c r="AQ234" t="s">
        <v>74</v>
      </c>
      <c r="AR234" t="s">
        <v>4672</v>
      </c>
      <c r="AS234" t="s">
        <v>4673</v>
      </c>
      <c r="AT234" t="s">
        <v>4674</v>
      </c>
      <c r="AU234">
        <v>2023</v>
      </c>
      <c r="AV234">
        <v>22</v>
      </c>
      <c r="AW234">
        <v>1</v>
      </c>
      <c r="AX234" t="s">
        <v>74</v>
      </c>
      <c r="AY234" t="s">
        <v>74</v>
      </c>
      <c r="AZ234" t="s">
        <v>74</v>
      </c>
      <c r="BA234" t="s">
        <v>74</v>
      </c>
      <c r="BB234" t="s">
        <v>74</v>
      </c>
      <c r="BC234" t="s">
        <v>74</v>
      </c>
      <c r="BD234">
        <v>268</v>
      </c>
      <c r="BE234" t="s">
        <v>4675</v>
      </c>
      <c r="BF234" t="str">
        <f>HYPERLINK("http://dx.doi.org/10.1186/s12936-023-04702-3","http://dx.doi.org/10.1186/s12936-023-04702-3")</f>
        <v>http://dx.doi.org/10.1186/s12936-023-04702-3</v>
      </c>
      <c r="BG234" t="s">
        <v>74</v>
      </c>
      <c r="BH234" t="s">
        <v>74</v>
      </c>
      <c r="BI234">
        <v>12</v>
      </c>
      <c r="BJ234" t="s">
        <v>4676</v>
      </c>
      <c r="BK234" t="s">
        <v>126</v>
      </c>
      <c r="BL234" t="s">
        <v>4676</v>
      </c>
      <c r="BM234" t="s">
        <v>4677</v>
      </c>
      <c r="BN234">
        <v>37700321</v>
      </c>
      <c r="BO234" t="s">
        <v>74</v>
      </c>
      <c r="BP234" t="s">
        <v>74</v>
      </c>
      <c r="BQ234" t="s">
        <v>74</v>
      </c>
      <c r="BR234" t="s">
        <v>99</v>
      </c>
      <c r="BS234" t="s">
        <v>4678</v>
      </c>
      <c r="BT234" t="str">
        <f>HYPERLINK("https%3A%2F%2Fwww.webofscience.com%2Fwos%2Fwoscc%2Ffull-record%2FWOS:001066970400001","View Full Record in Web of Science")</f>
        <v>View Full Record in Web of Science</v>
      </c>
    </row>
    <row r="235" spans="1:72" x14ac:dyDescent="0.15">
      <c r="A235" t="s">
        <v>72</v>
      </c>
      <c r="B235" t="s">
        <v>4679</v>
      </c>
      <c r="C235" t="s">
        <v>74</v>
      </c>
      <c r="D235" t="s">
        <v>74</v>
      </c>
      <c r="E235" t="s">
        <v>74</v>
      </c>
      <c r="F235" t="s">
        <v>4680</v>
      </c>
      <c r="G235" t="s">
        <v>74</v>
      </c>
      <c r="H235" t="s">
        <v>74</v>
      </c>
      <c r="I235" t="s">
        <v>4681</v>
      </c>
      <c r="J235" t="s">
        <v>4682</v>
      </c>
      <c r="K235" t="s">
        <v>74</v>
      </c>
      <c r="L235" t="s">
        <v>74</v>
      </c>
      <c r="M235" t="s">
        <v>78</v>
      </c>
      <c r="N235" t="s">
        <v>1246</v>
      </c>
      <c r="O235" t="s">
        <v>74</v>
      </c>
      <c r="P235" t="s">
        <v>74</v>
      </c>
      <c r="Q235" t="s">
        <v>74</v>
      </c>
      <c r="R235" t="s">
        <v>74</v>
      </c>
      <c r="S235" t="s">
        <v>74</v>
      </c>
      <c r="T235" t="s">
        <v>4683</v>
      </c>
      <c r="U235" t="s">
        <v>74</v>
      </c>
      <c r="V235" t="s">
        <v>4684</v>
      </c>
      <c r="W235" t="s">
        <v>4685</v>
      </c>
      <c r="X235" t="s">
        <v>4686</v>
      </c>
      <c r="Y235" t="s">
        <v>4687</v>
      </c>
      <c r="Z235" t="s">
        <v>4688</v>
      </c>
      <c r="AA235" t="s">
        <v>74</v>
      </c>
      <c r="AB235" t="s">
        <v>74</v>
      </c>
      <c r="AC235" t="s">
        <v>4689</v>
      </c>
      <c r="AD235" t="s">
        <v>4690</v>
      </c>
      <c r="AE235" t="s">
        <v>4691</v>
      </c>
      <c r="AF235" t="s">
        <v>74</v>
      </c>
      <c r="AG235">
        <v>27</v>
      </c>
      <c r="AH235">
        <v>0</v>
      </c>
      <c r="AI235">
        <v>0</v>
      </c>
      <c r="AJ235">
        <v>0</v>
      </c>
      <c r="AK235">
        <v>0</v>
      </c>
      <c r="AL235" t="s">
        <v>1500</v>
      </c>
      <c r="AM235" t="s">
        <v>1501</v>
      </c>
      <c r="AN235" t="s">
        <v>1502</v>
      </c>
      <c r="AO235" t="s">
        <v>4692</v>
      </c>
      <c r="AP235" t="s">
        <v>4693</v>
      </c>
      <c r="AQ235" t="s">
        <v>74</v>
      </c>
      <c r="AR235" t="s">
        <v>4694</v>
      </c>
      <c r="AS235" t="s">
        <v>4695</v>
      </c>
      <c r="AT235" t="s">
        <v>4696</v>
      </c>
      <c r="AU235">
        <v>2023</v>
      </c>
      <c r="AV235" t="s">
        <v>74</v>
      </c>
      <c r="AW235" t="s">
        <v>74</v>
      </c>
      <c r="AX235" t="s">
        <v>74</v>
      </c>
      <c r="AY235" t="s">
        <v>74</v>
      </c>
      <c r="AZ235" t="s">
        <v>74</v>
      </c>
      <c r="BA235" t="s">
        <v>74</v>
      </c>
      <c r="BB235" t="s">
        <v>74</v>
      </c>
      <c r="BC235" t="s">
        <v>74</v>
      </c>
      <c r="BD235" t="s">
        <v>74</v>
      </c>
      <c r="BE235" t="s">
        <v>4697</v>
      </c>
      <c r="BF235" t="str">
        <f>HYPERLINK("http://dx.doi.org/10.1007/s12626-023-00147","http://dx.doi.org/10.1007/s12626-023-00147")</f>
        <v>http://dx.doi.org/10.1007/s12626-023-00147</v>
      </c>
      <c r="BG235" t="s">
        <v>74</v>
      </c>
      <c r="BH235" t="s">
        <v>2079</v>
      </c>
      <c r="BI235">
        <v>22</v>
      </c>
      <c r="BJ235" t="s">
        <v>4698</v>
      </c>
      <c r="BK235" t="s">
        <v>97</v>
      </c>
      <c r="BL235" t="s">
        <v>1139</v>
      </c>
      <c r="BM235" t="s">
        <v>4699</v>
      </c>
      <c r="BN235" t="s">
        <v>74</v>
      </c>
      <c r="BO235" t="s">
        <v>74</v>
      </c>
      <c r="BP235" t="s">
        <v>74</v>
      </c>
      <c r="BQ235" t="s">
        <v>74</v>
      </c>
      <c r="BR235" t="s">
        <v>99</v>
      </c>
      <c r="BS235" t="s">
        <v>4700</v>
      </c>
      <c r="BT235" t="str">
        <f>HYPERLINK("https%3A%2F%2Fwww.webofscience.com%2Fwos%2Fwoscc%2Ffull-record%2FWOS:001065436400001","View Full Record in Web of Science")</f>
        <v>View Full Record in Web of Science</v>
      </c>
    </row>
    <row r="236" spans="1:72" x14ac:dyDescent="0.15">
      <c r="A236" t="s">
        <v>72</v>
      </c>
      <c r="B236" t="s">
        <v>4701</v>
      </c>
      <c r="C236" t="s">
        <v>74</v>
      </c>
      <c r="D236" t="s">
        <v>74</v>
      </c>
      <c r="E236" t="s">
        <v>74</v>
      </c>
      <c r="F236" t="s">
        <v>4702</v>
      </c>
      <c r="G236" t="s">
        <v>74</v>
      </c>
      <c r="H236" t="s">
        <v>74</v>
      </c>
      <c r="I236" t="s">
        <v>4703</v>
      </c>
      <c r="J236" t="s">
        <v>4704</v>
      </c>
      <c r="K236" t="s">
        <v>74</v>
      </c>
      <c r="L236" t="s">
        <v>74</v>
      </c>
      <c r="M236" t="s">
        <v>78</v>
      </c>
      <c r="N236" t="s">
        <v>1246</v>
      </c>
      <c r="O236" t="s">
        <v>74</v>
      </c>
      <c r="P236" t="s">
        <v>74</v>
      </c>
      <c r="Q236" t="s">
        <v>74</v>
      </c>
      <c r="R236" t="s">
        <v>74</v>
      </c>
      <c r="S236" t="s">
        <v>74</v>
      </c>
      <c r="T236" t="s">
        <v>4705</v>
      </c>
      <c r="U236" t="s">
        <v>4706</v>
      </c>
      <c r="V236" t="s">
        <v>4707</v>
      </c>
      <c r="W236" t="s">
        <v>4708</v>
      </c>
      <c r="X236" t="s">
        <v>4709</v>
      </c>
      <c r="Y236" t="s">
        <v>4710</v>
      </c>
      <c r="Z236" t="s">
        <v>4711</v>
      </c>
      <c r="AA236" t="s">
        <v>74</v>
      </c>
      <c r="AB236" t="s">
        <v>74</v>
      </c>
      <c r="AC236" t="s">
        <v>4712</v>
      </c>
      <c r="AD236" t="s">
        <v>4713</v>
      </c>
      <c r="AE236" t="s">
        <v>4714</v>
      </c>
      <c r="AF236" t="s">
        <v>74</v>
      </c>
      <c r="AG236">
        <v>47</v>
      </c>
      <c r="AH236">
        <v>0</v>
      </c>
      <c r="AI236">
        <v>0</v>
      </c>
      <c r="AJ236">
        <v>1</v>
      </c>
      <c r="AK236">
        <v>1</v>
      </c>
      <c r="AL236" t="s">
        <v>117</v>
      </c>
      <c r="AM236" t="s">
        <v>118</v>
      </c>
      <c r="AN236" t="s">
        <v>119</v>
      </c>
      <c r="AO236" t="s">
        <v>4715</v>
      </c>
      <c r="AP236" t="s">
        <v>4716</v>
      </c>
      <c r="AQ236" t="s">
        <v>74</v>
      </c>
      <c r="AR236" t="s">
        <v>4717</v>
      </c>
      <c r="AS236" t="s">
        <v>4718</v>
      </c>
      <c r="AT236" t="s">
        <v>4696</v>
      </c>
      <c r="AU236">
        <v>2023</v>
      </c>
      <c r="AV236" t="s">
        <v>74</v>
      </c>
      <c r="AW236" t="s">
        <v>74</v>
      </c>
      <c r="AX236" t="s">
        <v>74</v>
      </c>
      <c r="AY236" t="s">
        <v>74</v>
      </c>
      <c r="AZ236" t="s">
        <v>74</v>
      </c>
      <c r="BA236" t="s">
        <v>74</v>
      </c>
      <c r="BB236" t="s">
        <v>74</v>
      </c>
      <c r="BC236" t="s">
        <v>74</v>
      </c>
      <c r="BD236" t="s">
        <v>74</v>
      </c>
      <c r="BE236" t="s">
        <v>4719</v>
      </c>
      <c r="BF236" t="str">
        <f>HYPERLINK("http://dx.doi.org/10.1007/s13253-023-00567","http://dx.doi.org/10.1007/s13253-023-00567")</f>
        <v>http://dx.doi.org/10.1007/s13253-023-00567</v>
      </c>
      <c r="BG236" t="s">
        <v>74</v>
      </c>
      <c r="BH236" t="s">
        <v>2079</v>
      </c>
      <c r="BI236">
        <v>22</v>
      </c>
      <c r="BJ236" t="s">
        <v>4720</v>
      </c>
      <c r="BK236" t="s">
        <v>126</v>
      </c>
      <c r="BL236" t="s">
        <v>4721</v>
      </c>
      <c r="BM236" t="s">
        <v>4722</v>
      </c>
      <c r="BN236" t="s">
        <v>74</v>
      </c>
      <c r="BO236" t="s">
        <v>74</v>
      </c>
      <c r="BP236" t="s">
        <v>74</v>
      </c>
      <c r="BQ236" t="s">
        <v>74</v>
      </c>
      <c r="BR236" t="s">
        <v>99</v>
      </c>
      <c r="BS236" t="s">
        <v>4723</v>
      </c>
      <c r="BT236" t="str">
        <f>HYPERLINK("https%3A%2F%2Fwww.webofscience.com%2Fwos%2Fwoscc%2Ffull-record%2FWOS:001064742200001","View Full Record in Web of Science")</f>
        <v>View Full Record in Web of Science</v>
      </c>
    </row>
    <row r="237" spans="1:72" x14ac:dyDescent="0.15">
      <c r="A237" t="s">
        <v>72</v>
      </c>
      <c r="B237" t="s">
        <v>4724</v>
      </c>
      <c r="C237" t="s">
        <v>74</v>
      </c>
      <c r="D237" t="s">
        <v>74</v>
      </c>
      <c r="E237" t="s">
        <v>74</v>
      </c>
      <c r="F237" t="s">
        <v>4725</v>
      </c>
      <c r="G237" t="s">
        <v>74</v>
      </c>
      <c r="H237" t="s">
        <v>74</v>
      </c>
      <c r="I237" t="s">
        <v>4726</v>
      </c>
      <c r="J237" t="s">
        <v>4727</v>
      </c>
      <c r="K237" t="s">
        <v>74</v>
      </c>
      <c r="L237" t="s">
        <v>74</v>
      </c>
      <c r="M237" t="s">
        <v>78</v>
      </c>
      <c r="N237" t="s">
        <v>79</v>
      </c>
      <c r="O237" t="s">
        <v>74</v>
      </c>
      <c r="P237" t="s">
        <v>74</v>
      </c>
      <c r="Q237" t="s">
        <v>74</v>
      </c>
      <c r="R237" t="s">
        <v>74</v>
      </c>
      <c r="S237" t="s">
        <v>74</v>
      </c>
      <c r="T237" t="s">
        <v>4728</v>
      </c>
      <c r="U237" t="s">
        <v>4729</v>
      </c>
      <c r="V237" t="s">
        <v>4730</v>
      </c>
      <c r="W237" t="s">
        <v>4731</v>
      </c>
      <c r="X237" t="s">
        <v>4732</v>
      </c>
      <c r="Y237" t="s">
        <v>4733</v>
      </c>
      <c r="Z237" t="s">
        <v>4734</v>
      </c>
      <c r="AA237" t="s">
        <v>74</v>
      </c>
      <c r="AB237" t="s">
        <v>74</v>
      </c>
      <c r="AC237" t="s">
        <v>4735</v>
      </c>
      <c r="AD237" t="s">
        <v>4736</v>
      </c>
      <c r="AE237" t="s">
        <v>4737</v>
      </c>
      <c r="AF237" t="s">
        <v>74</v>
      </c>
      <c r="AG237">
        <v>43</v>
      </c>
      <c r="AH237">
        <v>0</v>
      </c>
      <c r="AI237">
        <v>0</v>
      </c>
      <c r="AJ237">
        <v>0</v>
      </c>
      <c r="AK237">
        <v>0</v>
      </c>
      <c r="AL237" t="s">
        <v>443</v>
      </c>
      <c r="AM237" t="s">
        <v>245</v>
      </c>
      <c r="AN237" t="s">
        <v>444</v>
      </c>
      <c r="AO237" t="s">
        <v>4738</v>
      </c>
      <c r="AP237" t="s">
        <v>4739</v>
      </c>
      <c r="AQ237" t="s">
        <v>74</v>
      </c>
      <c r="AR237" t="s">
        <v>4740</v>
      </c>
      <c r="AS237" t="s">
        <v>4741</v>
      </c>
      <c r="AT237" t="s">
        <v>4674</v>
      </c>
      <c r="AU237">
        <v>2023</v>
      </c>
      <c r="AV237">
        <v>42</v>
      </c>
      <c r="AW237">
        <v>1</v>
      </c>
      <c r="AX237" t="s">
        <v>74</v>
      </c>
      <c r="AY237" t="s">
        <v>74</v>
      </c>
      <c r="AZ237" t="s">
        <v>74</v>
      </c>
      <c r="BA237" t="s">
        <v>74</v>
      </c>
      <c r="BB237" t="s">
        <v>74</v>
      </c>
      <c r="BC237" t="s">
        <v>74</v>
      </c>
      <c r="BD237">
        <v>96</v>
      </c>
      <c r="BE237" t="s">
        <v>4742</v>
      </c>
      <c r="BF237" t="str">
        <f>HYPERLINK("http://dx.doi.org/10.1186/s41043-023-00441-y","http://dx.doi.org/10.1186/s41043-023-00441-y")</f>
        <v>http://dx.doi.org/10.1186/s41043-023-00441-y</v>
      </c>
      <c r="BG237" t="s">
        <v>74</v>
      </c>
      <c r="BH237" t="s">
        <v>74</v>
      </c>
      <c r="BI237">
        <v>8</v>
      </c>
      <c r="BJ237" t="s">
        <v>4743</v>
      </c>
      <c r="BK237" t="s">
        <v>126</v>
      </c>
      <c r="BL237" t="s">
        <v>4744</v>
      </c>
      <c r="BM237" t="s">
        <v>4745</v>
      </c>
      <c r="BN237">
        <v>37700382</v>
      </c>
      <c r="BO237" t="s">
        <v>74</v>
      </c>
      <c r="BP237" t="s">
        <v>74</v>
      </c>
      <c r="BQ237" t="s">
        <v>74</v>
      </c>
      <c r="BR237" t="s">
        <v>99</v>
      </c>
      <c r="BS237" t="s">
        <v>4746</v>
      </c>
      <c r="BT237" t="str">
        <f>HYPERLINK("https%3A%2F%2Fwww.webofscience.com%2Fwos%2Fwoscc%2Ffull-record%2FWOS:001064538200001","View Full Record in Web of Science")</f>
        <v>View Full Record in Web of Science</v>
      </c>
    </row>
    <row r="238" spans="1:72" x14ac:dyDescent="0.15">
      <c r="A238" t="s">
        <v>72</v>
      </c>
      <c r="B238" t="s">
        <v>4747</v>
      </c>
      <c r="C238" t="s">
        <v>74</v>
      </c>
      <c r="D238" t="s">
        <v>74</v>
      </c>
      <c r="E238" t="s">
        <v>74</v>
      </c>
      <c r="F238" t="s">
        <v>4748</v>
      </c>
      <c r="G238" t="s">
        <v>74</v>
      </c>
      <c r="H238" t="s">
        <v>74</v>
      </c>
      <c r="I238" t="s">
        <v>4749</v>
      </c>
      <c r="J238" t="s">
        <v>4750</v>
      </c>
      <c r="K238" t="s">
        <v>74</v>
      </c>
      <c r="L238" t="s">
        <v>74</v>
      </c>
      <c r="M238" t="s">
        <v>78</v>
      </c>
      <c r="N238" t="s">
        <v>952</v>
      </c>
      <c r="O238" t="s">
        <v>74</v>
      </c>
      <c r="P238" t="s">
        <v>74</v>
      </c>
      <c r="Q238" t="s">
        <v>74</v>
      </c>
      <c r="R238" t="s">
        <v>74</v>
      </c>
      <c r="S238" t="s">
        <v>74</v>
      </c>
      <c r="T238" t="s">
        <v>74</v>
      </c>
      <c r="U238" t="s">
        <v>74</v>
      </c>
      <c r="V238" t="s">
        <v>4751</v>
      </c>
      <c r="W238" t="s">
        <v>4752</v>
      </c>
      <c r="X238" t="s">
        <v>4753</v>
      </c>
      <c r="Y238" t="s">
        <v>4754</v>
      </c>
      <c r="Z238" t="s">
        <v>4755</v>
      </c>
      <c r="AA238" t="s">
        <v>74</v>
      </c>
      <c r="AB238" t="s">
        <v>74</v>
      </c>
      <c r="AC238" t="s">
        <v>74</v>
      </c>
      <c r="AD238" t="s">
        <v>74</v>
      </c>
      <c r="AE238" t="s">
        <v>74</v>
      </c>
      <c r="AF238" t="s">
        <v>74</v>
      </c>
      <c r="AG238">
        <v>6</v>
      </c>
      <c r="AH238">
        <v>0</v>
      </c>
      <c r="AI238">
        <v>0</v>
      </c>
      <c r="AJ238">
        <v>1</v>
      </c>
      <c r="AK238">
        <v>1</v>
      </c>
      <c r="AL238" t="s">
        <v>317</v>
      </c>
      <c r="AM238" t="s">
        <v>245</v>
      </c>
      <c r="AN238" t="s">
        <v>318</v>
      </c>
      <c r="AO238" t="s">
        <v>4756</v>
      </c>
      <c r="AP238" t="s">
        <v>4757</v>
      </c>
      <c r="AQ238" t="s">
        <v>74</v>
      </c>
      <c r="AR238" t="s">
        <v>4758</v>
      </c>
      <c r="AS238" t="s">
        <v>4759</v>
      </c>
      <c r="AT238" t="s">
        <v>4674</v>
      </c>
      <c r="AU238">
        <v>2023</v>
      </c>
      <c r="AV238">
        <v>12</v>
      </c>
      <c r="AW238">
        <v>1</v>
      </c>
      <c r="AX238" t="s">
        <v>74</v>
      </c>
      <c r="AY238" t="s">
        <v>74</v>
      </c>
      <c r="AZ238" t="s">
        <v>74</v>
      </c>
      <c r="BA238" t="s">
        <v>74</v>
      </c>
      <c r="BB238" t="s">
        <v>74</v>
      </c>
      <c r="BC238" t="s">
        <v>74</v>
      </c>
      <c r="BD238">
        <v>227</v>
      </c>
      <c r="BE238" t="s">
        <v>4760</v>
      </c>
      <c r="BF238" t="str">
        <f>HYPERLINK("http://dx.doi.org/10.1038/s41377-023-01261-9","http://dx.doi.org/10.1038/s41377-023-01261-9")</f>
        <v>http://dx.doi.org/10.1038/s41377-023-01261-9</v>
      </c>
      <c r="BG238" t="s">
        <v>74</v>
      </c>
      <c r="BH238" t="s">
        <v>74</v>
      </c>
      <c r="BI238">
        <v>8</v>
      </c>
      <c r="BJ238" t="s">
        <v>3048</v>
      </c>
      <c r="BK238" t="s">
        <v>126</v>
      </c>
      <c r="BL238" t="s">
        <v>3048</v>
      </c>
      <c r="BM238" t="s">
        <v>4761</v>
      </c>
      <c r="BN238">
        <v>37699904</v>
      </c>
      <c r="BO238" t="s">
        <v>74</v>
      </c>
      <c r="BP238" t="s">
        <v>74</v>
      </c>
      <c r="BQ238" t="s">
        <v>74</v>
      </c>
      <c r="BR238" t="s">
        <v>99</v>
      </c>
      <c r="BS238" t="s">
        <v>4762</v>
      </c>
      <c r="BT238" t="str">
        <f>HYPERLINK("https%3A%2F%2Fwww.webofscience.com%2Fwos%2Fwoscc%2Ffull-record%2FWOS:001064806100001","View Full Record in Web of Science")</f>
        <v>View Full Record in Web of Science</v>
      </c>
    </row>
    <row r="239" spans="1:72" x14ac:dyDescent="0.15">
      <c r="A239" t="s">
        <v>72</v>
      </c>
      <c r="B239" t="s">
        <v>4763</v>
      </c>
      <c r="C239" t="s">
        <v>74</v>
      </c>
      <c r="D239" t="s">
        <v>74</v>
      </c>
      <c r="E239" t="s">
        <v>74</v>
      </c>
      <c r="F239" t="s">
        <v>4764</v>
      </c>
      <c r="G239" t="s">
        <v>74</v>
      </c>
      <c r="H239" t="s">
        <v>74</v>
      </c>
      <c r="I239" t="s">
        <v>4765</v>
      </c>
      <c r="J239" t="s">
        <v>4766</v>
      </c>
      <c r="K239" t="s">
        <v>74</v>
      </c>
      <c r="L239" t="s">
        <v>74</v>
      </c>
      <c r="M239" t="s">
        <v>78</v>
      </c>
      <c r="N239" t="s">
        <v>1246</v>
      </c>
      <c r="O239" t="s">
        <v>74</v>
      </c>
      <c r="P239" t="s">
        <v>74</v>
      </c>
      <c r="Q239" t="s">
        <v>74</v>
      </c>
      <c r="R239" t="s">
        <v>74</v>
      </c>
      <c r="S239" t="s">
        <v>74</v>
      </c>
      <c r="T239" t="s">
        <v>4767</v>
      </c>
      <c r="U239" t="s">
        <v>4768</v>
      </c>
      <c r="V239" t="s">
        <v>4769</v>
      </c>
      <c r="W239" t="s">
        <v>4770</v>
      </c>
      <c r="X239" t="s">
        <v>4771</v>
      </c>
      <c r="Y239" t="s">
        <v>4772</v>
      </c>
      <c r="Z239" t="s">
        <v>4773</v>
      </c>
      <c r="AA239" t="s">
        <v>74</v>
      </c>
      <c r="AB239" t="s">
        <v>74</v>
      </c>
      <c r="AC239" t="s">
        <v>4774</v>
      </c>
      <c r="AD239" t="s">
        <v>4774</v>
      </c>
      <c r="AE239" t="s">
        <v>4775</v>
      </c>
      <c r="AF239" t="s">
        <v>74</v>
      </c>
      <c r="AG239">
        <v>65</v>
      </c>
      <c r="AH239">
        <v>0</v>
      </c>
      <c r="AI239">
        <v>0</v>
      </c>
      <c r="AJ239">
        <v>1</v>
      </c>
      <c r="AK239">
        <v>1</v>
      </c>
      <c r="AL239" t="s">
        <v>117</v>
      </c>
      <c r="AM239" t="s">
        <v>627</v>
      </c>
      <c r="AN239" t="s">
        <v>628</v>
      </c>
      <c r="AO239" t="s">
        <v>4776</v>
      </c>
      <c r="AP239" t="s">
        <v>4777</v>
      </c>
      <c r="AQ239" t="s">
        <v>74</v>
      </c>
      <c r="AR239" t="s">
        <v>4778</v>
      </c>
      <c r="AS239" t="s">
        <v>4779</v>
      </c>
      <c r="AT239" t="s">
        <v>4696</v>
      </c>
      <c r="AU239">
        <v>2023</v>
      </c>
      <c r="AV239" t="s">
        <v>74</v>
      </c>
      <c r="AW239" t="s">
        <v>74</v>
      </c>
      <c r="AX239" t="s">
        <v>74</v>
      </c>
      <c r="AY239" t="s">
        <v>74</v>
      </c>
      <c r="AZ239" t="s">
        <v>74</v>
      </c>
      <c r="BA239" t="s">
        <v>74</v>
      </c>
      <c r="BB239" t="s">
        <v>74</v>
      </c>
      <c r="BC239" t="s">
        <v>74</v>
      </c>
      <c r="BD239" t="s">
        <v>74</v>
      </c>
      <c r="BE239" t="s">
        <v>4780</v>
      </c>
      <c r="BF239" t="str">
        <f>HYPERLINK("http://dx.doi.org/10.1007/s10611-023-10117-7","http://dx.doi.org/10.1007/s10611-023-10117-7")</f>
        <v>http://dx.doi.org/10.1007/s10611-023-10117-7</v>
      </c>
      <c r="BG239" t="s">
        <v>74</v>
      </c>
      <c r="BH239" t="s">
        <v>2079</v>
      </c>
      <c r="BI239">
        <v>20</v>
      </c>
      <c r="BJ239" t="s">
        <v>4781</v>
      </c>
      <c r="BK239" t="s">
        <v>425</v>
      </c>
      <c r="BL239" t="s">
        <v>4782</v>
      </c>
      <c r="BM239" t="s">
        <v>4783</v>
      </c>
      <c r="BN239" t="s">
        <v>74</v>
      </c>
      <c r="BO239" t="s">
        <v>183</v>
      </c>
      <c r="BP239" t="s">
        <v>74</v>
      </c>
      <c r="BQ239" t="s">
        <v>74</v>
      </c>
      <c r="BR239" t="s">
        <v>99</v>
      </c>
      <c r="BS239" t="s">
        <v>4784</v>
      </c>
      <c r="BT239" t="str">
        <f>HYPERLINK("https%3A%2F%2Fwww.webofscience.com%2Fwos%2Fwoscc%2Ffull-record%2FWOS:001064707900001","View Full Record in Web of Science")</f>
        <v>View Full Record in Web of Science</v>
      </c>
    </row>
    <row r="240" spans="1:72" x14ac:dyDescent="0.15">
      <c r="A240" t="s">
        <v>72</v>
      </c>
      <c r="B240" t="s">
        <v>4785</v>
      </c>
      <c r="C240" t="s">
        <v>74</v>
      </c>
      <c r="D240" t="s">
        <v>74</v>
      </c>
      <c r="E240" t="s">
        <v>74</v>
      </c>
      <c r="F240" t="s">
        <v>4786</v>
      </c>
      <c r="G240" t="s">
        <v>74</v>
      </c>
      <c r="H240" t="s">
        <v>74</v>
      </c>
      <c r="I240" t="s">
        <v>4787</v>
      </c>
      <c r="J240" t="s">
        <v>4788</v>
      </c>
      <c r="K240" t="s">
        <v>74</v>
      </c>
      <c r="L240" t="s">
        <v>74</v>
      </c>
      <c r="M240" t="s">
        <v>78</v>
      </c>
      <c r="N240" t="s">
        <v>1246</v>
      </c>
      <c r="O240" t="s">
        <v>74</v>
      </c>
      <c r="P240" t="s">
        <v>74</v>
      </c>
      <c r="Q240" t="s">
        <v>74</v>
      </c>
      <c r="R240" t="s">
        <v>74</v>
      </c>
      <c r="S240" t="s">
        <v>74</v>
      </c>
      <c r="T240" t="s">
        <v>4789</v>
      </c>
      <c r="U240" t="s">
        <v>74</v>
      </c>
      <c r="V240" t="s">
        <v>4790</v>
      </c>
      <c r="W240" t="s">
        <v>4791</v>
      </c>
      <c r="X240" t="s">
        <v>4792</v>
      </c>
      <c r="Y240" t="s">
        <v>4793</v>
      </c>
      <c r="Z240" t="s">
        <v>4794</v>
      </c>
      <c r="AA240" t="s">
        <v>74</v>
      </c>
      <c r="AB240" t="s">
        <v>74</v>
      </c>
      <c r="AC240" t="s">
        <v>74</v>
      </c>
      <c r="AD240" t="s">
        <v>74</v>
      </c>
      <c r="AE240" t="s">
        <v>74</v>
      </c>
      <c r="AF240" t="s">
        <v>74</v>
      </c>
      <c r="AG240">
        <v>7</v>
      </c>
      <c r="AH240">
        <v>0</v>
      </c>
      <c r="AI240">
        <v>0</v>
      </c>
      <c r="AJ240">
        <v>0</v>
      </c>
      <c r="AK240">
        <v>0</v>
      </c>
      <c r="AL240" t="s">
        <v>117</v>
      </c>
      <c r="AM240" t="s">
        <v>118</v>
      </c>
      <c r="AN240" t="s">
        <v>119</v>
      </c>
      <c r="AO240" t="s">
        <v>4795</v>
      </c>
      <c r="AP240" t="s">
        <v>4796</v>
      </c>
      <c r="AQ240" t="s">
        <v>74</v>
      </c>
      <c r="AR240" t="s">
        <v>4797</v>
      </c>
      <c r="AS240" t="s">
        <v>4798</v>
      </c>
      <c r="AT240" t="s">
        <v>4696</v>
      </c>
      <c r="AU240">
        <v>2023</v>
      </c>
      <c r="AV240" t="s">
        <v>74</v>
      </c>
      <c r="AW240" t="s">
        <v>74</v>
      </c>
      <c r="AX240" t="s">
        <v>74</v>
      </c>
      <c r="AY240" t="s">
        <v>74</v>
      </c>
      <c r="AZ240" t="s">
        <v>74</v>
      </c>
      <c r="BA240" t="s">
        <v>74</v>
      </c>
      <c r="BB240" t="s">
        <v>74</v>
      </c>
      <c r="BC240" t="s">
        <v>74</v>
      </c>
      <c r="BD240" t="s">
        <v>74</v>
      </c>
      <c r="BE240" t="s">
        <v>4799</v>
      </c>
      <c r="BF240" t="str">
        <f>HYPERLINK("http://dx.doi.org/10.1007/s11148-023-00759-4","http://dx.doi.org/10.1007/s11148-023-00759-4")</f>
        <v>http://dx.doi.org/10.1007/s11148-023-00759-4</v>
      </c>
      <c r="BG240" t="s">
        <v>74</v>
      </c>
      <c r="BH240" t="s">
        <v>2079</v>
      </c>
      <c r="BI240">
        <v>5</v>
      </c>
      <c r="BJ240" t="s">
        <v>2292</v>
      </c>
      <c r="BK240" t="s">
        <v>126</v>
      </c>
      <c r="BL240" t="s">
        <v>2293</v>
      </c>
      <c r="BM240" t="s">
        <v>4800</v>
      </c>
      <c r="BN240" t="s">
        <v>74</v>
      </c>
      <c r="BO240" t="s">
        <v>74</v>
      </c>
      <c r="BP240" t="s">
        <v>74</v>
      </c>
      <c r="BQ240" t="s">
        <v>74</v>
      </c>
      <c r="BR240" t="s">
        <v>99</v>
      </c>
      <c r="BS240" t="s">
        <v>4801</v>
      </c>
      <c r="BT240" t="str">
        <f>HYPERLINK("https%3A%2F%2Fwww.webofscience.com%2Fwos%2Fwoscc%2Ffull-record%2FWOS:001064705500001","View Full Record in Web of Science")</f>
        <v>View Full Record in Web of Science</v>
      </c>
    </row>
    <row r="241" spans="1:72" x14ac:dyDescent="0.15">
      <c r="A241" t="s">
        <v>72</v>
      </c>
      <c r="B241" t="s">
        <v>4802</v>
      </c>
      <c r="C241" t="s">
        <v>74</v>
      </c>
      <c r="D241" t="s">
        <v>74</v>
      </c>
      <c r="E241" t="s">
        <v>74</v>
      </c>
      <c r="F241" t="s">
        <v>4803</v>
      </c>
      <c r="G241" t="s">
        <v>74</v>
      </c>
      <c r="H241" t="s">
        <v>74</v>
      </c>
      <c r="I241" t="s">
        <v>4804</v>
      </c>
      <c r="J241" t="s">
        <v>4805</v>
      </c>
      <c r="K241" t="s">
        <v>74</v>
      </c>
      <c r="L241" t="s">
        <v>74</v>
      </c>
      <c r="M241" t="s">
        <v>78</v>
      </c>
      <c r="N241" t="s">
        <v>1246</v>
      </c>
      <c r="O241" t="s">
        <v>74</v>
      </c>
      <c r="P241" t="s">
        <v>74</v>
      </c>
      <c r="Q241" t="s">
        <v>74</v>
      </c>
      <c r="R241" t="s">
        <v>74</v>
      </c>
      <c r="S241" t="s">
        <v>74</v>
      </c>
      <c r="T241" t="s">
        <v>74</v>
      </c>
      <c r="U241" t="s">
        <v>4806</v>
      </c>
      <c r="V241" t="s">
        <v>4807</v>
      </c>
      <c r="W241" t="s">
        <v>4808</v>
      </c>
      <c r="X241" t="s">
        <v>4809</v>
      </c>
      <c r="Y241" t="s">
        <v>4810</v>
      </c>
      <c r="Z241" t="s">
        <v>4811</v>
      </c>
      <c r="AA241" t="s">
        <v>74</v>
      </c>
      <c r="AB241" t="s">
        <v>74</v>
      </c>
      <c r="AC241" t="s">
        <v>4812</v>
      </c>
      <c r="AD241" t="s">
        <v>4812</v>
      </c>
      <c r="AE241" t="s">
        <v>4812</v>
      </c>
      <c r="AF241" t="s">
        <v>74</v>
      </c>
      <c r="AG241">
        <v>23</v>
      </c>
      <c r="AH241">
        <v>0</v>
      </c>
      <c r="AI241">
        <v>0</v>
      </c>
      <c r="AJ241">
        <v>0</v>
      </c>
      <c r="AK241">
        <v>0</v>
      </c>
      <c r="AL241" t="s">
        <v>117</v>
      </c>
      <c r="AM241" t="s">
        <v>118</v>
      </c>
      <c r="AN241" t="s">
        <v>119</v>
      </c>
      <c r="AO241" t="s">
        <v>4813</v>
      </c>
      <c r="AP241" t="s">
        <v>4814</v>
      </c>
      <c r="AQ241" t="s">
        <v>74</v>
      </c>
      <c r="AR241" t="s">
        <v>4815</v>
      </c>
      <c r="AS241" t="s">
        <v>4816</v>
      </c>
      <c r="AT241" t="s">
        <v>4696</v>
      </c>
      <c r="AU241">
        <v>2023</v>
      </c>
      <c r="AV241" t="s">
        <v>74</v>
      </c>
      <c r="AW241" t="s">
        <v>74</v>
      </c>
      <c r="AX241" t="s">
        <v>74</v>
      </c>
      <c r="AY241" t="s">
        <v>74</v>
      </c>
      <c r="AZ241" t="s">
        <v>74</v>
      </c>
      <c r="BA241" t="s">
        <v>74</v>
      </c>
      <c r="BB241" t="s">
        <v>74</v>
      </c>
      <c r="BC241" t="s">
        <v>74</v>
      </c>
      <c r="BD241" t="s">
        <v>74</v>
      </c>
      <c r="BE241" t="s">
        <v>4817</v>
      </c>
      <c r="BF241" t="str">
        <f>HYPERLINK("http://dx.doi.org/10.1007/s00231-023-03423-2","http://dx.doi.org/10.1007/s00231-023-03423-2")</f>
        <v>http://dx.doi.org/10.1007/s00231-023-03423-2</v>
      </c>
      <c r="BG241" t="s">
        <v>74</v>
      </c>
      <c r="BH241" t="s">
        <v>2079</v>
      </c>
      <c r="BI241">
        <v>12</v>
      </c>
      <c r="BJ241" t="s">
        <v>4818</v>
      </c>
      <c r="BK241" t="s">
        <v>126</v>
      </c>
      <c r="BL241" t="s">
        <v>4818</v>
      </c>
      <c r="BM241" t="s">
        <v>4819</v>
      </c>
      <c r="BN241" t="s">
        <v>74</v>
      </c>
      <c r="BO241" t="s">
        <v>74</v>
      </c>
      <c r="BP241" t="s">
        <v>74</v>
      </c>
      <c r="BQ241" t="s">
        <v>74</v>
      </c>
      <c r="BR241" t="s">
        <v>99</v>
      </c>
      <c r="BS241" t="s">
        <v>4820</v>
      </c>
      <c r="BT241" t="str">
        <f>HYPERLINK("https%3A%2F%2Fwww.webofscience.com%2Fwos%2Fwoscc%2Ffull-record%2FWOS:001064529600001","View Full Record in Web of Science")</f>
        <v>View Full Record in Web of Science</v>
      </c>
    </row>
    <row r="242" spans="1:72" x14ac:dyDescent="0.15">
      <c r="A242" t="s">
        <v>72</v>
      </c>
      <c r="B242" t="s">
        <v>4821</v>
      </c>
      <c r="C242" t="s">
        <v>74</v>
      </c>
      <c r="D242" t="s">
        <v>74</v>
      </c>
      <c r="E242" t="s">
        <v>74</v>
      </c>
      <c r="F242" t="s">
        <v>4822</v>
      </c>
      <c r="G242" t="s">
        <v>74</v>
      </c>
      <c r="H242" t="s">
        <v>74</v>
      </c>
      <c r="I242" t="s">
        <v>4823</v>
      </c>
      <c r="J242" t="s">
        <v>4824</v>
      </c>
      <c r="K242" t="s">
        <v>74</v>
      </c>
      <c r="L242" t="s">
        <v>74</v>
      </c>
      <c r="M242" t="s">
        <v>78</v>
      </c>
      <c r="N242" t="s">
        <v>1246</v>
      </c>
      <c r="O242" t="s">
        <v>74</v>
      </c>
      <c r="P242" t="s">
        <v>74</v>
      </c>
      <c r="Q242" t="s">
        <v>74</v>
      </c>
      <c r="R242" t="s">
        <v>74</v>
      </c>
      <c r="S242" t="s">
        <v>74</v>
      </c>
      <c r="T242" t="s">
        <v>4825</v>
      </c>
      <c r="U242" t="s">
        <v>4826</v>
      </c>
      <c r="V242" t="s">
        <v>4827</v>
      </c>
      <c r="W242" t="s">
        <v>4828</v>
      </c>
      <c r="X242" t="s">
        <v>4829</v>
      </c>
      <c r="Y242" t="s">
        <v>4830</v>
      </c>
      <c r="Z242" t="s">
        <v>4831</v>
      </c>
      <c r="AA242" t="s">
        <v>4832</v>
      </c>
      <c r="AB242" t="s">
        <v>4833</v>
      </c>
      <c r="AC242" t="s">
        <v>4834</v>
      </c>
      <c r="AD242" t="s">
        <v>4834</v>
      </c>
      <c r="AE242" t="s">
        <v>4835</v>
      </c>
      <c r="AF242" t="s">
        <v>74</v>
      </c>
      <c r="AG242">
        <v>50</v>
      </c>
      <c r="AH242">
        <v>0</v>
      </c>
      <c r="AI242">
        <v>0</v>
      </c>
      <c r="AJ242">
        <v>0</v>
      </c>
      <c r="AK242">
        <v>0</v>
      </c>
      <c r="AL242" t="s">
        <v>172</v>
      </c>
      <c r="AM242" t="s">
        <v>173</v>
      </c>
      <c r="AN242" t="s">
        <v>174</v>
      </c>
      <c r="AO242" t="s">
        <v>4836</v>
      </c>
      <c r="AP242" t="s">
        <v>4837</v>
      </c>
      <c r="AQ242" t="s">
        <v>74</v>
      </c>
      <c r="AR242" t="s">
        <v>4838</v>
      </c>
      <c r="AS242" t="s">
        <v>4839</v>
      </c>
      <c r="AT242" t="s">
        <v>4696</v>
      </c>
      <c r="AU242">
        <v>2023</v>
      </c>
      <c r="AV242" t="s">
        <v>74</v>
      </c>
      <c r="AW242" t="s">
        <v>74</v>
      </c>
      <c r="AX242" t="s">
        <v>74</v>
      </c>
      <c r="AY242" t="s">
        <v>74</v>
      </c>
      <c r="AZ242" t="s">
        <v>74</v>
      </c>
      <c r="BA242" t="s">
        <v>74</v>
      </c>
      <c r="BB242" t="s">
        <v>74</v>
      </c>
      <c r="BC242" t="s">
        <v>74</v>
      </c>
      <c r="BD242" t="s">
        <v>74</v>
      </c>
      <c r="BE242" t="s">
        <v>4840</v>
      </c>
      <c r="BF242" t="str">
        <f>HYPERLINK("http://dx.doi.org/10.1007/s13202-023-01694-3","http://dx.doi.org/10.1007/s13202-023-01694-3")</f>
        <v>http://dx.doi.org/10.1007/s13202-023-01694-3</v>
      </c>
      <c r="BG242" t="s">
        <v>74</v>
      </c>
      <c r="BH242" t="s">
        <v>2079</v>
      </c>
      <c r="BI242">
        <v>15</v>
      </c>
      <c r="BJ242" t="s">
        <v>4841</v>
      </c>
      <c r="BK242" t="s">
        <v>126</v>
      </c>
      <c r="BL242" t="s">
        <v>181</v>
      </c>
      <c r="BM242" t="s">
        <v>4842</v>
      </c>
      <c r="BN242" t="s">
        <v>74</v>
      </c>
      <c r="BO242" t="s">
        <v>74</v>
      </c>
      <c r="BP242" t="s">
        <v>74</v>
      </c>
      <c r="BQ242" t="s">
        <v>74</v>
      </c>
      <c r="BR242" t="s">
        <v>99</v>
      </c>
      <c r="BS242" t="s">
        <v>4843</v>
      </c>
      <c r="BT242" t="str">
        <f>HYPERLINK("https%3A%2F%2Fwww.webofscience.com%2Fwos%2Fwoscc%2Ffull-record%2FWOS:001064716500001","View Full Record in Web of Science")</f>
        <v>View Full Record in Web of Science</v>
      </c>
    </row>
    <row r="243" spans="1:72" x14ac:dyDescent="0.15">
      <c r="A243" t="s">
        <v>72</v>
      </c>
      <c r="B243" t="s">
        <v>4844</v>
      </c>
      <c r="C243" t="s">
        <v>74</v>
      </c>
      <c r="D243" t="s">
        <v>74</v>
      </c>
      <c r="E243" t="s">
        <v>74</v>
      </c>
      <c r="F243" t="s">
        <v>4845</v>
      </c>
      <c r="G243" t="s">
        <v>74</v>
      </c>
      <c r="H243" t="s">
        <v>74</v>
      </c>
      <c r="I243" t="s">
        <v>4846</v>
      </c>
      <c r="J243" t="s">
        <v>4847</v>
      </c>
      <c r="K243" t="s">
        <v>74</v>
      </c>
      <c r="L243" t="s">
        <v>74</v>
      </c>
      <c r="M243" t="s">
        <v>78</v>
      </c>
      <c r="N243" t="s">
        <v>79</v>
      </c>
      <c r="O243" t="s">
        <v>74</v>
      </c>
      <c r="P243" t="s">
        <v>74</v>
      </c>
      <c r="Q243" t="s">
        <v>74</v>
      </c>
      <c r="R243" t="s">
        <v>74</v>
      </c>
      <c r="S243" t="s">
        <v>74</v>
      </c>
      <c r="T243" t="s">
        <v>4848</v>
      </c>
      <c r="U243" t="s">
        <v>4849</v>
      </c>
      <c r="V243" t="s">
        <v>4850</v>
      </c>
      <c r="W243" t="s">
        <v>4851</v>
      </c>
      <c r="X243" t="s">
        <v>4852</v>
      </c>
      <c r="Y243" t="s">
        <v>4853</v>
      </c>
      <c r="Z243" t="s">
        <v>4854</v>
      </c>
      <c r="AA243" t="s">
        <v>74</v>
      </c>
      <c r="AB243" t="s">
        <v>4855</v>
      </c>
      <c r="AC243" t="s">
        <v>4856</v>
      </c>
      <c r="AD243" t="s">
        <v>4856</v>
      </c>
      <c r="AE243" t="s">
        <v>4857</v>
      </c>
      <c r="AF243" t="s">
        <v>74</v>
      </c>
      <c r="AG243">
        <v>21</v>
      </c>
      <c r="AH243">
        <v>0</v>
      </c>
      <c r="AI243">
        <v>0</v>
      </c>
      <c r="AJ243">
        <v>0</v>
      </c>
      <c r="AK243">
        <v>0</v>
      </c>
      <c r="AL243" t="s">
        <v>317</v>
      </c>
      <c r="AM243" t="s">
        <v>245</v>
      </c>
      <c r="AN243" t="s">
        <v>318</v>
      </c>
      <c r="AO243" t="s">
        <v>74</v>
      </c>
      <c r="AP243" t="s">
        <v>4858</v>
      </c>
      <c r="AQ243" t="s">
        <v>74</v>
      </c>
      <c r="AR243" t="s">
        <v>4859</v>
      </c>
      <c r="AS243" t="s">
        <v>4860</v>
      </c>
      <c r="AT243" t="s">
        <v>4674</v>
      </c>
      <c r="AU243">
        <v>2023</v>
      </c>
      <c r="AV243">
        <v>11</v>
      </c>
      <c r="AW243">
        <v>1</v>
      </c>
      <c r="AX243" t="s">
        <v>74</v>
      </c>
      <c r="AY243" t="s">
        <v>74</v>
      </c>
      <c r="AZ243" t="s">
        <v>74</v>
      </c>
      <c r="BA243" t="s">
        <v>74</v>
      </c>
      <c r="BB243" t="s">
        <v>74</v>
      </c>
      <c r="BC243" t="s">
        <v>74</v>
      </c>
      <c r="BD243">
        <v>37</v>
      </c>
      <c r="BE243" t="s">
        <v>4861</v>
      </c>
      <c r="BF243" t="str">
        <f>HYPERLINK("http://dx.doi.org/10.1186/s40352-023-00232-x","http://dx.doi.org/10.1186/s40352-023-00232-x")</f>
        <v>http://dx.doi.org/10.1186/s40352-023-00232-x</v>
      </c>
      <c r="BG243" t="s">
        <v>74</v>
      </c>
      <c r="BH243" t="s">
        <v>74</v>
      </c>
      <c r="BI243">
        <v>7</v>
      </c>
      <c r="BJ243" t="s">
        <v>4862</v>
      </c>
      <c r="BK243" t="s">
        <v>97</v>
      </c>
      <c r="BL243" t="s">
        <v>4862</v>
      </c>
      <c r="BM243" t="s">
        <v>4863</v>
      </c>
      <c r="BN243">
        <v>37698704</v>
      </c>
      <c r="BO243" t="s">
        <v>302</v>
      </c>
      <c r="BP243" t="s">
        <v>74</v>
      </c>
      <c r="BQ243" t="s">
        <v>74</v>
      </c>
      <c r="BR243" t="s">
        <v>99</v>
      </c>
      <c r="BS243" t="s">
        <v>4864</v>
      </c>
      <c r="BT243" t="str">
        <f>HYPERLINK("https%3A%2F%2Fwww.webofscience.com%2Fwos%2Fwoscc%2Ffull-record%2FWOS:001065919900001","View Full Record in Web of Science")</f>
        <v>View Full Record in Web of Science</v>
      </c>
    </row>
    <row r="244" spans="1:72" x14ac:dyDescent="0.15">
      <c r="A244" t="s">
        <v>72</v>
      </c>
      <c r="B244" t="s">
        <v>4865</v>
      </c>
      <c r="C244" t="s">
        <v>74</v>
      </c>
      <c r="D244" t="s">
        <v>74</v>
      </c>
      <c r="E244" t="s">
        <v>74</v>
      </c>
      <c r="F244" t="s">
        <v>4866</v>
      </c>
      <c r="G244" t="s">
        <v>74</v>
      </c>
      <c r="H244" t="s">
        <v>74</v>
      </c>
      <c r="I244" t="s">
        <v>4867</v>
      </c>
      <c r="J244" t="s">
        <v>4868</v>
      </c>
      <c r="K244" t="s">
        <v>74</v>
      </c>
      <c r="L244" t="s">
        <v>74</v>
      </c>
      <c r="M244" t="s">
        <v>78</v>
      </c>
      <c r="N244" t="s">
        <v>2174</v>
      </c>
      <c r="O244" t="s">
        <v>74</v>
      </c>
      <c r="P244" t="s">
        <v>74</v>
      </c>
      <c r="Q244" t="s">
        <v>74</v>
      </c>
      <c r="R244" t="s">
        <v>74</v>
      </c>
      <c r="S244" t="s">
        <v>74</v>
      </c>
      <c r="T244" t="s">
        <v>4869</v>
      </c>
      <c r="U244" t="s">
        <v>4870</v>
      </c>
      <c r="V244" t="s">
        <v>4871</v>
      </c>
      <c r="W244" t="s">
        <v>4872</v>
      </c>
      <c r="X244" t="s">
        <v>4873</v>
      </c>
      <c r="Y244" t="s">
        <v>4874</v>
      </c>
      <c r="Z244" t="s">
        <v>4875</v>
      </c>
      <c r="AA244" t="s">
        <v>74</v>
      </c>
      <c r="AB244" t="s">
        <v>74</v>
      </c>
      <c r="AC244" t="s">
        <v>74</v>
      </c>
      <c r="AD244" t="s">
        <v>74</v>
      </c>
      <c r="AE244" t="s">
        <v>74</v>
      </c>
      <c r="AF244" t="s">
        <v>74</v>
      </c>
      <c r="AG244">
        <v>146</v>
      </c>
      <c r="AH244">
        <v>0</v>
      </c>
      <c r="AI244">
        <v>0</v>
      </c>
      <c r="AJ244">
        <v>2</v>
      </c>
      <c r="AK244">
        <v>2</v>
      </c>
      <c r="AL244" t="s">
        <v>172</v>
      </c>
      <c r="AM244" t="s">
        <v>173</v>
      </c>
      <c r="AN244" t="s">
        <v>174</v>
      </c>
      <c r="AO244" t="s">
        <v>4876</v>
      </c>
      <c r="AP244" t="s">
        <v>4877</v>
      </c>
      <c r="AQ244" t="s">
        <v>74</v>
      </c>
      <c r="AR244" t="s">
        <v>4878</v>
      </c>
      <c r="AS244" t="s">
        <v>4879</v>
      </c>
      <c r="AT244" t="s">
        <v>4696</v>
      </c>
      <c r="AU244">
        <v>2023</v>
      </c>
      <c r="AV244" t="s">
        <v>74</v>
      </c>
      <c r="AW244" t="s">
        <v>74</v>
      </c>
      <c r="AX244" t="s">
        <v>74</v>
      </c>
      <c r="AY244" t="s">
        <v>74</v>
      </c>
      <c r="AZ244" t="s">
        <v>74</v>
      </c>
      <c r="BA244" t="s">
        <v>74</v>
      </c>
      <c r="BB244" t="s">
        <v>74</v>
      </c>
      <c r="BC244" t="s">
        <v>74</v>
      </c>
      <c r="BD244" t="s">
        <v>74</v>
      </c>
      <c r="BE244" t="s">
        <v>4880</v>
      </c>
      <c r="BF244" t="str">
        <f>HYPERLINK("http://dx.doi.org/10.1007/s13353-023-00786-4","http://dx.doi.org/10.1007/s13353-023-00786-4")</f>
        <v>http://dx.doi.org/10.1007/s13353-023-00786-4</v>
      </c>
      <c r="BG244" t="s">
        <v>74</v>
      </c>
      <c r="BH244" t="s">
        <v>2079</v>
      </c>
      <c r="BI244">
        <v>17</v>
      </c>
      <c r="BJ244" t="s">
        <v>4881</v>
      </c>
      <c r="BK244" t="s">
        <v>126</v>
      </c>
      <c r="BL244" t="s">
        <v>4881</v>
      </c>
      <c r="BM244" t="s">
        <v>4882</v>
      </c>
      <c r="BN244">
        <v>37698765</v>
      </c>
      <c r="BO244" t="s">
        <v>74</v>
      </c>
      <c r="BP244" t="s">
        <v>74</v>
      </c>
      <c r="BQ244" t="s">
        <v>74</v>
      </c>
      <c r="BR244" t="s">
        <v>99</v>
      </c>
      <c r="BS244" t="s">
        <v>4883</v>
      </c>
      <c r="BT244" t="str">
        <f>HYPERLINK("https%3A%2F%2Fwww.webofscience.com%2Fwos%2Fwoscc%2Ffull-record%2FWOS:001067506300001","View Full Record in Web of Science")</f>
        <v>View Full Record in Web of Science</v>
      </c>
    </row>
    <row r="245" spans="1:72" x14ac:dyDescent="0.15">
      <c r="A245" t="s">
        <v>72</v>
      </c>
      <c r="B245" t="s">
        <v>4884</v>
      </c>
      <c r="C245" t="s">
        <v>74</v>
      </c>
      <c r="D245" t="s">
        <v>74</v>
      </c>
      <c r="E245" t="s">
        <v>74</v>
      </c>
      <c r="F245" t="s">
        <v>4885</v>
      </c>
      <c r="G245" t="s">
        <v>74</v>
      </c>
      <c r="H245" t="s">
        <v>74</v>
      </c>
      <c r="I245" t="s">
        <v>4886</v>
      </c>
      <c r="J245" t="s">
        <v>4887</v>
      </c>
      <c r="K245" t="s">
        <v>74</v>
      </c>
      <c r="L245" t="s">
        <v>74</v>
      </c>
      <c r="M245" t="s">
        <v>78</v>
      </c>
      <c r="N245" t="s">
        <v>105</v>
      </c>
      <c r="O245" t="s">
        <v>74</v>
      </c>
      <c r="P245" t="s">
        <v>74</v>
      </c>
      <c r="Q245" t="s">
        <v>74</v>
      </c>
      <c r="R245" t="s">
        <v>74</v>
      </c>
      <c r="S245" t="s">
        <v>74</v>
      </c>
      <c r="T245" t="s">
        <v>4888</v>
      </c>
      <c r="U245" t="s">
        <v>4889</v>
      </c>
      <c r="V245" t="s">
        <v>4890</v>
      </c>
      <c r="W245" t="s">
        <v>4891</v>
      </c>
      <c r="X245" t="s">
        <v>4892</v>
      </c>
      <c r="Y245" t="s">
        <v>4893</v>
      </c>
      <c r="Z245" t="s">
        <v>4894</v>
      </c>
      <c r="AA245" t="s">
        <v>4895</v>
      </c>
      <c r="AB245" t="s">
        <v>4896</v>
      </c>
      <c r="AC245" t="s">
        <v>932</v>
      </c>
      <c r="AD245" t="s">
        <v>932</v>
      </c>
      <c r="AE245" t="s">
        <v>932</v>
      </c>
      <c r="AF245" t="s">
        <v>74</v>
      </c>
      <c r="AG245">
        <v>326</v>
      </c>
      <c r="AH245">
        <v>0</v>
      </c>
      <c r="AI245">
        <v>0</v>
      </c>
      <c r="AJ245">
        <v>8</v>
      </c>
      <c r="AK245">
        <v>8</v>
      </c>
      <c r="AL245" t="s">
        <v>443</v>
      </c>
      <c r="AM245" t="s">
        <v>245</v>
      </c>
      <c r="AN245" t="s">
        <v>444</v>
      </c>
      <c r="AO245" t="s">
        <v>74</v>
      </c>
      <c r="AP245" t="s">
        <v>4897</v>
      </c>
      <c r="AQ245" t="s">
        <v>74</v>
      </c>
      <c r="AR245" t="s">
        <v>4898</v>
      </c>
      <c r="AS245" t="s">
        <v>4899</v>
      </c>
      <c r="AT245" t="s">
        <v>4674</v>
      </c>
      <c r="AU245">
        <v>2023</v>
      </c>
      <c r="AV245">
        <v>16</v>
      </c>
      <c r="AW245">
        <v>1</v>
      </c>
      <c r="AX245" t="s">
        <v>74</v>
      </c>
      <c r="AY245" t="s">
        <v>74</v>
      </c>
      <c r="AZ245" t="s">
        <v>74</v>
      </c>
      <c r="BA245" t="s">
        <v>74</v>
      </c>
      <c r="BB245" t="s">
        <v>74</v>
      </c>
      <c r="BC245" t="s">
        <v>74</v>
      </c>
      <c r="BD245">
        <v>103</v>
      </c>
      <c r="BE245" t="s">
        <v>4900</v>
      </c>
      <c r="BF245" t="str">
        <f>HYPERLINK("http://dx.doi.org/10.1186/s13045-023-01498-2","http://dx.doi.org/10.1186/s13045-023-01498-2")</f>
        <v>http://dx.doi.org/10.1186/s13045-023-01498-2</v>
      </c>
      <c r="BG245" t="s">
        <v>74</v>
      </c>
      <c r="BH245" t="s">
        <v>74</v>
      </c>
      <c r="BI245">
        <v>33</v>
      </c>
      <c r="BJ245" t="s">
        <v>4616</v>
      </c>
      <c r="BK245" t="s">
        <v>126</v>
      </c>
      <c r="BL245" t="s">
        <v>4616</v>
      </c>
      <c r="BM245" t="s">
        <v>4901</v>
      </c>
      <c r="BN245">
        <v>37700339</v>
      </c>
      <c r="BO245" t="s">
        <v>302</v>
      </c>
      <c r="BP245" t="s">
        <v>74</v>
      </c>
      <c r="BQ245" t="s">
        <v>74</v>
      </c>
      <c r="BR245" t="s">
        <v>99</v>
      </c>
      <c r="BS245" t="s">
        <v>4902</v>
      </c>
      <c r="BT245" t="str">
        <f>HYPERLINK("https%3A%2F%2Fwww.webofscience.com%2Fwos%2Fwoscc%2Ffull-record%2FWOS:001064539400001","View Full Record in Web of Science")</f>
        <v>View Full Record in Web of Science</v>
      </c>
    </row>
    <row r="246" spans="1:72" x14ac:dyDescent="0.15">
      <c r="A246" t="s">
        <v>72</v>
      </c>
      <c r="B246" t="s">
        <v>4903</v>
      </c>
      <c r="C246" t="s">
        <v>74</v>
      </c>
      <c r="D246" t="s">
        <v>74</v>
      </c>
      <c r="E246" t="s">
        <v>74</v>
      </c>
      <c r="F246" t="s">
        <v>4904</v>
      </c>
      <c r="G246" t="s">
        <v>74</v>
      </c>
      <c r="H246" t="s">
        <v>74</v>
      </c>
      <c r="I246" t="s">
        <v>4905</v>
      </c>
      <c r="J246" t="s">
        <v>4906</v>
      </c>
      <c r="K246" t="s">
        <v>74</v>
      </c>
      <c r="L246" t="s">
        <v>74</v>
      </c>
      <c r="M246" t="s">
        <v>78</v>
      </c>
      <c r="N246" t="s">
        <v>1246</v>
      </c>
      <c r="O246" t="s">
        <v>74</v>
      </c>
      <c r="P246" t="s">
        <v>74</v>
      </c>
      <c r="Q246" t="s">
        <v>74</v>
      </c>
      <c r="R246" t="s">
        <v>74</v>
      </c>
      <c r="S246" t="s">
        <v>74</v>
      </c>
      <c r="T246" t="s">
        <v>4907</v>
      </c>
      <c r="U246" t="s">
        <v>4908</v>
      </c>
      <c r="V246" t="s">
        <v>4909</v>
      </c>
      <c r="W246" t="s">
        <v>4910</v>
      </c>
      <c r="X246" t="s">
        <v>4911</v>
      </c>
      <c r="Y246" t="s">
        <v>4912</v>
      </c>
      <c r="Z246" t="s">
        <v>4913</v>
      </c>
      <c r="AA246" t="s">
        <v>4914</v>
      </c>
      <c r="AB246" t="s">
        <v>4915</v>
      </c>
      <c r="AC246" t="s">
        <v>4916</v>
      </c>
      <c r="AD246" t="s">
        <v>4917</v>
      </c>
      <c r="AE246" t="s">
        <v>4918</v>
      </c>
      <c r="AF246" t="s">
        <v>74</v>
      </c>
      <c r="AG246">
        <v>44</v>
      </c>
      <c r="AH246">
        <v>1</v>
      </c>
      <c r="AI246">
        <v>1</v>
      </c>
      <c r="AJ246">
        <v>0</v>
      </c>
      <c r="AK246">
        <v>0</v>
      </c>
      <c r="AL246" t="s">
        <v>317</v>
      </c>
      <c r="AM246" t="s">
        <v>245</v>
      </c>
      <c r="AN246" t="s">
        <v>318</v>
      </c>
      <c r="AO246" t="s">
        <v>4919</v>
      </c>
      <c r="AP246" t="s">
        <v>4920</v>
      </c>
      <c r="AQ246" t="s">
        <v>74</v>
      </c>
      <c r="AR246" t="s">
        <v>4921</v>
      </c>
      <c r="AS246" t="s">
        <v>4922</v>
      </c>
      <c r="AT246" t="s">
        <v>4696</v>
      </c>
      <c r="AU246">
        <v>2023</v>
      </c>
      <c r="AV246" t="s">
        <v>74</v>
      </c>
      <c r="AW246" t="s">
        <v>74</v>
      </c>
      <c r="AX246" t="s">
        <v>74</v>
      </c>
      <c r="AY246" t="s">
        <v>74</v>
      </c>
      <c r="AZ246" t="s">
        <v>74</v>
      </c>
      <c r="BA246" t="s">
        <v>74</v>
      </c>
      <c r="BB246" t="s">
        <v>74</v>
      </c>
      <c r="BC246" t="s">
        <v>74</v>
      </c>
      <c r="BD246" t="s">
        <v>74</v>
      </c>
      <c r="BE246" t="s">
        <v>4923</v>
      </c>
      <c r="BF246" t="str">
        <f>HYPERLINK("http://dx.doi.org/10.1007/s42761-023-00213-1","http://dx.doi.org/10.1007/s42761-023-00213-1")</f>
        <v>http://dx.doi.org/10.1007/s42761-023-00213-1</v>
      </c>
      <c r="BG246" t="s">
        <v>74</v>
      </c>
      <c r="BH246" t="s">
        <v>2079</v>
      </c>
      <c r="BI246">
        <v>10</v>
      </c>
      <c r="BJ246" t="s">
        <v>4924</v>
      </c>
      <c r="BK246" t="s">
        <v>97</v>
      </c>
      <c r="BL246" t="s">
        <v>2907</v>
      </c>
      <c r="BM246" t="s">
        <v>4925</v>
      </c>
      <c r="BN246">
        <v>37744975</v>
      </c>
      <c r="BO246" t="s">
        <v>74</v>
      </c>
      <c r="BP246" t="s">
        <v>74</v>
      </c>
      <c r="BQ246" t="s">
        <v>74</v>
      </c>
      <c r="BR246" t="s">
        <v>99</v>
      </c>
      <c r="BS246" t="s">
        <v>4926</v>
      </c>
      <c r="BT246" t="str">
        <f>HYPERLINK("https%3A%2F%2Fwww.webofscience.com%2Fwos%2Fwoscc%2Ffull-record%2FWOS:001065432800001","View Full Record in Web of Science")</f>
        <v>View Full Record in Web of Science</v>
      </c>
    </row>
    <row r="247" spans="1:72" x14ac:dyDescent="0.15">
      <c r="A247" t="s">
        <v>72</v>
      </c>
      <c r="B247" t="s">
        <v>4927</v>
      </c>
      <c r="C247" t="s">
        <v>74</v>
      </c>
      <c r="D247" t="s">
        <v>74</v>
      </c>
      <c r="E247" t="s">
        <v>74</v>
      </c>
      <c r="F247" t="s">
        <v>4928</v>
      </c>
      <c r="G247" t="s">
        <v>74</v>
      </c>
      <c r="H247" t="s">
        <v>74</v>
      </c>
      <c r="I247" t="s">
        <v>4929</v>
      </c>
      <c r="J247" t="s">
        <v>4930</v>
      </c>
      <c r="K247" t="s">
        <v>74</v>
      </c>
      <c r="L247" t="s">
        <v>74</v>
      </c>
      <c r="M247" t="s">
        <v>78</v>
      </c>
      <c r="N247" t="s">
        <v>1246</v>
      </c>
      <c r="O247" t="s">
        <v>74</v>
      </c>
      <c r="P247" t="s">
        <v>74</v>
      </c>
      <c r="Q247" t="s">
        <v>74</v>
      </c>
      <c r="R247" t="s">
        <v>74</v>
      </c>
      <c r="S247" t="s">
        <v>74</v>
      </c>
      <c r="T247" t="s">
        <v>4931</v>
      </c>
      <c r="U247" t="s">
        <v>74</v>
      </c>
      <c r="V247" t="s">
        <v>4932</v>
      </c>
      <c r="W247" t="s">
        <v>4933</v>
      </c>
      <c r="X247" t="s">
        <v>4934</v>
      </c>
      <c r="Y247" t="s">
        <v>4935</v>
      </c>
      <c r="Z247" t="s">
        <v>4936</v>
      </c>
      <c r="AA247" t="s">
        <v>74</v>
      </c>
      <c r="AB247" t="s">
        <v>74</v>
      </c>
      <c r="AC247" t="s">
        <v>4937</v>
      </c>
      <c r="AD247" t="s">
        <v>4938</v>
      </c>
      <c r="AE247" t="s">
        <v>4939</v>
      </c>
      <c r="AF247" t="s">
        <v>74</v>
      </c>
      <c r="AG247">
        <v>12</v>
      </c>
      <c r="AH247">
        <v>0</v>
      </c>
      <c r="AI247">
        <v>0</v>
      </c>
      <c r="AJ247">
        <v>0</v>
      </c>
      <c r="AK247">
        <v>0</v>
      </c>
      <c r="AL247" t="s">
        <v>117</v>
      </c>
      <c r="AM247" t="s">
        <v>118</v>
      </c>
      <c r="AN247" t="s">
        <v>119</v>
      </c>
      <c r="AO247" t="s">
        <v>4940</v>
      </c>
      <c r="AP247" t="s">
        <v>4941</v>
      </c>
      <c r="AQ247" t="s">
        <v>74</v>
      </c>
      <c r="AR247" t="s">
        <v>4942</v>
      </c>
      <c r="AS247" t="s">
        <v>4943</v>
      </c>
      <c r="AT247" t="s">
        <v>4696</v>
      </c>
      <c r="AU247">
        <v>2023</v>
      </c>
      <c r="AV247" t="s">
        <v>74</v>
      </c>
      <c r="AW247" t="s">
        <v>74</v>
      </c>
      <c r="AX247" t="s">
        <v>74</v>
      </c>
      <c r="AY247" t="s">
        <v>74</v>
      </c>
      <c r="AZ247" t="s">
        <v>74</v>
      </c>
      <c r="BA247" t="s">
        <v>74</v>
      </c>
      <c r="BB247" t="s">
        <v>74</v>
      </c>
      <c r="BC247" t="s">
        <v>74</v>
      </c>
      <c r="BD247" t="s">
        <v>74</v>
      </c>
      <c r="BE247" t="s">
        <v>4944</v>
      </c>
      <c r="BF247" t="str">
        <f>HYPERLINK("http://dx.doi.org/10.1007/s11749-023-00878-7","http://dx.doi.org/10.1007/s11749-023-00878-7")</f>
        <v>http://dx.doi.org/10.1007/s11749-023-00878-7</v>
      </c>
      <c r="BG247" t="s">
        <v>74</v>
      </c>
      <c r="BH247" t="s">
        <v>2079</v>
      </c>
      <c r="BI247">
        <v>20</v>
      </c>
      <c r="BJ247" t="s">
        <v>4945</v>
      </c>
      <c r="BK247" t="s">
        <v>126</v>
      </c>
      <c r="BL247" t="s">
        <v>228</v>
      </c>
      <c r="BM247" t="s">
        <v>4946</v>
      </c>
      <c r="BN247" t="s">
        <v>74</v>
      </c>
      <c r="BO247" t="s">
        <v>1328</v>
      </c>
      <c r="BP247" t="s">
        <v>74</v>
      </c>
      <c r="BQ247" t="s">
        <v>74</v>
      </c>
      <c r="BR247" t="s">
        <v>99</v>
      </c>
      <c r="BS247" t="s">
        <v>4947</v>
      </c>
      <c r="BT247" t="str">
        <f>HYPERLINK("https%3A%2F%2Fwww.webofscience.com%2Fwos%2Fwoscc%2Ffull-record%2FWOS:001064531300001","View Full Record in Web of Science")</f>
        <v>View Full Record in Web of Science</v>
      </c>
    </row>
    <row r="248" spans="1:72" x14ac:dyDescent="0.15">
      <c r="A248" t="s">
        <v>72</v>
      </c>
      <c r="B248" t="s">
        <v>4948</v>
      </c>
      <c r="C248" t="s">
        <v>74</v>
      </c>
      <c r="D248" t="s">
        <v>74</v>
      </c>
      <c r="E248" t="s">
        <v>74</v>
      </c>
      <c r="F248" t="s">
        <v>4949</v>
      </c>
      <c r="G248" t="s">
        <v>74</v>
      </c>
      <c r="H248" t="s">
        <v>74</v>
      </c>
      <c r="I248" t="s">
        <v>4950</v>
      </c>
      <c r="J248" t="s">
        <v>4951</v>
      </c>
      <c r="K248" t="s">
        <v>74</v>
      </c>
      <c r="L248" t="s">
        <v>74</v>
      </c>
      <c r="M248" t="s">
        <v>78</v>
      </c>
      <c r="N248" t="s">
        <v>1246</v>
      </c>
      <c r="O248" t="s">
        <v>74</v>
      </c>
      <c r="P248" t="s">
        <v>74</v>
      </c>
      <c r="Q248" t="s">
        <v>74</v>
      </c>
      <c r="R248" t="s">
        <v>74</v>
      </c>
      <c r="S248" t="s">
        <v>74</v>
      </c>
      <c r="T248" t="s">
        <v>4952</v>
      </c>
      <c r="U248" t="s">
        <v>4953</v>
      </c>
      <c r="V248" t="s">
        <v>4954</v>
      </c>
      <c r="W248" t="s">
        <v>4955</v>
      </c>
      <c r="X248" t="s">
        <v>4956</v>
      </c>
      <c r="Y248" t="s">
        <v>4957</v>
      </c>
      <c r="Z248" t="s">
        <v>4958</v>
      </c>
      <c r="AA248" t="s">
        <v>74</v>
      </c>
      <c r="AB248" t="s">
        <v>74</v>
      </c>
      <c r="AC248" t="s">
        <v>74</v>
      </c>
      <c r="AD248" t="s">
        <v>74</v>
      </c>
      <c r="AE248" t="s">
        <v>74</v>
      </c>
      <c r="AF248" t="s">
        <v>74</v>
      </c>
      <c r="AG248">
        <v>62</v>
      </c>
      <c r="AH248">
        <v>0</v>
      </c>
      <c r="AI248">
        <v>0</v>
      </c>
      <c r="AJ248">
        <v>1</v>
      </c>
      <c r="AK248">
        <v>1</v>
      </c>
      <c r="AL248" t="s">
        <v>117</v>
      </c>
      <c r="AM248" t="s">
        <v>118</v>
      </c>
      <c r="AN248" t="s">
        <v>119</v>
      </c>
      <c r="AO248" t="s">
        <v>4959</v>
      </c>
      <c r="AP248" t="s">
        <v>4960</v>
      </c>
      <c r="AQ248" t="s">
        <v>74</v>
      </c>
      <c r="AR248" t="s">
        <v>4961</v>
      </c>
      <c r="AS248" t="s">
        <v>4962</v>
      </c>
      <c r="AT248" t="s">
        <v>4696</v>
      </c>
      <c r="AU248">
        <v>2023</v>
      </c>
      <c r="AV248" t="s">
        <v>74</v>
      </c>
      <c r="AW248" t="s">
        <v>74</v>
      </c>
      <c r="AX248" t="s">
        <v>74</v>
      </c>
      <c r="AY248" t="s">
        <v>74</v>
      </c>
      <c r="AZ248" t="s">
        <v>74</v>
      </c>
      <c r="BA248" t="s">
        <v>74</v>
      </c>
      <c r="BB248" t="s">
        <v>74</v>
      </c>
      <c r="BC248" t="s">
        <v>74</v>
      </c>
      <c r="BD248" t="s">
        <v>74</v>
      </c>
      <c r="BE248" t="s">
        <v>4963</v>
      </c>
      <c r="BF248" t="str">
        <f>HYPERLINK("http://dx.doi.org/10.1007/s12119-023-10138-3","http://dx.doi.org/10.1007/s12119-023-10138-3")</f>
        <v>http://dx.doi.org/10.1007/s12119-023-10138-3</v>
      </c>
      <c r="BG248" t="s">
        <v>74</v>
      </c>
      <c r="BH248" t="s">
        <v>2079</v>
      </c>
      <c r="BI248">
        <v>19</v>
      </c>
      <c r="BJ248" t="s">
        <v>713</v>
      </c>
      <c r="BK248" t="s">
        <v>97</v>
      </c>
      <c r="BL248" t="s">
        <v>714</v>
      </c>
      <c r="BM248" t="s">
        <v>4964</v>
      </c>
      <c r="BN248" t="s">
        <v>74</v>
      </c>
      <c r="BO248" t="s">
        <v>74</v>
      </c>
      <c r="BP248" t="s">
        <v>74</v>
      </c>
      <c r="BQ248" t="s">
        <v>74</v>
      </c>
      <c r="BR248" t="s">
        <v>99</v>
      </c>
      <c r="BS248" t="s">
        <v>4965</v>
      </c>
      <c r="BT248" t="str">
        <f>HYPERLINK("https%3A%2F%2Fwww.webofscience.com%2Fwos%2Fwoscc%2Ffull-record%2FWOS:001064732500001","View Full Record in Web of Science")</f>
        <v>View Full Record in Web of Science</v>
      </c>
    </row>
    <row r="249" spans="1:72" x14ac:dyDescent="0.15">
      <c r="A249" t="s">
        <v>72</v>
      </c>
      <c r="B249" t="s">
        <v>4966</v>
      </c>
      <c r="C249" t="s">
        <v>74</v>
      </c>
      <c r="D249" t="s">
        <v>74</v>
      </c>
      <c r="E249" t="s">
        <v>74</v>
      </c>
      <c r="F249" t="s">
        <v>4967</v>
      </c>
      <c r="G249" t="s">
        <v>74</v>
      </c>
      <c r="H249" t="s">
        <v>74</v>
      </c>
      <c r="I249" t="s">
        <v>4968</v>
      </c>
      <c r="J249" t="s">
        <v>4750</v>
      </c>
      <c r="K249" t="s">
        <v>74</v>
      </c>
      <c r="L249" t="s">
        <v>74</v>
      </c>
      <c r="M249" t="s">
        <v>78</v>
      </c>
      <c r="N249" t="s">
        <v>79</v>
      </c>
      <c r="O249" t="s">
        <v>74</v>
      </c>
      <c r="P249" t="s">
        <v>74</v>
      </c>
      <c r="Q249" t="s">
        <v>74</v>
      </c>
      <c r="R249" t="s">
        <v>74</v>
      </c>
      <c r="S249" t="s">
        <v>74</v>
      </c>
      <c r="T249" t="s">
        <v>74</v>
      </c>
      <c r="U249" t="s">
        <v>4969</v>
      </c>
      <c r="V249" t="s">
        <v>4970</v>
      </c>
      <c r="W249" t="s">
        <v>4971</v>
      </c>
      <c r="X249" t="s">
        <v>4972</v>
      </c>
      <c r="Y249" t="s">
        <v>4973</v>
      </c>
      <c r="Z249" t="s">
        <v>4974</v>
      </c>
      <c r="AA249" t="s">
        <v>74</v>
      </c>
      <c r="AB249" t="s">
        <v>74</v>
      </c>
      <c r="AC249" t="s">
        <v>4975</v>
      </c>
      <c r="AD249" t="s">
        <v>4976</v>
      </c>
      <c r="AE249" t="s">
        <v>4977</v>
      </c>
      <c r="AF249" t="s">
        <v>74</v>
      </c>
      <c r="AG249">
        <v>58</v>
      </c>
      <c r="AH249">
        <v>0</v>
      </c>
      <c r="AI249">
        <v>0</v>
      </c>
      <c r="AJ249">
        <v>4</v>
      </c>
      <c r="AK249">
        <v>4</v>
      </c>
      <c r="AL249" t="s">
        <v>317</v>
      </c>
      <c r="AM249" t="s">
        <v>245</v>
      </c>
      <c r="AN249" t="s">
        <v>318</v>
      </c>
      <c r="AO249" t="s">
        <v>4756</v>
      </c>
      <c r="AP249" t="s">
        <v>4757</v>
      </c>
      <c r="AQ249" t="s">
        <v>74</v>
      </c>
      <c r="AR249" t="s">
        <v>4758</v>
      </c>
      <c r="AS249" t="s">
        <v>4759</v>
      </c>
      <c r="AT249" t="s">
        <v>4674</v>
      </c>
      <c r="AU249">
        <v>2023</v>
      </c>
      <c r="AV249">
        <v>12</v>
      </c>
      <c r="AW249">
        <v>1</v>
      </c>
      <c r="AX249" t="s">
        <v>74</v>
      </c>
      <c r="AY249" t="s">
        <v>74</v>
      </c>
      <c r="AZ249" t="s">
        <v>74</v>
      </c>
      <c r="BA249" t="s">
        <v>74</v>
      </c>
      <c r="BB249" t="s">
        <v>74</v>
      </c>
      <c r="BC249" t="s">
        <v>74</v>
      </c>
      <c r="BD249">
        <v>223</v>
      </c>
      <c r="BE249" t="s">
        <v>4978</v>
      </c>
      <c r="BF249" t="str">
        <f>HYPERLINK("http://dx.doi.org/10.1038/s41377-023-01264-6","http://dx.doi.org/10.1038/s41377-023-01264-6")</f>
        <v>http://dx.doi.org/10.1038/s41377-023-01264-6</v>
      </c>
      <c r="BG249" t="s">
        <v>74</v>
      </c>
      <c r="BH249" t="s">
        <v>74</v>
      </c>
      <c r="BI249">
        <v>9</v>
      </c>
      <c r="BJ249" t="s">
        <v>3048</v>
      </c>
      <c r="BK249" t="s">
        <v>126</v>
      </c>
      <c r="BL249" t="s">
        <v>3048</v>
      </c>
      <c r="BM249" t="s">
        <v>4979</v>
      </c>
      <c r="BN249">
        <v>37696802</v>
      </c>
      <c r="BO249" t="s">
        <v>4980</v>
      </c>
      <c r="BP249" t="s">
        <v>74</v>
      </c>
      <c r="BQ249" t="s">
        <v>74</v>
      </c>
      <c r="BR249" t="s">
        <v>99</v>
      </c>
      <c r="BS249" t="s">
        <v>4981</v>
      </c>
      <c r="BT249" t="str">
        <f>HYPERLINK("https%3A%2F%2Fwww.webofscience.com%2Fwos%2Fwoscc%2Ffull-record%2FWOS:001064177700005","View Full Record in Web of Science")</f>
        <v>View Full Record in Web of Science</v>
      </c>
    </row>
    <row r="250" spans="1:72" x14ac:dyDescent="0.15">
      <c r="A250" t="s">
        <v>72</v>
      </c>
      <c r="B250" t="s">
        <v>4982</v>
      </c>
      <c r="C250" t="s">
        <v>74</v>
      </c>
      <c r="D250" t="s">
        <v>74</v>
      </c>
      <c r="E250" t="s">
        <v>74</v>
      </c>
      <c r="F250" t="s">
        <v>4983</v>
      </c>
      <c r="G250" t="s">
        <v>74</v>
      </c>
      <c r="H250" t="s">
        <v>74</v>
      </c>
      <c r="I250" t="s">
        <v>4984</v>
      </c>
      <c r="J250" t="s">
        <v>4985</v>
      </c>
      <c r="K250" t="s">
        <v>74</v>
      </c>
      <c r="L250" t="s">
        <v>74</v>
      </c>
      <c r="M250" t="s">
        <v>78</v>
      </c>
      <c r="N250" t="s">
        <v>3055</v>
      </c>
      <c r="O250" t="s">
        <v>74</v>
      </c>
      <c r="P250" t="s">
        <v>74</v>
      </c>
      <c r="Q250" t="s">
        <v>74</v>
      </c>
      <c r="R250" t="s">
        <v>74</v>
      </c>
      <c r="S250" t="s">
        <v>74</v>
      </c>
      <c r="T250" t="s">
        <v>74</v>
      </c>
      <c r="U250" t="s">
        <v>74</v>
      </c>
      <c r="V250" t="s">
        <v>74</v>
      </c>
      <c r="W250" t="s">
        <v>4986</v>
      </c>
      <c r="X250" t="s">
        <v>4987</v>
      </c>
      <c r="Y250" t="s">
        <v>4988</v>
      </c>
      <c r="Z250" t="s">
        <v>4989</v>
      </c>
      <c r="AA250" t="s">
        <v>74</v>
      </c>
      <c r="AB250" t="s">
        <v>74</v>
      </c>
      <c r="AC250" t="s">
        <v>74</v>
      </c>
      <c r="AD250" t="s">
        <v>74</v>
      </c>
      <c r="AE250" t="s">
        <v>74</v>
      </c>
      <c r="AF250" t="s">
        <v>74</v>
      </c>
      <c r="AG250">
        <v>5</v>
      </c>
      <c r="AH250">
        <v>0</v>
      </c>
      <c r="AI250">
        <v>0</v>
      </c>
      <c r="AJ250">
        <v>0</v>
      </c>
      <c r="AK250">
        <v>0</v>
      </c>
      <c r="AL250" t="s">
        <v>117</v>
      </c>
      <c r="AM250" t="s">
        <v>118</v>
      </c>
      <c r="AN250" t="s">
        <v>119</v>
      </c>
      <c r="AO250" t="s">
        <v>4990</v>
      </c>
      <c r="AP250" t="s">
        <v>4991</v>
      </c>
      <c r="AQ250" t="s">
        <v>74</v>
      </c>
      <c r="AR250" t="s">
        <v>4992</v>
      </c>
      <c r="AS250" t="s">
        <v>4993</v>
      </c>
      <c r="AT250" t="s">
        <v>4696</v>
      </c>
      <c r="AU250">
        <v>2023</v>
      </c>
      <c r="AV250" t="s">
        <v>74</v>
      </c>
      <c r="AW250" t="s">
        <v>74</v>
      </c>
      <c r="AX250" t="s">
        <v>74</v>
      </c>
      <c r="AY250" t="s">
        <v>74</v>
      </c>
      <c r="AZ250" t="s">
        <v>74</v>
      </c>
      <c r="BA250" t="s">
        <v>74</v>
      </c>
      <c r="BB250" t="s">
        <v>74</v>
      </c>
      <c r="BC250" t="s">
        <v>74</v>
      </c>
      <c r="BD250" t="s">
        <v>74</v>
      </c>
      <c r="BE250" t="s">
        <v>4994</v>
      </c>
      <c r="BF250" t="str">
        <f>HYPERLINK("http://dx.doi.org/10.1007/s00264-023-05978-5","http://dx.doi.org/10.1007/s00264-023-05978-5")</f>
        <v>http://dx.doi.org/10.1007/s00264-023-05978-5</v>
      </c>
      <c r="BG250" t="s">
        <v>74</v>
      </c>
      <c r="BH250" t="s">
        <v>2079</v>
      </c>
      <c r="BI250">
        <v>2</v>
      </c>
      <c r="BJ250" t="s">
        <v>2512</v>
      </c>
      <c r="BK250" t="s">
        <v>126</v>
      </c>
      <c r="BL250" t="s">
        <v>2512</v>
      </c>
      <c r="BM250" t="s">
        <v>4995</v>
      </c>
      <c r="BN250">
        <v>37696992</v>
      </c>
      <c r="BO250" t="s">
        <v>74</v>
      </c>
      <c r="BP250" t="s">
        <v>74</v>
      </c>
      <c r="BQ250" t="s">
        <v>74</v>
      </c>
      <c r="BR250" t="s">
        <v>99</v>
      </c>
      <c r="BS250" t="s">
        <v>4996</v>
      </c>
      <c r="BT250" t="str">
        <f>HYPERLINK("https%3A%2F%2Fwww.webofscience.com%2Fwos%2Fwoscc%2Ffull-record%2FWOS:001066387200001","View Full Record in Web of Science")</f>
        <v>View Full Record in Web of Science</v>
      </c>
    </row>
    <row r="251" spans="1:72" x14ac:dyDescent="0.15">
      <c r="A251" t="s">
        <v>72</v>
      </c>
      <c r="B251" t="s">
        <v>4997</v>
      </c>
      <c r="C251" t="s">
        <v>74</v>
      </c>
      <c r="D251" t="s">
        <v>74</v>
      </c>
      <c r="E251" t="s">
        <v>74</v>
      </c>
      <c r="F251" t="s">
        <v>4998</v>
      </c>
      <c r="G251" t="s">
        <v>74</v>
      </c>
      <c r="H251" t="s">
        <v>74</v>
      </c>
      <c r="I251" t="s">
        <v>4999</v>
      </c>
      <c r="J251" t="s">
        <v>5000</v>
      </c>
      <c r="K251" t="s">
        <v>74</v>
      </c>
      <c r="L251" t="s">
        <v>74</v>
      </c>
      <c r="M251" t="s">
        <v>78</v>
      </c>
      <c r="N251" t="s">
        <v>3139</v>
      </c>
      <c r="O251" t="s">
        <v>74</v>
      </c>
      <c r="P251" t="s">
        <v>74</v>
      </c>
      <c r="Q251" t="s">
        <v>74</v>
      </c>
      <c r="R251" t="s">
        <v>74</v>
      </c>
      <c r="S251" t="s">
        <v>74</v>
      </c>
      <c r="T251" t="s">
        <v>74</v>
      </c>
      <c r="U251" t="s">
        <v>74</v>
      </c>
      <c r="V251" t="s">
        <v>74</v>
      </c>
      <c r="W251" t="s">
        <v>5001</v>
      </c>
      <c r="X251" t="s">
        <v>5002</v>
      </c>
      <c r="Y251" t="s">
        <v>5003</v>
      </c>
      <c r="Z251" t="s">
        <v>5004</v>
      </c>
      <c r="AA251" t="s">
        <v>74</v>
      </c>
      <c r="AB251" t="s">
        <v>74</v>
      </c>
      <c r="AC251" t="s">
        <v>74</v>
      </c>
      <c r="AD251" t="s">
        <v>74</v>
      </c>
      <c r="AE251" t="s">
        <v>74</v>
      </c>
      <c r="AF251" t="s">
        <v>74</v>
      </c>
      <c r="AG251">
        <v>22</v>
      </c>
      <c r="AH251">
        <v>0</v>
      </c>
      <c r="AI251">
        <v>0</v>
      </c>
      <c r="AJ251">
        <v>0</v>
      </c>
      <c r="AK251">
        <v>0</v>
      </c>
      <c r="AL251" t="s">
        <v>117</v>
      </c>
      <c r="AM251" t="s">
        <v>118</v>
      </c>
      <c r="AN251" t="s">
        <v>119</v>
      </c>
      <c r="AO251" t="s">
        <v>5005</v>
      </c>
      <c r="AP251" t="s">
        <v>5006</v>
      </c>
      <c r="AQ251" t="s">
        <v>74</v>
      </c>
      <c r="AR251" t="s">
        <v>5007</v>
      </c>
      <c r="AS251" t="s">
        <v>5008</v>
      </c>
      <c r="AT251" t="s">
        <v>4696</v>
      </c>
      <c r="AU251">
        <v>2023</v>
      </c>
      <c r="AV251" t="s">
        <v>74</v>
      </c>
      <c r="AW251" t="s">
        <v>74</v>
      </c>
      <c r="AX251" t="s">
        <v>74</v>
      </c>
      <c r="AY251" t="s">
        <v>74</v>
      </c>
      <c r="AZ251" t="s">
        <v>74</v>
      </c>
      <c r="BA251" t="s">
        <v>74</v>
      </c>
      <c r="BB251" t="s">
        <v>74</v>
      </c>
      <c r="BC251" t="s">
        <v>74</v>
      </c>
      <c r="BD251" t="s">
        <v>74</v>
      </c>
      <c r="BE251" t="s">
        <v>5009</v>
      </c>
      <c r="BF251" t="str">
        <f>HYPERLINK("http://dx.doi.org/10.1007/s12088-023-01103-7","http://dx.doi.org/10.1007/s12088-023-01103-7")</f>
        <v>http://dx.doi.org/10.1007/s12088-023-01103-7</v>
      </c>
      <c r="BG251" t="s">
        <v>74</v>
      </c>
      <c r="BH251" t="s">
        <v>2079</v>
      </c>
      <c r="BI251">
        <v>4</v>
      </c>
      <c r="BJ251" t="s">
        <v>5010</v>
      </c>
      <c r="BK251" t="s">
        <v>126</v>
      </c>
      <c r="BL251" t="s">
        <v>5010</v>
      </c>
      <c r="BM251" t="s">
        <v>5011</v>
      </c>
      <c r="BN251">
        <v>37781007</v>
      </c>
      <c r="BO251" t="s">
        <v>762</v>
      </c>
      <c r="BP251" t="s">
        <v>74</v>
      </c>
      <c r="BQ251" t="s">
        <v>74</v>
      </c>
      <c r="BR251" t="s">
        <v>99</v>
      </c>
      <c r="BS251" t="s">
        <v>5012</v>
      </c>
      <c r="BT251" t="str">
        <f>HYPERLINK("https%3A%2F%2Fwww.webofscience.com%2Fwos%2Fwoscc%2Ffull-record%2FWOS:001066948000001","View Full Record in Web of Science")</f>
        <v>View Full Record in Web of Science</v>
      </c>
    </row>
    <row r="252" spans="1:72" x14ac:dyDescent="0.15">
      <c r="A252" t="s">
        <v>72</v>
      </c>
      <c r="B252" t="s">
        <v>5013</v>
      </c>
      <c r="C252" t="s">
        <v>74</v>
      </c>
      <c r="D252" t="s">
        <v>74</v>
      </c>
      <c r="E252" t="s">
        <v>74</v>
      </c>
      <c r="F252" t="s">
        <v>5014</v>
      </c>
      <c r="G252" t="s">
        <v>74</v>
      </c>
      <c r="H252" t="s">
        <v>74</v>
      </c>
      <c r="I252" t="s">
        <v>5015</v>
      </c>
      <c r="J252" t="s">
        <v>3855</v>
      </c>
      <c r="K252" t="s">
        <v>74</v>
      </c>
      <c r="L252" t="s">
        <v>74</v>
      </c>
      <c r="M252" t="s">
        <v>78</v>
      </c>
      <c r="N252" t="s">
        <v>1246</v>
      </c>
      <c r="O252" t="s">
        <v>74</v>
      </c>
      <c r="P252" t="s">
        <v>74</v>
      </c>
      <c r="Q252" t="s">
        <v>74</v>
      </c>
      <c r="R252" t="s">
        <v>74</v>
      </c>
      <c r="S252" t="s">
        <v>74</v>
      </c>
      <c r="T252" t="s">
        <v>5016</v>
      </c>
      <c r="U252" t="s">
        <v>5017</v>
      </c>
      <c r="V252" t="s">
        <v>5018</v>
      </c>
      <c r="W252" t="s">
        <v>5019</v>
      </c>
      <c r="X252" t="s">
        <v>5020</v>
      </c>
      <c r="Y252" t="s">
        <v>5021</v>
      </c>
      <c r="Z252" t="s">
        <v>5022</v>
      </c>
      <c r="AA252" t="s">
        <v>5023</v>
      </c>
      <c r="AB252" t="s">
        <v>5024</v>
      </c>
      <c r="AC252" t="s">
        <v>5025</v>
      </c>
      <c r="AD252" t="s">
        <v>5026</v>
      </c>
      <c r="AE252" t="s">
        <v>5027</v>
      </c>
      <c r="AF252" t="s">
        <v>74</v>
      </c>
      <c r="AG252">
        <v>40</v>
      </c>
      <c r="AH252">
        <v>0</v>
      </c>
      <c r="AI252">
        <v>0</v>
      </c>
      <c r="AJ252">
        <v>0</v>
      </c>
      <c r="AK252">
        <v>0</v>
      </c>
      <c r="AL252" t="s">
        <v>317</v>
      </c>
      <c r="AM252" t="s">
        <v>245</v>
      </c>
      <c r="AN252" t="s">
        <v>318</v>
      </c>
      <c r="AO252" t="s">
        <v>3866</v>
      </c>
      <c r="AP252" t="s">
        <v>3867</v>
      </c>
      <c r="AQ252" t="s">
        <v>74</v>
      </c>
      <c r="AR252" t="s">
        <v>3868</v>
      </c>
      <c r="AS252" t="s">
        <v>3869</v>
      </c>
      <c r="AT252" t="s">
        <v>4696</v>
      </c>
      <c r="AU252">
        <v>2023</v>
      </c>
      <c r="AV252" t="s">
        <v>74</v>
      </c>
      <c r="AW252" t="s">
        <v>74</v>
      </c>
      <c r="AX252" t="s">
        <v>74</v>
      </c>
      <c r="AY252" t="s">
        <v>74</v>
      </c>
      <c r="AZ252" t="s">
        <v>74</v>
      </c>
      <c r="BA252" t="s">
        <v>74</v>
      </c>
      <c r="BB252" t="s">
        <v>74</v>
      </c>
      <c r="BC252" t="s">
        <v>74</v>
      </c>
      <c r="BD252" t="s">
        <v>74</v>
      </c>
      <c r="BE252" t="s">
        <v>5028</v>
      </c>
      <c r="BF252" t="str">
        <f>HYPERLINK("http://dx.doi.org/10.1007/s12011-023-03851-5","http://dx.doi.org/10.1007/s12011-023-03851-5")</f>
        <v>http://dx.doi.org/10.1007/s12011-023-03851-5</v>
      </c>
      <c r="BG252" t="s">
        <v>74</v>
      </c>
      <c r="BH252" t="s">
        <v>2079</v>
      </c>
      <c r="BI252">
        <v>12</v>
      </c>
      <c r="BJ252" t="s">
        <v>3871</v>
      </c>
      <c r="BK252" t="s">
        <v>126</v>
      </c>
      <c r="BL252" t="s">
        <v>3871</v>
      </c>
      <c r="BM252" t="s">
        <v>5029</v>
      </c>
      <c r="BN252">
        <v>37697136</v>
      </c>
      <c r="BO252" t="s">
        <v>74</v>
      </c>
      <c r="BP252" t="s">
        <v>74</v>
      </c>
      <c r="BQ252" t="s">
        <v>74</v>
      </c>
      <c r="BR252" t="s">
        <v>99</v>
      </c>
      <c r="BS252" t="s">
        <v>5030</v>
      </c>
      <c r="BT252" t="str">
        <f>HYPERLINK("https%3A%2F%2Fwww.webofscience.com%2Fwos%2Fwoscc%2Ffull-record%2FWOS:001063378000001","View Full Record in Web of Science")</f>
        <v>View Full Record in Web of Science</v>
      </c>
    </row>
    <row r="253" spans="1:72" x14ac:dyDescent="0.15">
      <c r="A253" t="s">
        <v>72</v>
      </c>
      <c r="B253" t="s">
        <v>5031</v>
      </c>
      <c r="C253" t="s">
        <v>74</v>
      </c>
      <c r="D253" t="s">
        <v>74</v>
      </c>
      <c r="E253" t="s">
        <v>74</v>
      </c>
      <c r="F253" t="s">
        <v>5032</v>
      </c>
      <c r="G253" t="s">
        <v>74</v>
      </c>
      <c r="H253" t="s">
        <v>74</v>
      </c>
      <c r="I253" t="s">
        <v>5033</v>
      </c>
      <c r="J253" t="s">
        <v>2360</v>
      </c>
      <c r="K253" t="s">
        <v>74</v>
      </c>
      <c r="L253" t="s">
        <v>74</v>
      </c>
      <c r="M253" t="s">
        <v>78</v>
      </c>
      <c r="N253" t="s">
        <v>1246</v>
      </c>
      <c r="O253" t="s">
        <v>74</v>
      </c>
      <c r="P253" t="s">
        <v>74</v>
      </c>
      <c r="Q253" t="s">
        <v>74</v>
      </c>
      <c r="R253" t="s">
        <v>74</v>
      </c>
      <c r="S253" t="s">
        <v>74</v>
      </c>
      <c r="T253" t="s">
        <v>5034</v>
      </c>
      <c r="U253" t="s">
        <v>5035</v>
      </c>
      <c r="V253" t="s">
        <v>5036</v>
      </c>
      <c r="W253" t="s">
        <v>5037</v>
      </c>
      <c r="X253" t="s">
        <v>5038</v>
      </c>
      <c r="Y253" t="s">
        <v>5039</v>
      </c>
      <c r="Z253" t="s">
        <v>5040</v>
      </c>
      <c r="AA253" t="s">
        <v>74</v>
      </c>
      <c r="AB253" t="s">
        <v>74</v>
      </c>
      <c r="AC253" t="s">
        <v>74</v>
      </c>
      <c r="AD253" t="s">
        <v>74</v>
      </c>
      <c r="AE253" t="s">
        <v>74</v>
      </c>
      <c r="AF253" t="s">
        <v>74</v>
      </c>
      <c r="AG253">
        <v>19</v>
      </c>
      <c r="AH253">
        <v>0</v>
      </c>
      <c r="AI253">
        <v>0</v>
      </c>
      <c r="AJ253">
        <v>0</v>
      </c>
      <c r="AK253">
        <v>0</v>
      </c>
      <c r="AL253" t="s">
        <v>87</v>
      </c>
      <c r="AM253" t="s">
        <v>88</v>
      </c>
      <c r="AN253" t="s">
        <v>89</v>
      </c>
      <c r="AO253" t="s">
        <v>2368</v>
      </c>
      <c r="AP253" t="s">
        <v>2369</v>
      </c>
      <c r="AQ253" t="s">
        <v>74</v>
      </c>
      <c r="AR253" t="s">
        <v>2370</v>
      </c>
      <c r="AS253" t="s">
        <v>2371</v>
      </c>
      <c r="AT253" t="s">
        <v>4696</v>
      </c>
      <c r="AU253">
        <v>2023</v>
      </c>
      <c r="AV253" t="s">
        <v>74</v>
      </c>
      <c r="AW253" t="s">
        <v>74</v>
      </c>
      <c r="AX253" t="s">
        <v>74</v>
      </c>
      <c r="AY253" t="s">
        <v>74</v>
      </c>
      <c r="AZ253" t="s">
        <v>74</v>
      </c>
      <c r="BA253" t="s">
        <v>74</v>
      </c>
      <c r="BB253" t="s">
        <v>74</v>
      </c>
      <c r="BC253" t="s">
        <v>74</v>
      </c>
      <c r="BD253" t="s">
        <v>74</v>
      </c>
      <c r="BE253" t="s">
        <v>5041</v>
      </c>
      <c r="BF253" t="str">
        <f>HYPERLINK("http://dx.doi.org/10.1007/s12070-023-04198","http://dx.doi.org/10.1007/s12070-023-04198")</f>
        <v>http://dx.doi.org/10.1007/s12070-023-04198</v>
      </c>
      <c r="BG253" t="s">
        <v>74</v>
      </c>
      <c r="BH253" t="s">
        <v>2079</v>
      </c>
      <c r="BI253">
        <v>9</v>
      </c>
      <c r="BJ253" t="s">
        <v>2373</v>
      </c>
      <c r="BK253" t="s">
        <v>97</v>
      </c>
      <c r="BL253" t="s">
        <v>2373</v>
      </c>
      <c r="BM253" t="s">
        <v>5042</v>
      </c>
      <c r="BN253" t="s">
        <v>74</v>
      </c>
      <c r="BO253" t="s">
        <v>74</v>
      </c>
      <c r="BP253" t="s">
        <v>74</v>
      </c>
      <c r="BQ253" t="s">
        <v>74</v>
      </c>
      <c r="BR253" t="s">
        <v>99</v>
      </c>
      <c r="BS253" t="s">
        <v>5043</v>
      </c>
      <c r="BT253" t="str">
        <f>HYPERLINK("https%3A%2F%2Fwww.webofscience.com%2Fwos%2Fwoscc%2Ffull-record%2FWOS:001066883000002","View Full Record in Web of Science")</f>
        <v>View Full Record in Web of Science</v>
      </c>
    </row>
    <row r="254" spans="1:72" x14ac:dyDescent="0.15">
      <c r="A254" t="s">
        <v>72</v>
      </c>
      <c r="B254" t="s">
        <v>5044</v>
      </c>
      <c r="C254" t="s">
        <v>74</v>
      </c>
      <c r="D254" t="s">
        <v>74</v>
      </c>
      <c r="E254" t="s">
        <v>74</v>
      </c>
      <c r="F254" t="s">
        <v>5045</v>
      </c>
      <c r="G254" t="s">
        <v>74</v>
      </c>
      <c r="H254" t="s">
        <v>74</v>
      </c>
      <c r="I254" t="s">
        <v>5046</v>
      </c>
      <c r="J254" t="s">
        <v>5047</v>
      </c>
      <c r="K254" t="s">
        <v>74</v>
      </c>
      <c r="L254" t="s">
        <v>74</v>
      </c>
      <c r="M254" t="s">
        <v>78</v>
      </c>
      <c r="N254" t="s">
        <v>1246</v>
      </c>
      <c r="O254" t="s">
        <v>74</v>
      </c>
      <c r="P254" t="s">
        <v>74</v>
      </c>
      <c r="Q254" t="s">
        <v>74</v>
      </c>
      <c r="R254" t="s">
        <v>74</v>
      </c>
      <c r="S254" t="s">
        <v>74</v>
      </c>
      <c r="T254" t="s">
        <v>5048</v>
      </c>
      <c r="U254" t="s">
        <v>5049</v>
      </c>
      <c r="V254" t="s">
        <v>5050</v>
      </c>
      <c r="W254" t="s">
        <v>5051</v>
      </c>
      <c r="X254" t="s">
        <v>5052</v>
      </c>
      <c r="Y254" t="s">
        <v>5053</v>
      </c>
      <c r="Z254" t="s">
        <v>5054</v>
      </c>
      <c r="AA254" t="s">
        <v>5055</v>
      </c>
      <c r="AB254" t="s">
        <v>5056</v>
      </c>
      <c r="AC254" t="s">
        <v>5057</v>
      </c>
      <c r="AD254" t="s">
        <v>5058</v>
      </c>
      <c r="AE254" t="s">
        <v>5059</v>
      </c>
      <c r="AF254" t="s">
        <v>74</v>
      </c>
      <c r="AG254">
        <v>68</v>
      </c>
      <c r="AH254">
        <v>0</v>
      </c>
      <c r="AI254">
        <v>0</v>
      </c>
      <c r="AJ254">
        <v>0</v>
      </c>
      <c r="AK254">
        <v>0</v>
      </c>
      <c r="AL254" t="s">
        <v>117</v>
      </c>
      <c r="AM254" t="s">
        <v>118</v>
      </c>
      <c r="AN254" t="s">
        <v>119</v>
      </c>
      <c r="AO254" t="s">
        <v>5060</v>
      </c>
      <c r="AP254" t="s">
        <v>5061</v>
      </c>
      <c r="AQ254" t="s">
        <v>74</v>
      </c>
      <c r="AR254" t="s">
        <v>5062</v>
      </c>
      <c r="AS254" t="s">
        <v>5063</v>
      </c>
      <c r="AT254" t="s">
        <v>4696</v>
      </c>
      <c r="AU254">
        <v>2023</v>
      </c>
      <c r="AV254" t="s">
        <v>74</v>
      </c>
      <c r="AW254" t="s">
        <v>74</v>
      </c>
      <c r="AX254" t="s">
        <v>74</v>
      </c>
      <c r="AY254" t="s">
        <v>74</v>
      </c>
      <c r="AZ254" t="s">
        <v>74</v>
      </c>
      <c r="BA254" t="s">
        <v>74</v>
      </c>
      <c r="BB254" t="s">
        <v>74</v>
      </c>
      <c r="BC254" t="s">
        <v>74</v>
      </c>
      <c r="BD254" t="s">
        <v>74</v>
      </c>
      <c r="BE254" t="s">
        <v>5064</v>
      </c>
      <c r="BF254" t="str">
        <f>HYPERLINK("http://dx.doi.org/10.1007/s11481-023-10084-9","http://dx.doi.org/10.1007/s11481-023-10084-9")</f>
        <v>http://dx.doi.org/10.1007/s11481-023-10084-9</v>
      </c>
      <c r="BG254" t="s">
        <v>74</v>
      </c>
      <c r="BH254" t="s">
        <v>2079</v>
      </c>
      <c r="BI254">
        <v>22</v>
      </c>
      <c r="BJ254" t="s">
        <v>5065</v>
      </c>
      <c r="BK254" t="s">
        <v>126</v>
      </c>
      <c r="BL254" t="s">
        <v>5066</v>
      </c>
      <c r="BM254" t="s">
        <v>5067</v>
      </c>
      <c r="BN254">
        <v>37698780</v>
      </c>
      <c r="BO254" t="s">
        <v>74</v>
      </c>
      <c r="BP254" t="s">
        <v>74</v>
      </c>
      <c r="BQ254" t="s">
        <v>74</v>
      </c>
      <c r="BR254" t="s">
        <v>99</v>
      </c>
      <c r="BS254" t="s">
        <v>5068</v>
      </c>
      <c r="BT254" t="str">
        <f>HYPERLINK("https%3A%2F%2Fwww.webofscience.com%2Fwos%2Fwoscc%2Ffull-record%2FWOS:001064513500001","View Full Record in Web of Science")</f>
        <v>View Full Record in Web of Science</v>
      </c>
    </row>
    <row r="255" spans="1:72" x14ac:dyDescent="0.15">
      <c r="A255" t="s">
        <v>72</v>
      </c>
      <c r="B255" t="s">
        <v>5069</v>
      </c>
      <c r="C255" t="s">
        <v>74</v>
      </c>
      <c r="D255" t="s">
        <v>74</v>
      </c>
      <c r="E255" t="s">
        <v>74</v>
      </c>
      <c r="F255" t="s">
        <v>5070</v>
      </c>
      <c r="G255" t="s">
        <v>74</v>
      </c>
      <c r="H255" t="s">
        <v>74</v>
      </c>
      <c r="I255" t="s">
        <v>5071</v>
      </c>
      <c r="J255" t="s">
        <v>5072</v>
      </c>
      <c r="K255" t="s">
        <v>74</v>
      </c>
      <c r="L255" t="s">
        <v>74</v>
      </c>
      <c r="M255" t="s">
        <v>78</v>
      </c>
      <c r="N255" t="s">
        <v>1246</v>
      </c>
      <c r="O255" t="s">
        <v>74</v>
      </c>
      <c r="P255" t="s">
        <v>74</v>
      </c>
      <c r="Q255" t="s">
        <v>74</v>
      </c>
      <c r="R255" t="s">
        <v>74</v>
      </c>
      <c r="S255" t="s">
        <v>74</v>
      </c>
      <c r="T255" t="s">
        <v>5073</v>
      </c>
      <c r="U255" t="s">
        <v>5074</v>
      </c>
      <c r="V255" t="s">
        <v>5075</v>
      </c>
      <c r="W255" t="s">
        <v>5076</v>
      </c>
      <c r="X255" t="s">
        <v>5077</v>
      </c>
      <c r="Y255" t="s">
        <v>5078</v>
      </c>
      <c r="Z255" t="s">
        <v>5079</v>
      </c>
      <c r="AA255" t="s">
        <v>5080</v>
      </c>
      <c r="AB255" t="s">
        <v>5081</v>
      </c>
      <c r="AC255" t="s">
        <v>5082</v>
      </c>
      <c r="AD255" t="s">
        <v>5083</v>
      </c>
      <c r="AE255" t="s">
        <v>5084</v>
      </c>
      <c r="AF255" t="s">
        <v>74</v>
      </c>
      <c r="AG255">
        <v>36</v>
      </c>
      <c r="AH255">
        <v>0</v>
      </c>
      <c r="AI255">
        <v>0</v>
      </c>
      <c r="AJ255">
        <v>0</v>
      </c>
      <c r="AK255">
        <v>0</v>
      </c>
      <c r="AL255" t="s">
        <v>172</v>
      </c>
      <c r="AM255" t="s">
        <v>173</v>
      </c>
      <c r="AN255" t="s">
        <v>174</v>
      </c>
      <c r="AO255" t="s">
        <v>5085</v>
      </c>
      <c r="AP255" t="s">
        <v>5086</v>
      </c>
      <c r="AQ255" t="s">
        <v>74</v>
      </c>
      <c r="AR255" t="s">
        <v>5087</v>
      </c>
      <c r="AS255" t="s">
        <v>5088</v>
      </c>
      <c r="AT255" t="s">
        <v>4696</v>
      </c>
      <c r="AU255">
        <v>2023</v>
      </c>
      <c r="AV255" t="s">
        <v>74</v>
      </c>
      <c r="AW255" t="s">
        <v>74</v>
      </c>
      <c r="AX255" t="s">
        <v>74</v>
      </c>
      <c r="AY255" t="s">
        <v>74</v>
      </c>
      <c r="AZ255" t="s">
        <v>74</v>
      </c>
      <c r="BA255" t="s">
        <v>74</v>
      </c>
      <c r="BB255" t="s">
        <v>74</v>
      </c>
      <c r="BC255" t="s">
        <v>74</v>
      </c>
      <c r="BD255" t="s">
        <v>74</v>
      </c>
      <c r="BE255" t="s">
        <v>5089</v>
      </c>
      <c r="BF255" t="str">
        <f>HYPERLINK("http://dx.doi.org/10.1007/s12008-023-01516-0","http://dx.doi.org/10.1007/s12008-023-01516-0")</f>
        <v>http://dx.doi.org/10.1007/s12008-023-01516-0</v>
      </c>
      <c r="BG255" t="s">
        <v>74</v>
      </c>
      <c r="BH255" t="s">
        <v>2079</v>
      </c>
      <c r="BI255">
        <v>20</v>
      </c>
      <c r="BJ255" t="s">
        <v>5090</v>
      </c>
      <c r="BK255" t="s">
        <v>97</v>
      </c>
      <c r="BL255" t="s">
        <v>277</v>
      </c>
      <c r="BM255" t="s">
        <v>5091</v>
      </c>
      <c r="BN255" t="s">
        <v>74</v>
      </c>
      <c r="BO255" t="s">
        <v>74</v>
      </c>
      <c r="BP255" t="s">
        <v>74</v>
      </c>
      <c r="BQ255" t="s">
        <v>74</v>
      </c>
      <c r="BR255" t="s">
        <v>99</v>
      </c>
      <c r="BS255" t="s">
        <v>5092</v>
      </c>
      <c r="BT255" t="str">
        <f>HYPERLINK("https%3A%2F%2Fwww.webofscience.com%2Fwos%2Fwoscc%2Ffull-record%2FWOS:001064733800007","View Full Record in Web of Science")</f>
        <v>View Full Record in Web of Science</v>
      </c>
    </row>
    <row r="256" spans="1:72" x14ac:dyDescent="0.15">
      <c r="A256" t="s">
        <v>72</v>
      </c>
      <c r="B256" t="s">
        <v>5093</v>
      </c>
      <c r="C256" t="s">
        <v>74</v>
      </c>
      <c r="D256" t="s">
        <v>74</v>
      </c>
      <c r="E256" t="s">
        <v>74</v>
      </c>
      <c r="F256" t="s">
        <v>5094</v>
      </c>
      <c r="G256" t="s">
        <v>74</v>
      </c>
      <c r="H256" t="s">
        <v>74</v>
      </c>
      <c r="I256" t="s">
        <v>5095</v>
      </c>
      <c r="J256" t="s">
        <v>5096</v>
      </c>
      <c r="K256" t="s">
        <v>74</v>
      </c>
      <c r="L256" t="s">
        <v>74</v>
      </c>
      <c r="M256" t="s">
        <v>78</v>
      </c>
      <c r="N256" t="s">
        <v>79</v>
      </c>
      <c r="O256" t="s">
        <v>74</v>
      </c>
      <c r="P256" t="s">
        <v>74</v>
      </c>
      <c r="Q256" t="s">
        <v>74</v>
      </c>
      <c r="R256" t="s">
        <v>74</v>
      </c>
      <c r="S256" t="s">
        <v>74</v>
      </c>
      <c r="T256" t="s">
        <v>5097</v>
      </c>
      <c r="U256" t="s">
        <v>5098</v>
      </c>
      <c r="V256" t="s">
        <v>5099</v>
      </c>
      <c r="W256" t="s">
        <v>5100</v>
      </c>
      <c r="X256" t="s">
        <v>5101</v>
      </c>
      <c r="Y256" t="s">
        <v>5102</v>
      </c>
      <c r="Z256" t="s">
        <v>5103</v>
      </c>
      <c r="AA256" t="s">
        <v>74</v>
      </c>
      <c r="AB256" t="s">
        <v>74</v>
      </c>
      <c r="AC256" t="s">
        <v>5104</v>
      </c>
      <c r="AD256" t="s">
        <v>5104</v>
      </c>
      <c r="AE256" t="s">
        <v>5104</v>
      </c>
      <c r="AF256" t="s">
        <v>74</v>
      </c>
      <c r="AG256">
        <v>73</v>
      </c>
      <c r="AH256">
        <v>0</v>
      </c>
      <c r="AI256">
        <v>0</v>
      </c>
      <c r="AJ256">
        <v>0</v>
      </c>
      <c r="AK256">
        <v>0</v>
      </c>
      <c r="AL256" t="s">
        <v>443</v>
      </c>
      <c r="AM256" t="s">
        <v>245</v>
      </c>
      <c r="AN256" t="s">
        <v>444</v>
      </c>
      <c r="AO256" t="s">
        <v>74</v>
      </c>
      <c r="AP256" t="s">
        <v>5105</v>
      </c>
      <c r="AQ256" t="s">
        <v>74</v>
      </c>
      <c r="AR256" t="s">
        <v>5096</v>
      </c>
      <c r="AS256" t="s">
        <v>5106</v>
      </c>
      <c r="AT256" t="s">
        <v>4674</v>
      </c>
      <c r="AU256">
        <v>2023</v>
      </c>
      <c r="AV256">
        <v>23</v>
      </c>
      <c r="AW256">
        <v>1</v>
      </c>
      <c r="AX256" t="s">
        <v>74</v>
      </c>
      <c r="AY256" t="s">
        <v>74</v>
      </c>
      <c r="AZ256" t="s">
        <v>74</v>
      </c>
      <c r="BA256" t="s">
        <v>74</v>
      </c>
      <c r="BB256" t="s">
        <v>74</v>
      </c>
      <c r="BC256" t="s">
        <v>74</v>
      </c>
      <c r="BD256">
        <v>486</v>
      </c>
      <c r="BE256" t="s">
        <v>5107</v>
      </c>
      <c r="BF256" t="str">
        <f>HYPERLINK("http://dx.doi.org/10.1186/s12905-023-02638-z","http://dx.doi.org/10.1186/s12905-023-02638-z")</f>
        <v>http://dx.doi.org/10.1186/s12905-023-02638-z</v>
      </c>
      <c r="BG256" t="s">
        <v>74</v>
      </c>
      <c r="BH256" t="s">
        <v>74</v>
      </c>
      <c r="BI256">
        <v>14</v>
      </c>
      <c r="BJ256" t="s">
        <v>5108</v>
      </c>
      <c r="BK256" t="s">
        <v>2431</v>
      </c>
      <c r="BL256" t="s">
        <v>5108</v>
      </c>
      <c r="BM256" t="s">
        <v>5109</v>
      </c>
      <c r="BN256">
        <v>37700310</v>
      </c>
      <c r="BO256" t="s">
        <v>302</v>
      </c>
      <c r="BP256" t="s">
        <v>74</v>
      </c>
      <c r="BQ256" t="s">
        <v>74</v>
      </c>
      <c r="BR256" t="s">
        <v>99</v>
      </c>
      <c r="BS256" t="s">
        <v>5110</v>
      </c>
      <c r="BT256" t="str">
        <f>HYPERLINK("https%3A%2F%2Fwww.webofscience.com%2Fwos%2Fwoscc%2Ffull-record%2FWOS:001066821200002","View Full Record in Web of Science")</f>
        <v>View Full Record in Web of Science</v>
      </c>
    </row>
    <row r="257" spans="1:72" x14ac:dyDescent="0.15">
      <c r="A257" t="s">
        <v>72</v>
      </c>
      <c r="B257" t="s">
        <v>5111</v>
      </c>
      <c r="C257" t="s">
        <v>74</v>
      </c>
      <c r="D257" t="s">
        <v>74</v>
      </c>
      <c r="E257" t="s">
        <v>74</v>
      </c>
      <c r="F257" t="s">
        <v>5112</v>
      </c>
      <c r="G257" t="s">
        <v>74</v>
      </c>
      <c r="H257" t="s">
        <v>74</v>
      </c>
      <c r="I257" t="s">
        <v>5113</v>
      </c>
      <c r="J257" t="s">
        <v>4003</v>
      </c>
      <c r="K257" t="s">
        <v>74</v>
      </c>
      <c r="L257" t="s">
        <v>74</v>
      </c>
      <c r="M257" t="s">
        <v>78</v>
      </c>
      <c r="N257" t="s">
        <v>1246</v>
      </c>
      <c r="O257" t="s">
        <v>74</v>
      </c>
      <c r="P257" t="s">
        <v>74</v>
      </c>
      <c r="Q257" t="s">
        <v>74</v>
      </c>
      <c r="R257" t="s">
        <v>74</v>
      </c>
      <c r="S257" t="s">
        <v>74</v>
      </c>
      <c r="T257" t="s">
        <v>5114</v>
      </c>
      <c r="U257" t="s">
        <v>5115</v>
      </c>
      <c r="V257" t="s">
        <v>5116</v>
      </c>
      <c r="W257" t="s">
        <v>5117</v>
      </c>
      <c r="X257" t="s">
        <v>5118</v>
      </c>
      <c r="Y257" t="s">
        <v>5119</v>
      </c>
      <c r="Z257" t="s">
        <v>5120</v>
      </c>
      <c r="AA257" t="s">
        <v>74</v>
      </c>
      <c r="AB257" t="s">
        <v>74</v>
      </c>
      <c r="AC257" t="s">
        <v>5121</v>
      </c>
      <c r="AD257" t="s">
        <v>5122</v>
      </c>
      <c r="AE257" t="s">
        <v>5123</v>
      </c>
      <c r="AF257" t="s">
        <v>74</v>
      </c>
      <c r="AG257">
        <v>54</v>
      </c>
      <c r="AH257">
        <v>0</v>
      </c>
      <c r="AI257">
        <v>0</v>
      </c>
      <c r="AJ257">
        <v>0</v>
      </c>
      <c r="AK257">
        <v>0</v>
      </c>
      <c r="AL257" t="s">
        <v>117</v>
      </c>
      <c r="AM257" t="s">
        <v>627</v>
      </c>
      <c r="AN257" t="s">
        <v>628</v>
      </c>
      <c r="AO257" t="s">
        <v>4013</v>
      </c>
      <c r="AP257" t="s">
        <v>4014</v>
      </c>
      <c r="AQ257" t="s">
        <v>74</v>
      </c>
      <c r="AR257" t="s">
        <v>4015</v>
      </c>
      <c r="AS257" t="s">
        <v>4016</v>
      </c>
      <c r="AT257" t="s">
        <v>4696</v>
      </c>
      <c r="AU257">
        <v>2023</v>
      </c>
      <c r="AV257" t="s">
        <v>74</v>
      </c>
      <c r="AW257" t="s">
        <v>74</v>
      </c>
      <c r="AX257" t="s">
        <v>74</v>
      </c>
      <c r="AY257" t="s">
        <v>74</v>
      </c>
      <c r="AZ257" t="s">
        <v>74</v>
      </c>
      <c r="BA257" t="s">
        <v>74</v>
      </c>
      <c r="BB257" t="s">
        <v>74</v>
      </c>
      <c r="BC257" t="s">
        <v>74</v>
      </c>
      <c r="BD257" t="s">
        <v>74</v>
      </c>
      <c r="BE257" t="s">
        <v>5124</v>
      </c>
      <c r="BF257" t="str">
        <f>HYPERLINK("http://dx.doi.org/10.1007/s11071-023-08890-0","http://dx.doi.org/10.1007/s11071-023-08890-0")</f>
        <v>http://dx.doi.org/10.1007/s11071-023-08890-0</v>
      </c>
      <c r="BG257" t="s">
        <v>74</v>
      </c>
      <c r="BH257" t="s">
        <v>2079</v>
      </c>
      <c r="BI257">
        <v>20</v>
      </c>
      <c r="BJ257" t="s">
        <v>4018</v>
      </c>
      <c r="BK257" t="s">
        <v>126</v>
      </c>
      <c r="BL257" t="s">
        <v>4019</v>
      </c>
      <c r="BM257" t="s">
        <v>5125</v>
      </c>
      <c r="BN257" t="s">
        <v>74</v>
      </c>
      <c r="BO257" t="s">
        <v>327</v>
      </c>
      <c r="BP257" t="s">
        <v>74</v>
      </c>
      <c r="BQ257" t="s">
        <v>74</v>
      </c>
      <c r="BR257" t="s">
        <v>99</v>
      </c>
      <c r="BS257" t="s">
        <v>5126</v>
      </c>
      <c r="BT257" t="str">
        <f>HYPERLINK("https%3A%2F%2Fwww.webofscience.com%2Fwos%2Fwoscc%2Ffull-record%2FWOS:001064737600004","View Full Record in Web of Science")</f>
        <v>View Full Record in Web of Science</v>
      </c>
    </row>
    <row r="258" spans="1:72" x14ac:dyDescent="0.15">
      <c r="A258" t="s">
        <v>72</v>
      </c>
      <c r="B258" t="s">
        <v>5127</v>
      </c>
      <c r="C258" t="s">
        <v>74</v>
      </c>
      <c r="D258" t="s">
        <v>74</v>
      </c>
      <c r="E258" t="s">
        <v>74</v>
      </c>
      <c r="F258" t="s">
        <v>5128</v>
      </c>
      <c r="G258" t="s">
        <v>74</v>
      </c>
      <c r="H258" t="s">
        <v>74</v>
      </c>
      <c r="I258" t="s">
        <v>5129</v>
      </c>
      <c r="J258" t="s">
        <v>5130</v>
      </c>
      <c r="K258" t="s">
        <v>74</v>
      </c>
      <c r="L258" t="s">
        <v>74</v>
      </c>
      <c r="M258" t="s">
        <v>78</v>
      </c>
      <c r="N258" t="s">
        <v>79</v>
      </c>
      <c r="O258" t="s">
        <v>74</v>
      </c>
      <c r="P258" t="s">
        <v>74</v>
      </c>
      <c r="Q258" t="s">
        <v>74</v>
      </c>
      <c r="R258" t="s">
        <v>74</v>
      </c>
      <c r="S258" t="s">
        <v>74</v>
      </c>
      <c r="T258" t="s">
        <v>5131</v>
      </c>
      <c r="U258" t="s">
        <v>5132</v>
      </c>
      <c r="V258" t="s">
        <v>5133</v>
      </c>
      <c r="W258" t="s">
        <v>5134</v>
      </c>
      <c r="X258" t="s">
        <v>5135</v>
      </c>
      <c r="Y258" t="s">
        <v>5136</v>
      </c>
      <c r="Z258" t="s">
        <v>5137</v>
      </c>
      <c r="AA258" t="s">
        <v>74</v>
      </c>
      <c r="AB258" t="s">
        <v>74</v>
      </c>
      <c r="AC258" t="s">
        <v>5138</v>
      </c>
      <c r="AD258" t="s">
        <v>5139</v>
      </c>
      <c r="AE258" t="s">
        <v>5140</v>
      </c>
      <c r="AF258" t="s">
        <v>74</v>
      </c>
      <c r="AG258">
        <v>76</v>
      </c>
      <c r="AH258">
        <v>0</v>
      </c>
      <c r="AI258">
        <v>0</v>
      </c>
      <c r="AJ258">
        <v>2</v>
      </c>
      <c r="AK258">
        <v>2</v>
      </c>
      <c r="AL258" t="s">
        <v>117</v>
      </c>
      <c r="AM258" t="s">
        <v>118</v>
      </c>
      <c r="AN258" t="s">
        <v>119</v>
      </c>
      <c r="AO258" t="s">
        <v>5141</v>
      </c>
      <c r="AP258" t="s">
        <v>5142</v>
      </c>
      <c r="AQ258" t="s">
        <v>74</v>
      </c>
      <c r="AR258" t="s">
        <v>5143</v>
      </c>
      <c r="AS258" t="s">
        <v>5144</v>
      </c>
      <c r="AT258" t="s">
        <v>5145</v>
      </c>
      <c r="AU258">
        <v>2023</v>
      </c>
      <c r="AV258">
        <v>71</v>
      </c>
      <c r="AW258">
        <v>3</v>
      </c>
      <c r="AX258" t="s">
        <v>74</v>
      </c>
      <c r="AY258" t="s">
        <v>74</v>
      </c>
      <c r="AZ258" t="s">
        <v>5146</v>
      </c>
      <c r="BA258" t="s">
        <v>74</v>
      </c>
      <c r="BB258">
        <v>340</v>
      </c>
      <c r="BC258">
        <v>361</v>
      </c>
      <c r="BD258" t="s">
        <v>74</v>
      </c>
      <c r="BE258" t="s">
        <v>5147</v>
      </c>
      <c r="BF258" t="str">
        <f>HYPERLINK("http://dx.doi.org/10.1007/s42860-023-00251-7","http://dx.doi.org/10.1007/s42860-023-00251-7")</f>
        <v>http://dx.doi.org/10.1007/s42860-023-00251-7</v>
      </c>
      <c r="BG258" t="s">
        <v>74</v>
      </c>
      <c r="BH258" t="s">
        <v>2079</v>
      </c>
      <c r="BI258">
        <v>22</v>
      </c>
      <c r="BJ258" t="s">
        <v>5148</v>
      </c>
      <c r="BK258" t="s">
        <v>126</v>
      </c>
      <c r="BL258" t="s">
        <v>5149</v>
      </c>
      <c r="BM258" t="s">
        <v>5150</v>
      </c>
      <c r="BN258" t="s">
        <v>74</v>
      </c>
      <c r="BO258" t="s">
        <v>74</v>
      </c>
      <c r="BP258" t="s">
        <v>74</v>
      </c>
      <c r="BQ258" t="s">
        <v>74</v>
      </c>
      <c r="BR258" t="s">
        <v>99</v>
      </c>
      <c r="BS258" t="s">
        <v>5151</v>
      </c>
      <c r="BT258" t="str">
        <f>HYPERLINK("https%3A%2F%2Fwww.webofscience.com%2Fwos%2Fwoscc%2Ffull-record%2FWOS:001064530200001","View Full Record in Web of Science")</f>
        <v>View Full Record in Web of Science</v>
      </c>
    </row>
    <row r="259" spans="1:72" x14ac:dyDescent="0.15">
      <c r="A259" t="s">
        <v>72</v>
      </c>
      <c r="B259" t="s">
        <v>5152</v>
      </c>
      <c r="C259" t="s">
        <v>74</v>
      </c>
      <c r="D259" t="s">
        <v>74</v>
      </c>
      <c r="E259" t="s">
        <v>74</v>
      </c>
      <c r="F259" t="s">
        <v>5153</v>
      </c>
      <c r="G259" t="s">
        <v>74</v>
      </c>
      <c r="H259" t="s">
        <v>74</v>
      </c>
      <c r="I259" t="s">
        <v>5154</v>
      </c>
      <c r="J259" t="s">
        <v>5155</v>
      </c>
      <c r="K259" t="s">
        <v>74</v>
      </c>
      <c r="L259" t="s">
        <v>74</v>
      </c>
      <c r="M259" t="s">
        <v>4349</v>
      </c>
      <c r="N259" t="s">
        <v>1246</v>
      </c>
      <c r="O259" t="s">
        <v>74</v>
      </c>
      <c r="P259" t="s">
        <v>74</v>
      </c>
      <c r="Q259" t="s">
        <v>74</v>
      </c>
      <c r="R259" t="s">
        <v>74</v>
      </c>
      <c r="S259" t="s">
        <v>74</v>
      </c>
      <c r="T259" t="s">
        <v>5156</v>
      </c>
      <c r="U259" t="s">
        <v>5157</v>
      </c>
      <c r="V259" t="s">
        <v>5158</v>
      </c>
      <c r="W259" t="s">
        <v>5159</v>
      </c>
      <c r="X259" t="s">
        <v>5160</v>
      </c>
      <c r="Y259" t="s">
        <v>5161</v>
      </c>
      <c r="Z259" t="s">
        <v>5162</v>
      </c>
      <c r="AA259" t="s">
        <v>5163</v>
      </c>
      <c r="AB259" t="s">
        <v>5164</v>
      </c>
      <c r="AC259" t="s">
        <v>649</v>
      </c>
      <c r="AD259" t="s">
        <v>649</v>
      </c>
      <c r="AE259" t="s">
        <v>2466</v>
      </c>
      <c r="AF259" t="s">
        <v>74</v>
      </c>
      <c r="AG259">
        <v>58</v>
      </c>
      <c r="AH259">
        <v>0</v>
      </c>
      <c r="AI259">
        <v>0</v>
      </c>
      <c r="AJ259">
        <v>1</v>
      </c>
      <c r="AK259">
        <v>1</v>
      </c>
      <c r="AL259" t="s">
        <v>5165</v>
      </c>
      <c r="AM259" t="s">
        <v>5166</v>
      </c>
      <c r="AN259" t="s">
        <v>5167</v>
      </c>
      <c r="AO259" t="s">
        <v>5168</v>
      </c>
      <c r="AP259" t="s">
        <v>5169</v>
      </c>
      <c r="AQ259" t="s">
        <v>74</v>
      </c>
      <c r="AR259" t="s">
        <v>5170</v>
      </c>
      <c r="AS259" t="s">
        <v>5171</v>
      </c>
      <c r="AT259" t="s">
        <v>4696</v>
      </c>
      <c r="AU259">
        <v>2023</v>
      </c>
      <c r="AV259" t="s">
        <v>74</v>
      </c>
      <c r="AW259" t="s">
        <v>74</v>
      </c>
      <c r="AX259" t="s">
        <v>74</v>
      </c>
      <c r="AY259" t="s">
        <v>74</v>
      </c>
      <c r="AZ259" t="s">
        <v>74</v>
      </c>
      <c r="BA259" t="s">
        <v>74</v>
      </c>
      <c r="BB259" t="s">
        <v>74</v>
      </c>
      <c r="BC259" t="s">
        <v>74</v>
      </c>
      <c r="BD259" t="s">
        <v>74</v>
      </c>
      <c r="BE259" t="s">
        <v>5172</v>
      </c>
      <c r="BF259" t="str">
        <f>HYPERLINK("http://dx.doi.org/10.1007/s11612-023-00705-5","http://dx.doi.org/10.1007/s11612-023-00705-5")</f>
        <v>http://dx.doi.org/10.1007/s11612-023-00705-5</v>
      </c>
      <c r="BG259" t="s">
        <v>74</v>
      </c>
      <c r="BH259" t="s">
        <v>2079</v>
      </c>
      <c r="BI259">
        <v>12</v>
      </c>
      <c r="BJ259" t="s">
        <v>5173</v>
      </c>
      <c r="BK259" t="s">
        <v>97</v>
      </c>
      <c r="BL259" t="s">
        <v>2907</v>
      </c>
      <c r="BM259" t="s">
        <v>5174</v>
      </c>
      <c r="BN259" t="s">
        <v>74</v>
      </c>
      <c r="BO259" t="s">
        <v>74</v>
      </c>
      <c r="BP259" t="s">
        <v>74</v>
      </c>
      <c r="BQ259" t="s">
        <v>74</v>
      </c>
      <c r="BR259" t="s">
        <v>99</v>
      </c>
      <c r="BS259" t="s">
        <v>5175</v>
      </c>
      <c r="BT259" t="str">
        <f>HYPERLINK("https%3A%2F%2Fwww.webofscience.com%2Fwos%2Fwoscc%2Ffull-record%2FWOS:001066948700001","View Full Record in Web of Science")</f>
        <v>View Full Record in Web of Science</v>
      </c>
    </row>
    <row r="260" spans="1:72" x14ac:dyDescent="0.15">
      <c r="A260" t="s">
        <v>72</v>
      </c>
      <c r="B260" t="s">
        <v>5176</v>
      </c>
      <c r="C260" t="s">
        <v>74</v>
      </c>
      <c r="D260" t="s">
        <v>74</v>
      </c>
      <c r="E260" t="s">
        <v>74</v>
      </c>
      <c r="F260" t="s">
        <v>5177</v>
      </c>
      <c r="G260" t="s">
        <v>74</v>
      </c>
      <c r="H260" t="s">
        <v>74</v>
      </c>
      <c r="I260" t="s">
        <v>5178</v>
      </c>
      <c r="J260" t="s">
        <v>5179</v>
      </c>
      <c r="K260" t="s">
        <v>74</v>
      </c>
      <c r="L260" t="s">
        <v>74</v>
      </c>
      <c r="M260" t="s">
        <v>78</v>
      </c>
      <c r="N260" t="s">
        <v>1246</v>
      </c>
      <c r="O260" t="s">
        <v>74</v>
      </c>
      <c r="P260" t="s">
        <v>74</v>
      </c>
      <c r="Q260" t="s">
        <v>74</v>
      </c>
      <c r="R260" t="s">
        <v>74</v>
      </c>
      <c r="S260" t="s">
        <v>74</v>
      </c>
      <c r="T260" t="s">
        <v>5180</v>
      </c>
      <c r="U260" t="s">
        <v>5181</v>
      </c>
      <c r="V260" t="s">
        <v>5182</v>
      </c>
      <c r="W260" t="s">
        <v>5183</v>
      </c>
      <c r="X260" t="s">
        <v>5184</v>
      </c>
      <c r="Y260" t="s">
        <v>5185</v>
      </c>
      <c r="Z260" t="s">
        <v>5186</v>
      </c>
      <c r="AA260" t="s">
        <v>74</v>
      </c>
      <c r="AB260" t="s">
        <v>74</v>
      </c>
      <c r="AC260" t="s">
        <v>74</v>
      </c>
      <c r="AD260" t="s">
        <v>74</v>
      </c>
      <c r="AE260" t="s">
        <v>74</v>
      </c>
      <c r="AF260" t="s">
        <v>74</v>
      </c>
      <c r="AG260">
        <v>30</v>
      </c>
      <c r="AH260">
        <v>0</v>
      </c>
      <c r="AI260">
        <v>0</v>
      </c>
      <c r="AJ260">
        <v>0</v>
      </c>
      <c r="AK260">
        <v>0</v>
      </c>
      <c r="AL260" t="s">
        <v>317</v>
      </c>
      <c r="AM260" t="s">
        <v>245</v>
      </c>
      <c r="AN260" t="s">
        <v>318</v>
      </c>
      <c r="AO260" t="s">
        <v>5187</v>
      </c>
      <c r="AP260" t="s">
        <v>5188</v>
      </c>
      <c r="AQ260" t="s">
        <v>74</v>
      </c>
      <c r="AR260" t="s">
        <v>5189</v>
      </c>
      <c r="AS260" t="s">
        <v>5190</v>
      </c>
      <c r="AT260" t="s">
        <v>4696</v>
      </c>
      <c r="AU260">
        <v>2023</v>
      </c>
      <c r="AV260" t="s">
        <v>74</v>
      </c>
      <c r="AW260" t="s">
        <v>74</v>
      </c>
      <c r="AX260" t="s">
        <v>74</v>
      </c>
      <c r="AY260" t="s">
        <v>74</v>
      </c>
      <c r="AZ260" t="s">
        <v>74</v>
      </c>
      <c r="BA260" t="s">
        <v>74</v>
      </c>
      <c r="BB260" t="s">
        <v>74</v>
      </c>
      <c r="BC260" t="s">
        <v>74</v>
      </c>
      <c r="BD260" t="s">
        <v>74</v>
      </c>
      <c r="BE260" t="s">
        <v>5191</v>
      </c>
      <c r="BF260" t="str">
        <f>HYPERLINK("http://dx.doi.org/10.1007/s40435-023-01296-1","http://dx.doi.org/10.1007/s40435-023-01296-1")</f>
        <v>http://dx.doi.org/10.1007/s40435-023-01296-1</v>
      </c>
      <c r="BG260" t="s">
        <v>74</v>
      </c>
      <c r="BH260" t="s">
        <v>2079</v>
      </c>
      <c r="BI260">
        <v>9</v>
      </c>
      <c r="BJ260" t="s">
        <v>5192</v>
      </c>
      <c r="BK260" t="s">
        <v>97</v>
      </c>
      <c r="BL260" t="s">
        <v>5193</v>
      </c>
      <c r="BM260" t="s">
        <v>5194</v>
      </c>
      <c r="BN260" t="s">
        <v>74</v>
      </c>
      <c r="BO260" t="s">
        <v>74</v>
      </c>
      <c r="BP260" t="s">
        <v>74</v>
      </c>
      <c r="BQ260" t="s">
        <v>74</v>
      </c>
      <c r="BR260" t="s">
        <v>99</v>
      </c>
      <c r="BS260" t="s">
        <v>5195</v>
      </c>
      <c r="BT260" t="str">
        <f>HYPERLINK("https%3A%2F%2Fwww.webofscience.com%2Fwos%2Fwoscc%2Ffull-record%2FWOS:001064715500002","View Full Record in Web of Science")</f>
        <v>View Full Record in Web of Science</v>
      </c>
    </row>
    <row r="261" spans="1:72" x14ac:dyDescent="0.15">
      <c r="A261" t="s">
        <v>72</v>
      </c>
      <c r="B261" t="s">
        <v>5196</v>
      </c>
      <c r="C261" t="s">
        <v>74</v>
      </c>
      <c r="D261" t="s">
        <v>74</v>
      </c>
      <c r="E261" t="s">
        <v>74</v>
      </c>
      <c r="F261" t="s">
        <v>5197</v>
      </c>
      <c r="G261" t="s">
        <v>74</v>
      </c>
      <c r="H261" t="s">
        <v>74</v>
      </c>
      <c r="I261" t="s">
        <v>5198</v>
      </c>
      <c r="J261" t="s">
        <v>5199</v>
      </c>
      <c r="K261" t="s">
        <v>74</v>
      </c>
      <c r="L261" t="s">
        <v>74</v>
      </c>
      <c r="M261" t="s">
        <v>78</v>
      </c>
      <c r="N261" t="s">
        <v>1246</v>
      </c>
      <c r="O261" t="s">
        <v>74</v>
      </c>
      <c r="P261" t="s">
        <v>74</v>
      </c>
      <c r="Q261" t="s">
        <v>74</v>
      </c>
      <c r="R261" t="s">
        <v>74</v>
      </c>
      <c r="S261" t="s">
        <v>74</v>
      </c>
      <c r="T261" t="s">
        <v>74</v>
      </c>
      <c r="U261" t="s">
        <v>5200</v>
      </c>
      <c r="V261" t="s">
        <v>5201</v>
      </c>
      <c r="W261" t="s">
        <v>5202</v>
      </c>
      <c r="X261" t="s">
        <v>5203</v>
      </c>
      <c r="Y261" t="s">
        <v>5204</v>
      </c>
      <c r="Z261" t="s">
        <v>5205</v>
      </c>
      <c r="AA261" t="s">
        <v>74</v>
      </c>
      <c r="AB261" t="s">
        <v>5206</v>
      </c>
      <c r="AC261" t="s">
        <v>5207</v>
      </c>
      <c r="AD261" t="s">
        <v>5208</v>
      </c>
      <c r="AE261" t="s">
        <v>5209</v>
      </c>
      <c r="AF261" t="s">
        <v>74</v>
      </c>
      <c r="AG261">
        <v>71</v>
      </c>
      <c r="AH261">
        <v>0</v>
      </c>
      <c r="AI261">
        <v>0</v>
      </c>
      <c r="AJ261">
        <v>0</v>
      </c>
      <c r="AK261">
        <v>0</v>
      </c>
      <c r="AL261" t="s">
        <v>117</v>
      </c>
      <c r="AM261" t="s">
        <v>118</v>
      </c>
      <c r="AN261" t="s">
        <v>119</v>
      </c>
      <c r="AO261" t="s">
        <v>5210</v>
      </c>
      <c r="AP261" t="s">
        <v>5211</v>
      </c>
      <c r="AQ261" t="s">
        <v>74</v>
      </c>
      <c r="AR261" t="s">
        <v>5212</v>
      </c>
      <c r="AS261" t="s">
        <v>5213</v>
      </c>
      <c r="AT261" t="s">
        <v>5214</v>
      </c>
      <c r="AU261">
        <v>2023</v>
      </c>
      <c r="AV261" t="s">
        <v>74</v>
      </c>
      <c r="AW261" t="s">
        <v>74</v>
      </c>
      <c r="AX261" t="s">
        <v>74</v>
      </c>
      <c r="AY261" t="s">
        <v>74</v>
      </c>
      <c r="AZ261" t="s">
        <v>74</v>
      </c>
      <c r="BA261" t="s">
        <v>74</v>
      </c>
      <c r="BB261" t="s">
        <v>74</v>
      </c>
      <c r="BC261" t="s">
        <v>74</v>
      </c>
      <c r="BD261" t="s">
        <v>74</v>
      </c>
      <c r="BE261" t="s">
        <v>5215</v>
      </c>
      <c r="BF261" t="str">
        <f>HYPERLINK("http://dx.doi.org/10.1007/s10853-023-08878-6","http://dx.doi.org/10.1007/s10853-023-08878-6")</f>
        <v>http://dx.doi.org/10.1007/s10853-023-08878-6</v>
      </c>
      <c r="BG261" t="s">
        <v>74</v>
      </c>
      <c r="BH261" t="s">
        <v>2079</v>
      </c>
      <c r="BI261">
        <v>20</v>
      </c>
      <c r="BJ261" t="s">
        <v>5216</v>
      </c>
      <c r="BK261" t="s">
        <v>126</v>
      </c>
      <c r="BL261" t="s">
        <v>2293</v>
      </c>
      <c r="BM261" t="s">
        <v>5217</v>
      </c>
      <c r="BN261" t="s">
        <v>74</v>
      </c>
      <c r="BO261" t="s">
        <v>74</v>
      </c>
      <c r="BP261" t="s">
        <v>74</v>
      </c>
      <c r="BQ261" t="s">
        <v>74</v>
      </c>
      <c r="BR261" t="s">
        <v>99</v>
      </c>
      <c r="BS261" t="s">
        <v>5218</v>
      </c>
      <c r="BT261" t="str">
        <f>HYPERLINK("https%3A%2F%2Fwww.webofscience.com%2Fwos%2Fwoscc%2Ffull-record%2FWOS:001066448200001","View Full Record in Web of Science")</f>
        <v>View Full Record in Web of Science</v>
      </c>
    </row>
    <row r="262" spans="1:72" x14ac:dyDescent="0.15">
      <c r="A262" t="s">
        <v>72</v>
      </c>
      <c r="B262" t="s">
        <v>5219</v>
      </c>
      <c r="C262" t="s">
        <v>74</v>
      </c>
      <c r="D262" t="s">
        <v>74</v>
      </c>
      <c r="E262" t="s">
        <v>74</v>
      </c>
      <c r="F262" t="s">
        <v>5220</v>
      </c>
      <c r="G262" t="s">
        <v>74</v>
      </c>
      <c r="H262" t="s">
        <v>74</v>
      </c>
      <c r="I262" t="s">
        <v>5221</v>
      </c>
      <c r="J262" t="s">
        <v>5222</v>
      </c>
      <c r="K262" t="s">
        <v>74</v>
      </c>
      <c r="L262" t="s">
        <v>74</v>
      </c>
      <c r="M262" t="s">
        <v>78</v>
      </c>
      <c r="N262" t="s">
        <v>2174</v>
      </c>
      <c r="O262" t="s">
        <v>74</v>
      </c>
      <c r="P262" t="s">
        <v>74</v>
      </c>
      <c r="Q262" t="s">
        <v>74</v>
      </c>
      <c r="R262" t="s">
        <v>74</v>
      </c>
      <c r="S262" t="s">
        <v>74</v>
      </c>
      <c r="T262" t="s">
        <v>74</v>
      </c>
      <c r="U262" t="s">
        <v>5223</v>
      </c>
      <c r="V262" t="s">
        <v>5224</v>
      </c>
      <c r="W262" t="s">
        <v>5225</v>
      </c>
      <c r="X262" t="s">
        <v>5226</v>
      </c>
      <c r="Y262" t="s">
        <v>5227</v>
      </c>
      <c r="Z262" t="s">
        <v>5228</v>
      </c>
      <c r="AA262" t="s">
        <v>5229</v>
      </c>
      <c r="AB262" t="s">
        <v>5230</v>
      </c>
      <c r="AC262" t="s">
        <v>5231</v>
      </c>
      <c r="AD262" t="s">
        <v>5232</v>
      </c>
      <c r="AE262" t="s">
        <v>5233</v>
      </c>
      <c r="AF262" t="s">
        <v>74</v>
      </c>
      <c r="AG262">
        <v>239</v>
      </c>
      <c r="AH262">
        <v>0</v>
      </c>
      <c r="AI262">
        <v>0</v>
      </c>
      <c r="AJ262">
        <v>2</v>
      </c>
      <c r="AK262">
        <v>2</v>
      </c>
      <c r="AL262" t="s">
        <v>317</v>
      </c>
      <c r="AM262" t="s">
        <v>245</v>
      </c>
      <c r="AN262" t="s">
        <v>318</v>
      </c>
      <c r="AO262" t="s">
        <v>5234</v>
      </c>
      <c r="AP262" t="s">
        <v>5235</v>
      </c>
      <c r="AQ262" t="s">
        <v>74</v>
      </c>
      <c r="AR262" t="s">
        <v>5236</v>
      </c>
      <c r="AS262" t="s">
        <v>5237</v>
      </c>
      <c r="AT262" t="s">
        <v>5214</v>
      </c>
      <c r="AU262">
        <v>2023</v>
      </c>
      <c r="AV262" t="s">
        <v>74</v>
      </c>
      <c r="AW262" t="s">
        <v>74</v>
      </c>
      <c r="AX262" t="s">
        <v>74</v>
      </c>
      <c r="AY262" t="s">
        <v>74</v>
      </c>
      <c r="AZ262" t="s">
        <v>74</v>
      </c>
      <c r="BA262" t="s">
        <v>74</v>
      </c>
      <c r="BB262" t="s">
        <v>74</v>
      </c>
      <c r="BC262" t="s">
        <v>74</v>
      </c>
      <c r="BD262" t="s">
        <v>74</v>
      </c>
      <c r="BE262" t="s">
        <v>5238</v>
      </c>
      <c r="BF262" t="str">
        <f>HYPERLINK("http://dx.doi.org/10.1038/s41366-023-01369-3","http://dx.doi.org/10.1038/s41366-023-01369-3")</f>
        <v>http://dx.doi.org/10.1038/s41366-023-01369-3</v>
      </c>
      <c r="BG262" t="s">
        <v>74</v>
      </c>
      <c r="BH262" t="s">
        <v>2079</v>
      </c>
      <c r="BI262">
        <v>21</v>
      </c>
      <c r="BJ262" t="s">
        <v>5239</v>
      </c>
      <c r="BK262" t="s">
        <v>126</v>
      </c>
      <c r="BL262" t="s">
        <v>5239</v>
      </c>
      <c r="BM262" t="s">
        <v>5240</v>
      </c>
      <c r="BN262">
        <v>37696926</v>
      </c>
      <c r="BO262" t="s">
        <v>74</v>
      </c>
      <c r="BP262" t="s">
        <v>74</v>
      </c>
      <c r="BQ262" t="s">
        <v>74</v>
      </c>
      <c r="BR262" t="s">
        <v>99</v>
      </c>
      <c r="BS262" t="s">
        <v>5241</v>
      </c>
      <c r="BT262" t="str">
        <f>HYPERLINK("https%3A%2F%2Fwww.webofscience.com%2Fwos%2Fwoscc%2Ffull-record%2FWOS:001063364400003","View Full Record in Web of Science")</f>
        <v>View Full Record in Web of Science</v>
      </c>
    </row>
    <row r="263" spans="1:72" x14ac:dyDescent="0.15">
      <c r="A263" t="s">
        <v>72</v>
      </c>
      <c r="B263" t="s">
        <v>5242</v>
      </c>
      <c r="C263" t="s">
        <v>74</v>
      </c>
      <c r="D263" t="s">
        <v>74</v>
      </c>
      <c r="E263" t="s">
        <v>74</v>
      </c>
      <c r="F263" t="s">
        <v>5243</v>
      </c>
      <c r="G263" t="s">
        <v>74</v>
      </c>
      <c r="H263" t="s">
        <v>74</v>
      </c>
      <c r="I263" t="s">
        <v>5244</v>
      </c>
      <c r="J263" t="s">
        <v>5245</v>
      </c>
      <c r="K263" t="s">
        <v>74</v>
      </c>
      <c r="L263" t="s">
        <v>74</v>
      </c>
      <c r="M263" t="s">
        <v>78</v>
      </c>
      <c r="N263" t="s">
        <v>1246</v>
      </c>
      <c r="O263" t="s">
        <v>74</v>
      </c>
      <c r="P263" t="s">
        <v>74</v>
      </c>
      <c r="Q263" t="s">
        <v>74</v>
      </c>
      <c r="R263" t="s">
        <v>74</v>
      </c>
      <c r="S263" t="s">
        <v>74</v>
      </c>
      <c r="T263" t="s">
        <v>74</v>
      </c>
      <c r="U263" t="s">
        <v>5246</v>
      </c>
      <c r="V263" t="s">
        <v>5247</v>
      </c>
      <c r="W263" t="s">
        <v>5248</v>
      </c>
      <c r="X263" t="s">
        <v>5249</v>
      </c>
      <c r="Y263" t="s">
        <v>5250</v>
      </c>
      <c r="Z263" t="s">
        <v>5251</v>
      </c>
      <c r="AA263" t="s">
        <v>74</v>
      </c>
      <c r="AB263" t="s">
        <v>74</v>
      </c>
      <c r="AC263" t="s">
        <v>5252</v>
      </c>
      <c r="AD263" t="s">
        <v>5253</v>
      </c>
      <c r="AE263" t="s">
        <v>5254</v>
      </c>
      <c r="AF263" t="s">
        <v>74</v>
      </c>
      <c r="AG263">
        <v>27</v>
      </c>
      <c r="AH263">
        <v>0</v>
      </c>
      <c r="AI263">
        <v>0</v>
      </c>
      <c r="AJ263">
        <v>0</v>
      </c>
      <c r="AK263">
        <v>0</v>
      </c>
      <c r="AL263" t="s">
        <v>172</v>
      </c>
      <c r="AM263" t="s">
        <v>173</v>
      </c>
      <c r="AN263" t="s">
        <v>174</v>
      </c>
      <c r="AO263" t="s">
        <v>5255</v>
      </c>
      <c r="AP263" t="s">
        <v>5256</v>
      </c>
      <c r="AQ263" t="s">
        <v>74</v>
      </c>
      <c r="AR263" t="s">
        <v>5257</v>
      </c>
      <c r="AS263" t="s">
        <v>5258</v>
      </c>
      <c r="AT263" t="s">
        <v>5214</v>
      </c>
      <c r="AU263">
        <v>2023</v>
      </c>
      <c r="AV263" t="s">
        <v>74</v>
      </c>
      <c r="AW263" t="s">
        <v>74</v>
      </c>
      <c r="AX263" t="s">
        <v>74</v>
      </c>
      <c r="AY263" t="s">
        <v>74</v>
      </c>
      <c r="AZ263" t="s">
        <v>74</v>
      </c>
      <c r="BA263" t="s">
        <v>74</v>
      </c>
      <c r="BB263" t="s">
        <v>74</v>
      </c>
      <c r="BC263" t="s">
        <v>74</v>
      </c>
      <c r="BD263" t="s">
        <v>74</v>
      </c>
      <c r="BE263" t="s">
        <v>5259</v>
      </c>
      <c r="BF263" t="str">
        <f>HYPERLINK("http://dx.doi.org/10.1557/s43580-023-00639-6","http://dx.doi.org/10.1557/s43580-023-00639-6")</f>
        <v>http://dx.doi.org/10.1557/s43580-023-00639-6</v>
      </c>
      <c r="BG263" t="s">
        <v>74</v>
      </c>
      <c r="BH263" t="s">
        <v>2079</v>
      </c>
      <c r="BI263">
        <v>7</v>
      </c>
      <c r="BJ263" t="s">
        <v>5216</v>
      </c>
      <c r="BK263" t="s">
        <v>97</v>
      </c>
      <c r="BL263" t="s">
        <v>2293</v>
      </c>
      <c r="BM263" t="s">
        <v>5260</v>
      </c>
      <c r="BN263" t="s">
        <v>74</v>
      </c>
      <c r="BO263" t="s">
        <v>74</v>
      </c>
      <c r="BP263" t="s">
        <v>74</v>
      </c>
      <c r="BQ263" t="s">
        <v>74</v>
      </c>
      <c r="BR263" t="s">
        <v>99</v>
      </c>
      <c r="BS263" t="s">
        <v>5261</v>
      </c>
      <c r="BT263" t="str">
        <f>HYPERLINK("https%3A%2F%2Fwww.webofscience.com%2Fwos%2Fwoscc%2Ffull-record%2FWOS:001065769600001","View Full Record in Web of Science")</f>
        <v>View Full Record in Web of Science</v>
      </c>
    </row>
    <row r="264" spans="1:72" x14ac:dyDescent="0.15">
      <c r="A264" t="s">
        <v>72</v>
      </c>
      <c r="B264" t="s">
        <v>5262</v>
      </c>
      <c r="C264" t="s">
        <v>74</v>
      </c>
      <c r="D264" t="s">
        <v>74</v>
      </c>
      <c r="E264" t="s">
        <v>74</v>
      </c>
      <c r="F264" t="s">
        <v>5263</v>
      </c>
      <c r="G264" t="s">
        <v>74</v>
      </c>
      <c r="H264" t="s">
        <v>74</v>
      </c>
      <c r="I264" t="s">
        <v>5264</v>
      </c>
      <c r="J264" t="s">
        <v>5265</v>
      </c>
      <c r="K264" t="s">
        <v>74</v>
      </c>
      <c r="L264" t="s">
        <v>74</v>
      </c>
      <c r="M264" t="s">
        <v>78</v>
      </c>
      <c r="N264" t="s">
        <v>3055</v>
      </c>
      <c r="O264" t="s">
        <v>74</v>
      </c>
      <c r="P264" t="s">
        <v>74</v>
      </c>
      <c r="Q264" t="s">
        <v>74</v>
      </c>
      <c r="R264" t="s">
        <v>74</v>
      </c>
      <c r="S264" t="s">
        <v>74</v>
      </c>
      <c r="T264" t="s">
        <v>74</v>
      </c>
      <c r="U264" t="s">
        <v>74</v>
      </c>
      <c r="V264" t="s">
        <v>74</v>
      </c>
      <c r="W264" t="s">
        <v>5266</v>
      </c>
      <c r="X264" t="s">
        <v>5267</v>
      </c>
      <c r="Y264" t="s">
        <v>5268</v>
      </c>
      <c r="Z264" t="s">
        <v>5269</v>
      </c>
      <c r="AA264" t="s">
        <v>74</v>
      </c>
      <c r="AB264" t="s">
        <v>74</v>
      </c>
      <c r="AC264" t="s">
        <v>5270</v>
      </c>
      <c r="AD264" t="s">
        <v>5271</v>
      </c>
      <c r="AE264" t="s">
        <v>5272</v>
      </c>
      <c r="AF264" t="s">
        <v>74</v>
      </c>
      <c r="AG264">
        <v>7</v>
      </c>
      <c r="AH264">
        <v>0</v>
      </c>
      <c r="AI264">
        <v>0</v>
      </c>
      <c r="AJ264">
        <v>0</v>
      </c>
      <c r="AK264">
        <v>0</v>
      </c>
      <c r="AL264" t="s">
        <v>117</v>
      </c>
      <c r="AM264" t="s">
        <v>118</v>
      </c>
      <c r="AN264" t="s">
        <v>119</v>
      </c>
      <c r="AO264" t="s">
        <v>5273</v>
      </c>
      <c r="AP264" t="s">
        <v>5274</v>
      </c>
      <c r="AQ264" t="s">
        <v>74</v>
      </c>
      <c r="AR264" t="s">
        <v>5275</v>
      </c>
      <c r="AS264" t="s">
        <v>5276</v>
      </c>
      <c r="AT264" t="s">
        <v>5214</v>
      </c>
      <c r="AU264">
        <v>2023</v>
      </c>
      <c r="AV264" t="s">
        <v>74</v>
      </c>
      <c r="AW264" t="s">
        <v>74</v>
      </c>
      <c r="AX264" t="s">
        <v>74</v>
      </c>
      <c r="AY264" t="s">
        <v>74</v>
      </c>
      <c r="AZ264" t="s">
        <v>74</v>
      </c>
      <c r="BA264" t="s">
        <v>74</v>
      </c>
      <c r="BB264" t="s">
        <v>74</v>
      </c>
      <c r="BC264" t="s">
        <v>74</v>
      </c>
      <c r="BD264" t="s">
        <v>74</v>
      </c>
      <c r="BE264" t="s">
        <v>5277</v>
      </c>
      <c r="BF264" t="str">
        <f>HYPERLINK("http://dx.doi.org/10.1007/s00134-023-07216-3","http://dx.doi.org/10.1007/s00134-023-07216-3")</f>
        <v>http://dx.doi.org/10.1007/s00134-023-07216-3</v>
      </c>
      <c r="BG264" t="s">
        <v>74</v>
      </c>
      <c r="BH264" t="s">
        <v>2079</v>
      </c>
      <c r="BI264">
        <v>2</v>
      </c>
      <c r="BJ264" t="s">
        <v>2251</v>
      </c>
      <c r="BK264" t="s">
        <v>126</v>
      </c>
      <c r="BL264" t="s">
        <v>1239</v>
      </c>
      <c r="BM264" t="s">
        <v>5278</v>
      </c>
      <c r="BN264">
        <v>37695331</v>
      </c>
      <c r="BO264" t="s">
        <v>183</v>
      </c>
      <c r="BP264" t="s">
        <v>74</v>
      </c>
      <c r="BQ264" t="s">
        <v>74</v>
      </c>
      <c r="BR264" t="s">
        <v>99</v>
      </c>
      <c r="BS264" t="s">
        <v>5279</v>
      </c>
      <c r="BT264" t="str">
        <f>HYPERLINK("https%3A%2F%2Fwww.webofscience.com%2Fwos%2Fwoscc%2Ffull-record%2FWOS:001067386900002","View Full Record in Web of Science")</f>
        <v>View Full Record in Web of Science</v>
      </c>
    </row>
    <row r="265" spans="1:72" x14ac:dyDescent="0.15">
      <c r="A265" t="s">
        <v>72</v>
      </c>
      <c r="B265" t="s">
        <v>5280</v>
      </c>
      <c r="C265" t="s">
        <v>74</v>
      </c>
      <c r="D265" t="s">
        <v>74</v>
      </c>
      <c r="E265" t="s">
        <v>74</v>
      </c>
      <c r="F265" t="s">
        <v>5281</v>
      </c>
      <c r="G265" t="s">
        <v>74</v>
      </c>
      <c r="H265" t="s">
        <v>74</v>
      </c>
      <c r="I265" t="s">
        <v>5282</v>
      </c>
      <c r="J265" t="s">
        <v>5283</v>
      </c>
      <c r="K265" t="s">
        <v>74</v>
      </c>
      <c r="L265" t="s">
        <v>74</v>
      </c>
      <c r="M265" t="s">
        <v>78</v>
      </c>
      <c r="N265" t="s">
        <v>2174</v>
      </c>
      <c r="O265" t="s">
        <v>74</v>
      </c>
      <c r="P265" t="s">
        <v>74</v>
      </c>
      <c r="Q265" t="s">
        <v>74</v>
      </c>
      <c r="R265" t="s">
        <v>74</v>
      </c>
      <c r="S265" t="s">
        <v>74</v>
      </c>
      <c r="T265" t="s">
        <v>5284</v>
      </c>
      <c r="U265" t="s">
        <v>5285</v>
      </c>
      <c r="V265" t="s">
        <v>5286</v>
      </c>
      <c r="W265" t="s">
        <v>5287</v>
      </c>
      <c r="X265" t="s">
        <v>74</v>
      </c>
      <c r="Y265" t="s">
        <v>5288</v>
      </c>
      <c r="Z265" t="s">
        <v>5289</v>
      </c>
      <c r="AA265" t="s">
        <v>74</v>
      </c>
      <c r="AB265" t="s">
        <v>74</v>
      </c>
      <c r="AC265" t="s">
        <v>74</v>
      </c>
      <c r="AD265" t="s">
        <v>74</v>
      </c>
      <c r="AE265" t="s">
        <v>74</v>
      </c>
      <c r="AF265" t="s">
        <v>74</v>
      </c>
      <c r="AG265">
        <v>87</v>
      </c>
      <c r="AH265">
        <v>0</v>
      </c>
      <c r="AI265">
        <v>0</v>
      </c>
      <c r="AJ265">
        <v>0</v>
      </c>
      <c r="AK265">
        <v>0</v>
      </c>
      <c r="AL265" t="s">
        <v>117</v>
      </c>
      <c r="AM265" t="s">
        <v>118</v>
      </c>
      <c r="AN265" t="s">
        <v>119</v>
      </c>
      <c r="AO265" t="s">
        <v>5290</v>
      </c>
      <c r="AP265" t="s">
        <v>5291</v>
      </c>
      <c r="AQ265" t="s">
        <v>74</v>
      </c>
      <c r="AR265" t="s">
        <v>5292</v>
      </c>
      <c r="AS265" t="s">
        <v>5293</v>
      </c>
      <c r="AT265" t="s">
        <v>5214</v>
      </c>
      <c r="AU265">
        <v>2023</v>
      </c>
      <c r="AV265" t="s">
        <v>74</v>
      </c>
      <c r="AW265" t="s">
        <v>74</v>
      </c>
      <c r="AX265" t="s">
        <v>74</v>
      </c>
      <c r="AY265" t="s">
        <v>74</v>
      </c>
      <c r="AZ265" t="s">
        <v>74</v>
      </c>
      <c r="BA265" t="s">
        <v>74</v>
      </c>
      <c r="BB265" t="s">
        <v>74</v>
      </c>
      <c r="BC265" t="s">
        <v>74</v>
      </c>
      <c r="BD265" t="s">
        <v>74</v>
      </c>
      <c r="BE265" t="s">
        <v>5294</v>
      </c>
      <c r="BF265" t="str">
        <f>HYPERLINK("http://dx.doi.org/10.1007/s00381-023-06142-5","http://dx.doi.org/10.1007/s00381-023-06142-5")</f>
        <v>http://dx.doi.org/10.1007/s00381-023-06142-5</v>
      </c>
      <c r="BG265" t="s">
        <v>74</v>
      </c>
      <c r="BH265" t="s">
        <v>2079</v>
      </c>
      <c r="BI265">
        <v>12</v>
      </c>
      <c r="BJ265" t="s">
        <v>5295</v>
      </c>
      <c r="BK265" t="s">
        <v>126</v>
      </c>
      <c r="BL265" t="s">
        <v>5296</v>
      </c>
      <c r="BM265" t="s">
        <v>5297</v>
      </c>
      <c r="BN265">
        <v>37691035</v>
      </c>
      <c r="BO265" t="s">
        <v>74</v>
      </c>
      <c r="BP265" t="s">
        <v>74</v>
      </c>
      <c r="BQ265" t="s">
        <v>74</v>
      </c>
      <c r="BR265" t="s">
        <v>99</v>
      </c>
      <c r="BS265" t="s">
        <v>5298</v>
      </c>
      <c r="BT265" t="str">
        <f>HYPERLINK("https%3A%2F%2Fwww.webofscience.com%2Fwos%2Fwoscc%2Ffull-record%2FWOS:001062591900001","View Full Record in Web of Science")</f>
        <v>View Full Record in Web of Science</v>
      </c>
    </row>
    <row r="266" spans="1:72" x14ac:dyDescent="0.15">
      <c r="A266" t="s">
        <v>72</v>
      </c>
      <c r="B266" t="s">
        <v>5299</v>
      </c>
      <c r="C266" t="s">
        <v>74</v>
      </c>
      <c r="D266" t="s">
        <v>74</v>
      </c>
      <c r="E266" t="s">
        <v>74</v>
      </c>
      <c r="F266" t="s">
        <v>5300</v>
      </c>
      <c r="G266" t="s">
        <v>74</v>
      </c>
      <c r="H266" t="s">
        <v>74</v>
      </c>
      <c r="I266" t="s">
        <v>5301</v>
      </c>
      <c r="J266" t="s">
        <v>5302</v>
      </c>
      <c r="K266" t="s">
        <v>74</v>
      </c>
      <c r="L266" t="s">
        <v>74</v>
      </c>
      <c r="M266" t="s">
        <v>78</v>
      </c>
      <c r="N266" t="s">
        <v>1246</v>
      </c>
      <c r="O266" t="s">
        <v>74</v>
      </c>
      <c r="P266" t="s">
        <v>74</v>
      </c>
      <c r="Q266" t="s">
        <v>74</v>
      </c>
      <c r="R266" t="s">
        <v>74</v>
      </c>
      <c r="S266" t="s">
        <v>74</v>
      </c>
      <c r="T266" t="s">
        <v>5303</v>
      </c>
      <c r="U266" t="s">
        <v>74</v>
      </c>
      <c r="V266" t="s">
        <v>5304</v>
      </c>
      <c r="W266" t="s">
        <v>5305</v>
      </c>
      <c r="X266" t="s">
        <v>3258</v>
      </c>
      <c r="Y266" t="s">
        <v>5306</v>
      </c>
      <c r="Z266" t="s">
        <v>5307</v>
      </c>
      <c r="AA266" t="s">
        <v>74</v>
      </c>
      <c r="AB266" t="s">
        <v>5308</v>
      </c>
      <c r="AC266" t="s">
        <v>5309</v>
      </c>
      <c r="AD266" t="s">
        <v>4976</v>
      </c>
      <c r="AE266" t="s">
        <v>5310</v>
      </c>
      <c r="AF266" t="s">
        <v>74</v>
      </c>
      <c r="AG266">
        <v>16</v>
      </c>
      <c r="AH266">
        <v>0</v>
      </c>
      <c r="AI266">
        <v>0</v>
      </c>
      <c r="AJ266">
        <v>0</v>
      </c>
      <c r="AK266">
        <v>0</v>
      </c>
      <c r="AL266" t="s">
        <v>172</v>
      </c>
      <c r="AM266" t="s">
        <v>173</v>
      </c>
      <c r="AN266" t="s">
        <v>174</v>
      </c>
      <c r="AO266" t="s">
        <v>5311</v>
      </c>
      <c r="AP266" t="s">
        <v>5312</v>
      </c>
      <c r="AQ266" t="s">
        <v>74</v>
      </c>
      <c r="AR266" t="s">
        <v>5313</v>
      </c>
      <c r="AS266" t="s">
        <v>5314</v>
      </c>
      <c r="AT266" t="s">
        <v>5214</v>
      </c>
      <c r="AU266">
        <v>2023</v>
      </c>
      <c r="AV266" t="s">
        <v>74</v>
      </c>
      <c r="AW266" t="s">
        <v>74</v>
      </c>
      <c r="AX266" t="s">
        <v>74</v>
      </c>
      <c r="AY266" t="s">
        <v>74</v>
      </c>
      <c r="AZ266" t="s">
        <v>74</v>
      </c>
      <c r="BA266" t="s">
        <v>74</v>
      </c>
      <c r="BB266" t="s">
        <v>74</v>
      </c>
      <c r="BC266" t="s">
        <v>74</v>
      </c>
      <c r="BD266" t="s">
        <v>74</v>
      </c>
      <c r="BE266" t="s">
        <v>5315</v>
      </c>
      <c r="BF266" t="str">
        <f>HYPERLINK("http://dx.doi.org/10.1007/s43236-023-00690-4","http://dx.doi.org/10.1007/s43236-023-00690-4")</f>
        <v>http://dx.doi.org/10.1007/s43236-023-00690-4</v>
      </c>
      <c r="BG266" t="s">
        <v>74</v>
      </c>
      <c r="BH266" t="s">
        <v>2079</v>
      </c>
      <c r="BI266">
        <v>12</v>
      </c>
      <c r="BJ266" t="s">
        <v>2333</v>
      </c>
      <c r="BK266" t="s">
        <v>126</v>
      </c>
      <c r="BL266" t="s">
        <v>277</v>
      </c>
      <c r="BM266" t="s">
        <v>5316</v>
      </c>
      <c r="BN266" t="s">
        <v>74</v>
      </c>
      <c r="BO266" t="s">
        <v>74</v>
      </c>
      <c r="BP266" t="s">
        <v>74</v>
      </c>
      <c r="BQ266" t="s">
        <v>74</v>
      </c>
      <c r="BR266" t="s">
        <v>99</v>
      </c>
      <c r="BS266" t="s">
        <v>5317</v>
      </c>
      <c r="BT266" t="str">
        <f>HYPERLINK("https%3A%2F%2Fwww.webofscience.com%2Fwos%2Fwoscc%2Ffull-record%2FWOS:001063140100001","View Full Record in Web of Science")</f>
        <v>View Full Record in Web of Science</v>
      </c>
    </row>
    <row r="267" spans="1:72" x14ac:dyDescent="0.15">
      <c r="A267" t="s">
        <v>72</v>
      </c>
      <c r="B267" t="s">
        <v>5318</v>
      </c>
      <c r="C267" t="s">
        <v>74</v>
      </c>
      <c r="D267" t="s">
        <v>74</v>
      </c>
      <c r="E267" t="s">
        <v>74</v>
      </c>
      <c r="F267" t="s">
        <v>5319</v>
      </c>
      <c r="G267" t="s">
        <v>74</v>
      </c>
      <c r="H267" t="s">
        <v>74</v>
      </c>
      <c r="I267" t="s">
        <v>5320</v>
      </c>
      <c r="J267" t="s">
        <v>5321</v>
      </c>
      <c r="K267" t="s">
        <v>74</v>
      </c>
      <c r="L267" t="s">
        <v>74</v>
      </c>
      <c r="M267" t="s">
        <v>78</v>
      </c>
      <c r="N267" t="s">
        <v>1246</v>
      </c>
      <c r="O267" t="s">
        <v>74</v>
      </c>
      <c r="P267" t="s">
        <v>74</v>
      </c>
      <c r="Q267" t="s">
        <v>74</v>
      </c>
      <c r="R267" t="s">
        <v>74</v>
      </c>
      <c r="S267" t="s">
        <v>74</v>
      </c>
      <c r="T267" t="s">
        <v>5322</v>
      </c>
      <c r="U267" t="s">
        <v>74</v>
      </c>
      <c r="V267" t="s">
        <v>5323</v>
      </c>
      <c r="W267" t="s">
        <v>5324</v>
      </c>
      <c r="X267" t="s">
        <v>5325</v>
      </c>
      <c r="Y267" t="s">
        <v>5326</v>
      </c>
      <c r="Z267" t="s">
        <v>5327</v>
      </c>
      <c r="AA267" t="s">
        <v>74</v>
      </c>
      <c r="AB267" t="s">
        <v>74</v>
      </c>
      <c r="AC267" t="s">
        <v>5328</v>
      </c>
      <c r="AD267" t="s">
        <v>5328</v>
      </c>
      <c r="AE267" t="s">
        <v>5328</v>
      </c>
      <c r="AF267" t="s">
        <v>74</v>
      </c>
      <c r="AG267">
        <v>31</v>
      </c>
      <c r="AH267">
        <v>0</v>
      </c>
      <c r="AI267">
        <v>0</v>
      </c>
      <c r="AJ267">
        <v>0</v>
      </c>
      <c r="AK267">
        <v>0</v>
      </c>
      <c r="AL267" t="s">
        <v>317</v>
      </c>
      <c r="AM267" t="s">
        <v>245</v>
      </c>
      <c r="AN267" t="s">
        <v>318</v>
      </c>
      <c r="AO267" t="s">
        <v>5329</v>
      </c>
      <c r="AP267" t="s">
        <v>5330</v>
      </c>
      <c r="AQ267" t="s">
        <v>74</v>
      </c>
      <c r="AR267" t="s">
        <v>5331</v>
      </c>
      <c r="AS267" t="s">
        <v>5332</v>
      </c>
      <c r="AT267" t="s">
        <v>5214</v>
      </c>
      <c r="AU267">
        <v>2023</v>
      </c>
      <c r="AV267" t="s">
        <v>74</v>
      </c>
      <c r="AW267" t="s">
        <v>74</v>
      </c>
      <c r="AX267" t="s">
        <v>74</v>
      </c>
      <c r="AY267" t="s">
        <v>74</v>
      </c>
      <c r="AZ267" t="s">
        <v>74</v>
      </c>
      <c r="BA267" t="s">
        <v>74</v>
      </c>
      <c r="BB267" t="s">
        <v>74</v>
      </c>
      <c r="BC267" t="s">
        <v>74</v>
      </c>
      <c r="BD267" t="s">
        <v>74</v>
      </c>
      <c r="BE267" t="s">
        <v>5333</v>
      </c>
      <c r="BF267" t="str">
        <f>HYPERLINK("http://dx.doi.org/10.1007/s42486-023-00138-5","http://dx.doi.org/10.1007/s42486-023-00138-5")</f>
        <v>http://dx.doi.org/10.1007/s42486-023-00138-5</v>
      </c>
      <c r="BG267" t="s">
        <v>74</v>
      </c>
      <c r="BH267" t="s">
        <v>2079</v>
      </c>
      <c r="BI267">
        <v>19</v>
      </c>
      <c r="BJ267" t="s">
        <v>5334</v>
      </c>
      <c r="BK267" t="s">
        <v>97</v>
      </c>
      <c r="BL267" t="s">
        <v>1139</v>
      </c>
      <c r="BM267" t="s">
        <v>5335</v>
      </c>
      <c r="BN267" t="s">
        <v>74</v>
      </c>
      <c r="BO267" t="s">
        <v>74</v>
      </c>
      <c r="BP267" t="s">
        <v>74</v>
      </c>
      <c r="BQ267" t="s">
        <v>74</v>
      </c>
      <c r="BR267" t="s">
        <v>99</v>
      </c>
      <c r="BS267" t="s">
        <v>5336</v>
      </c>
      <c r="BT267" t="str">
        <f>HYPERLINK("https%3A%2F%2Fwww.webofscience.com%2Fwos%2Fwoscc%2Ffull-record%2FWOS:001063143900001","View Full Record in Web of Science")</f>
        <v>View Full Record in Web of Science</v>
      </c>
    </row>
    <row r="268" spans="1:72" x14ac:dyDescent="0.15">
      <c r="A268" t="s">
        <v>72</v>
      </c>
      <c r="B268" t="s">
        <v>5337</v>
      </c>
      <c r="C268" t="s">
        <v>74</v>
      </c>
      <c r="D268" t="s">
        <v>74</v>
      </c>
      <c r="E268" t="s">
        <v>74</v>
      </c>
      <c r="F268" t="s">
        <v>5338</v>
      </c>
      <c r="G268" t="s">
        <v>74</v>
      </c>
      <c r="H268" t="s">
        <v>74</v>
      </c>
      <c r="I268" t="s">
        <v>5339</v>
      </c>
      <c r="J268" t="s">
        <v>5340</v>
      </c>
      <c r="K268" t="s">
        <v>74</v>
      </c>
      <c r="L268" t="s">
        <v>74</v>
      </c>
      <c r="M268" t="s">
        <v>78</v>
      </c>
      <c r="N268" t="s">
        <v>1246</v>
      </c>
      <c r="O268" t="s">
        <v>74</v>
      </c>
      <c r="P268" t="s">
        <v>74</v>
      </c>
      <c r="Q268" t="s">
        <v>74</v>
      </c>
      <c r="R268" t="s">
        <v>74</v>
      </c>
      <c r="S268" t="s">
        <v>74</v>
      </c>
      <c r="T268" t="s">
        <v>5341</v>
      </c>
      <c r="U268" t="s">
        <v>5342</v>
      </c>
      <c r="V268" t="s">
        <v>5343</v>
      </c>
      <c r="W268" t="s">
        <v>5344</v>
      </c>
      <c r="X268" t="s">
        <v>2814</v>
      </c>
      <c r="Y268" t="s">
        <v>5345</v>
      </c>
      <c r="Z268" t="s">
        <v>5346</v>
      </c>
      <c r="AA268" t="s">
        <v>74</v>
      </c>
      <c r="AB268" t="s">
        <v>74</v>
      </c>
      <c r="AC268" t="s">
        <v>74</v>
      </c>
      <c r="AD268" t="s">
        <v>74</v>
      </c>
      <c r="AE268" t="s">
        <v>74</v>
      </c>
      <c r="AF268" t="s">
        <v>74</v>
      </c>
      <c r="AG268">
        <v>24</v>
      </c>
      <c r="AH268">
        <v>0</v>
      </c>
      <c r="AI268">
        <v>0</v>
      </c>
      <c r="AJ268">
        <v>0</v>
      </c>
      <c r="AK268">
        <v>0</v>
      </c>
      <c r="AL268" t="s">
        <v>5347</v>
      </c>
      <c r="AM268" t="s">
        <v>118</v>
      </c>
      <c r="AN268" t="s">
        <v>5348</v>
      </c>
      <c r="AO268" t="s">
        <v>5349</v>
      </c>
      <c r="AP268" t="s">
        <v>5350</v>
      </c>
      <c r="AQ268" t="s">
        <v>74</v>
      </c>
      <c r="AR268" t="s">
        <v>5351</v>
      </c>
      <c r="AS268" t="s">
        <v>5352</v>
      </c>
      <c r="AT268" t="s">
        <v>5214</v>
      </c>
      <c r="AU268">
        <v>2023</v>
      </c>
      <c r="AV268" t="s">
        <v>74</v>
      </c>
      <c r="AW268" t="s">
        <v>74</v>
      </c>
      <c r="AX268" t="s">
        <v>74</v>
      </c>
      <c r="AY268" t="s">
        <v>74</v>
      </c>
      <c r="AZ268" t="s">
        <v>74</v>
      </c>
      <c r="BA268" t="s">
        <v>74</v>
      </c>
      <c r="BB268" t="s">
        <v>74</v>
      </c>
      <c r="BC268" t="s">
        <v>74</v>
      </c>
      <c r="BD268" t="s">
        <v>74</v>
      </c>
      <c r="BE268" t="s">
        <v>5353</v>
      </c>
      <c r="BF268" t="str">
        <f>HYPERLINK("http://dx.doi.org/10.1134/S1028334X23600755","http://dx.doi.org/10.1134/S1028334X23600755")</f>
        <v>http://dx.doi.org/10.1134/S1028334X23600755</v>
      </c>
      <c r="BG268" t="s">
        <v>74</v>
      </c>
      <c r="BH268" t="s">
        <v>2079</v>
      </c>
      <c r="BI268">
        <v>9</v>
      </c>
      <c r="BJ268" t="s">
        <v>5354</v>
      </c>
      <c r="BK268" t="s">
        <v>126</v>
      </c>
      <c r="BL268" t="s">
        <v>5355</v>
      </c>
      <c r="BM268" t="s">
        <v>5356</v>
      </c>
      <c r="BN268" t="s">
        <v>74</v>
      </c>
      <c r="BO268" t="s">
        <v>74</v>
      </c>
      <c r="BP268" t="s">
        <v>74</v>
      </c>
      <c r="BQ268" t="s">
        <v>74</v>
      </c>
      <c r="BR268" t="s">
        <v>99</v>
      </c>
      <c r="BS268" t="s">
        <v>5357</v>
      </c>
      <c r="BT268" t="str">
        <f>HYPERLINK("https%3A%2F%2Fwww.webofscience.com%2Fwos%2Fwoscc%2Ffull-record%2FWOS:001066447800012","View Full Record in Web of Science")</f>
        <v>View Full Record in Web of Science</v>
      </c>
    </row>
    <row r="269" spans="1:72" x14ac:dyDescent="0.15">
      <c r="A269" t="s">
        <v>72</v>
      </c>
      <c r="B269" t="s">
        <v>5358</v>
      </c>
      <c r="C269" t="s">
        <v>74</v>
      </c>
      <c r="D269" t="s">
        <v>74</v>
      </c>
      <c r="E269" t="s">
        <v>74</v>
      </c>
      <c r="F269" t="s">
        <v>5359</v>
      </c>
      <c r="G269" t="s">
        <v>74</v>
      </c>
      <c r="H269" t="s">
        <v>74</v>
      </c>
      <c r="I269" t="s">
        <v>5360</v>
      </c>
      <c r="J269" t="s">
        <v>2415</v>
      </c>
      <c r="K269" t="s">
        <v>74</v>
      </c>
      <c r="L269" t="s">
        <v>74</v>
      </c>
      <c r="M269" t="s">
        <v>78</v>
      </c>
      <c r="N269" t="s">
        <v>79</v>
      </c>
      <c r="O269" t="s">
        <v>74</v>
      </c>
      <c r="P269" t="s">
        <v>74</v>
      </c>
      <c r="Q269" t="s">
        <v>74</v>
      </c>
      <c r="R269" t="s">
        <v>74</v>
      </c>
      <c r="S269" t="s">
        <v>74</v>
      </c>
      <c r="T269" t="s">
        <v>5361</v>
      </c>
      <c r="U269" t="s">
        <v>5362</v>
      </c>
      <c r="V269" t="s">
        <v>5363</v>
      </c>
      <c r="W269" t="s">
        <v>5364</v>
      </c>
      <c r="X269" t="s">
        <v>5365</v>
      </c>
      <c r="Y269" t="s">
        <v>5366</v>
      </c>
      <c r="Z269" t="s">
        <v>5367</v>
      </c>
      <c r="AA269" t="s">
        <v>74</v>
      </c>
      <c r="AB269" t="s">
        <v>74</v>
      </c>
      <c r="AC269" t="s">
        <v>932</v>
      </c>
      <c r="AD269" t="s">
        <v>932</v>
      </c>
      <c r="AE269" t="s">
        <v>932</v>
      </c>
      <c r="AF269" t="s">
        <v>74</v>
      </c>
      <c r="AG269">
        <v>31</v>
      </c>
      <c r="AH269">
        <v>0</v>
      </c>
      <c r="AI269">
        <v>0</v>
      </c>
      <c r="AJ269">
        <v>0</v>
      </c>
      <c r="AK269">
        <v>0</v>
      </c>
      <c r="AL269" t="s">
        <v>443</v>
      </c>
      <c r="AM269" t="s">
        <v>245</v>
      </c>
      <c r="AN269" t="s">
        <v>444</v>
      </c>
      <c r="AO269" t="s">
        <v>74</v>
      </c>
      <c r="AP269" t="s">
        <v>2425</v>
      </c>
      <c r="AQ269" t="s">
        <v>74</v>
      </c>
      <c r="AR269" t="s">
        <v>2426</v>
      </c>
      <c r="AS269" t="s">
        <v>2427</v>
      </c>
      <c r="AT269" t="s">
        <v>5368</v>
      </c>
      <c r="AU269">
        <v>2023</v>
      </c>
      <c r="AV269">
        <v>23</v>
      </c>
      <c r="AW269">
        <v>1</v>
      </c>
      <c r="AX269" t="s">
        <v>74</v>
      </c>
      <c r="AY269" t="s">
        <v>74</v>
      </c>
      <c r="AZ269" t="s">
        <v>74</v>
      </c>
      <c r="BA269" t="s">
        <v>74</v>
      </c>
      <c r="BB269" t="s">
        <v>74</v>
      </c>
      <c r="BC269" t="s">
        <v>74</v>
      </c>
      <c r="BD269">
        <v>549</v>
      </c>
      <c r="BE269" t="s">
        <v>5369</v>
      </c>
      <c r="BF269" t="str">
        <f>HYPERLINK("http://dx.doi.org/10.1186/s12877-023-04252-y","http://dx.doi.org/10.1186/s12877-023-04252-y")</f>
        <v>http://dx.doi.org/10.1186/s12877-023-04252-y</v>
      </c>
      <c r="BG269" t="s">
        <v>74</v>
      </c>
      <c r="BH269" t="s">
        <v>74</v>
      </c>
      <c r="BI269">
        <v>8</v>
      </c>
      <c r="BJ269" t="s">
        <v>2430</v>
      </c>
      <c r="BK269" t="s">
        <v>2431</v>
      </c>
      <c r="BL269" t="s">
        <v>672</v>
      </c>
      <c r="BM269" t="s">
        <v>5370</v>
      </c>
      <c r="BN269">
        <v>37697242</v>
      </c>
      <c r="BO269" t="s">
        <v>302</v>
      </c>
      <c r="BP269" t="s">
        <v>74</v>
      </c>
      <c r="BQ269" t="s">
        <v>74</v>
      </c>
      <c r="BR269" t="s">
        <v>99</v>
      </c>
      <c r="BS269" t="s">
        <v>5371</v>
      </c>
      <c r="BT269" t="str">
        <f>HYPERLINK("https%3A%2F%2Fwww.webofscience.com%2Fwos%2Fwoscc%2Ffull-record%2FWOS:001063202600002","View Full Record in Web of Science")</f>
        <v>View Full Record in Web of Science</v>
      </c>
    </row>
    <row r="270" spans="1:72" x14ac:dyDescent="0.15">
      <c r="A270" t="s">
        <v>72</v>
      </c>
      <c r="B270" t="s">
        <v>5372</v>
      </c>
      <c r="C270" t="s">
        <v>74</v>
      </c>
      <c r="D270" t="s">
        <v>74</v>
      </c>
      <c r="E270" t="s">
        <v>74</v>
      </c>
      <c r="F270" t="s">
        <v>5373</v>
      </c>
      <c r="G270" t="s">
        <v>74</v>
      </c>
      <c r="H270" t="s">
        <v>74</v>
      </c>
      <c r="I270" t="s">
        <v>5374</v>
      </c>
      <c r="J270" t="s">
        <v>5375</v>
      </c>
      <c r="K270" t="s">
        <v>74</v>
      </c>
      <c r="L270" t="s">
        <v>74</v>
      </c>
      <c r="M270" t="s">
        <v>78</v>
      </c>
      <c r="N270" t="s">
        <v>1246</v>
      </c>
      <c r="O270" t="s">
        <v>74</v>
      </c>
      <c r="P270" t="s">
        <v>74</v>
      </c>
      <c r="Q270" t="s">
        <v>74</v>
      </c>
      <c r="R270" t="s">
        <v>74</v>
      </c>
      <c r="S270" t="s">
        <v>74</v>
      </c>
      <c r="T270" t="s">
        <v>5376</v>
      </c>
      <c r="U270" t="s">
        <v>5377</v>
      </c>
      <c r="V270" t="s">
        <v>5378</v>
      </c>
      <c r="W270" t="s">
        <v>5379</v>
      </c>
      <c r="X270" t="s">
        <v>5380</v>
      </c>
      <c r="Y270" t="s">
        <v>5381</v>
      </c>
      <c r="Z270" t="s">
        <v>5382</v>
      </c>
      <c r="AA270" t="s">
        <v>5383</v>
      </c>
      <c r="AB270" t="s">
        <v>5384</v>
      </c>
      <c r="AC270" t="s">
        <v>74</v>
      </c>
      <c r="AD270" t="s">
        <v>74</v>
      </c>
      <c r="AE270" t="s">
        <v>74</v>
      </c>
      <c r="AF270" t="s">
        <v>74</v>
      </c>
      <c r="AG270">
        <v>53</v>
      </c>
      <c r="AH270">
        <v>0</v>
      </c>
      <c r="AI270">
        <v>0</v>
      </c>
      <c r="AJ270">
        <v>1</v>
      </c>
      <c r="AK270">
        <v>1</v>
      </c>
      <c r="AL270" t="s">
        <v>244</v>
      </c>
      <c r="AM270" t="s">
        <v>245</v>
      </c>
      <c r="AN270" t="s">
        <v>246</v>
      </c>
      <c r="AO270" t="s">
        <v>5385</v>
      </c>
      <c r="AP270" t="s">
        <v>5386</v>
      </c>
      <c r="AQ270" t="s">
        <v>74</v>
      </c>
      <c r="AR270" t="s">
        <v>5387</v>
      </c>
      <c r="AS270" t="s">
        <v>5388</v>
      </c>
      <c r="AT270" t="s">
        <v>5214</v>
      </c>
      <c r="AU270">
        <v>2023</v>
      </c>
      <c r="AV270" t="s">
        <v>74</v>
      </c>
      <c r="AW270" t="s">
        <v>74</v>
      </c>
      <c r="AX270" t="s">
        <v>74</v>
      </c>
      <c r="AY270" t="s">
        <v>74</v>
      </c>
      <c r="AZ270" t="s">
        <v>74</v>
      </c>
      <c r="BA270" t="s">
        <v>74</v>
      </c>
      <c r="BB270" t="s">
        <v>74</v>
      </c>
      <c r="BC270" t="s">
        <v>74</v>
      </c>
      <c r="BD270" t="s">
        <v>74</v>
      </c>
      <c r="BE270" t="s">
        <v>5389</v>
      </c>
      <c r="BF270" t="str">
        <f>HYPERLINK("http://dx.doi.org/10.1007/s00521-023-08971-6","http://dx.doi.org/10.1007/s00521-023-08971-6")</f>
        <v>http://dx.doi.org/10.1007/s00521-023-08971-6</v>
      </c>
      <c r="BG270" t="s">
        <v>74</v>
      </c>
      <c r="BH270" t="s">
        <v>2079</v>
      </c>
      <c r="BI270">
        <v>14</v>
      </c>
      <c r="BJ270" t="s">
        <v>5390</v>
      </c>
      <c r="BK270" t="s">
        <v>126</v>
      </c>
      <c r="BL270" t="s">
        <v>1139</v>
      </c>
      <c r="BM270" t="s">
        <v>5391</v>
      </c>
      <c r="BN270" t="s">
        <v>74</v>
      </c>
      <c r="BO270" t="s">
        <v>74</v>
      </c>
      <c r="BP270" t="s">
        <v>74</v>
      </c>
      <c r="BQ270" t="s">
        <v>74</v>
      </c>
      <c r="BR270" t="s">
        <v>99</v>
      </c>
      <c r="BS270" t="s">
        <v>5392</v>
      </c>
      <c r="BT270" t="str">
        <f>HYPERLINK("https%3A%2F%2Fwww.webofscience.com%2Fwos%2Fwoscc%2Ffull-record%2FWOS:001063380700001","View Full Record in Web of Science")</f>
        <v>View Full Record in Web of Science</v>
      </c>
    </row>
    <row r="271" spans="1:72" x14ac:dyDescent="0.15">
      <c r="A271" t="s">
        <v>72</v>
      </c>
      <c r="B271" t="s">
        <v>5393</v>
      </c>
      <c r="C271" t="s">
        <v>74</v>
      </c>
      <c r="D271" t="s">
        <v>74</v>
      </c>
      <c r="E271" t="s">
        <v>74</v>
      </c>
      <c r="F271" t="s">
        <v>5394</v>
      </c>
      <c r="G271" t="s">
        <v>74</v>
      </c>
      <c r="H271" t="s">
        <v>74</v>
      </c>
      <c r="I271" t="s">
        <v>5395</v>
      </c>
      <c r="J271" t="s">
        <v>5396</v>
      </c>
      <c r="K271" t="s">
        <v>74</v>
      </c>
      <c r="L271" t="s">
        <v>74</v>
      </c>
      <c r="M271" t="s">
        <v>78</v>
      </c>
      <c r="N271" t="s">
        <v>79</v>
      </c>
      <c r="O271" t="s">
        <v>74</v>
      </c>
      <c r="P271" t="s">
        <v>74</v>
      </c>
      <c r="Q271" t="s">
        <v>74</v>
      </c>
      <c r="R271" t="s">
        <v>74</v>
      </c>
      <c r="S271" t="s">
        <v>74</v>
      </c>
      <c r="T271" t="s">
        <v>74</v>
      </c>
      <c r="U271" t="s">
        <v>5397</v>
      </c>
      <c r="V271" t="s">
        <v>5398</v>
      </c>
      <c r="W271" t="s">
        <v>5399</v>
      </c>
      <c r="X271" t="s">
        <v>5400</v>
      </c>
      <c r="Y271" t="s">
        <v>5401</v>
      </c>
      <c r="Z271" t="s">
        <v>5402</v>
      </c>
      <c r="AA271" t="s">
        <v>74</v>
      </c>
      <c r="AB271" t="s">
        <v>5403</v>
      </c>
      <c r="AC271" t="s">
        <v>74</v>
      </c>
      <c r="AD271" t="s">
        <v>74</v>
      </c>
      <c r="AE271" t="s">
        <v>74</v>
      </c>
      <c r="AF271" t="s">
        <v>74</v>
      </c>
      <c r="AG271">
        <v>92</v>
      </c>
      <c r="AH271">
        <v>0</v>
      </c>
      <c r="AI271">
        <v>0</v>
      </c>
      <c r="AJ271">
        <v>0</v>
      </c>
      <c r="AK271">
        <v>0</v>
      </c>
      <c r="AL271" t="s">
        <v>172</v>
      </c>
      <c r="AM271" t="s">
        <v>173</v>
      </c>
      <c r="AN271" t="s">
        <v>174</v>
      </c>
      <c r="AO271" t="s">
        <v>5404</v>
      </c>
      <c r="AP271" t="s">
        <v>74</v>
      </c>
      <c r="AQ271" t="s">
        <v>74</v>
      </c>
      <c r="AR271" t="s">
        <v>5405</v>
      </c>
      <c r="AS271" t="s">
        <v>5406</v>
      </c>
      <c r="AT271" t="s">
        <v>5368</v>
      </c>
      <c r="AU271">
        <v>2023</v>
      </c>
      <c r="AV271">
        <v>138</v>
      </c>
      <c r="AW271">
        <v>9</v>
      </c>
      <c r="AX271" t="s">
        <v>74</v>
      </c>
      <c r="AY271" t="s">
        <v>74</v>
      </c>
      <c r="AZ271" t="s">
        <v>74</v>
      </c>
      <c r="BA271" t="s">
        <v>74</v>
      </c>
      <c r="BB271" t="s">
        <v>74</v>
      </c>
      <c r="BC271" t="s">
        <v>74</v>
      </c>
      <c r="BD271">
        <v>797</v>
      </c>
      <c r="BE271" t="s">
        <v>5407</v>
      </c>
      <c r="BF271" t="str">
        <f>HYPERLINK("http://dx.doi.org/10.1140/epjp/s13360-023-04421-3","http://dx.doi.org/10.1140/epjp/s13360-023-04421-3")</f>
        <v>http://dx.doi.org/10.1140/epjp/s13360-023-04421-3</v>
      </c>
      <c r="BG271" t="s">
        <v>74</v>
      </c>
      <c r="BH271" t="s">
        <v>74</v>
      </c>
      <c r="BI271">
        <v>14</v>
      </c>
      <c r="BJ271" t="s">
        <v>386</v>
      </c>
      <c r="BK271" t="s">
        <v>126</v>
      </c>
      <c r="BL271" t="s">
        <v>387</v>
      </c>
      <c r="BM271" t="s">
        <v>5408</v>
      </c>
      <c r="BN271" t="s">
        <v>74</v>
      </c>
      <c r="BO271" t="s">
        <v>74</v>
      </c>
      <c r="BP271" t="s">
        <v>74</v>
      </c>
      <c r="BQ271" t="s">
        <v>74</v>
      </c>
      <c r="BR271" t="s">
        <v>99</v>
      </c>
      <c r="BS271" t="s">
        <v>5409</v>
      </c>
      <c r="BT271" t="str">
        <f>HYPERLINK("https%3A%2F%2Fwww.webofscience.com%2Fwos%2Fwoscc%2Ffull-record%2FWOS:001062436400001","View Full Record in Web of Science")</f>
        <v>View Full Record in Web of Science</v>
      </c>
    </row>
    <row r="272" spans="1:72" x14ac:dyDescent="0.15">
      <c r="A272" t="s">
        <v>72</v>
      </c>
      <c r="B272" t="s">
        <v>5410</v>
      </c>
      <c r="C272" t="s">
        <v>74</v>
      </c>
      <c r="D272" t="s">
        <v>74</v>
      </c>
      <c r="E272" t="s">
        <v>74</v>
      </c>
      <c r="F272" t="s">
        <v>5411</v>
      </c>
      <c r="G272" t="s">
        <v>74</v>
      </c>
      <c r="H272" t="s">
        <v>74</v>
      </c>
      <c r="I272" t="s">
        <v>5412</v>
      </c>
      <c r="J272" t="s">
        <v>5413</v>
      </c>
      <c r="K272" t="s">
        <v>74</v>
      </c>
      <c r="L272" t="s">
        <v>74</v>
      </c>
      <c r="M272" t="s">
        <v>78</v>
      </c>
      <c r="N272" t="s">
        <v>79</v>
      </c>
      <c r="O272" t="s">
        <v>74</v>
      </c>
      <c r="P272" t="s">
        <v>74</v>
      </c>
      <c r="Q272" t="s">
        <v>74</v>
      </c>
      <c r="R272" t="s">
        <v>74</v>
      </c>
      <c r="S272" t="s">
        <v>74</v>
      </c>
      <c r="T272" t="s">
        <v>5414</v>
      </c>
      <c r="U272" t="s">
        <v>74</v>
      </c>
      <c r="V272" t="s">
        <v>5415</v>
      </c>
      <c r="W272" t="s">
        <v>5416</v>
      </c>
      <c r="X272" t="s">
        <v>5417</v>
      </c>
      <c r="Y272" t="s">
        <v>5418</v>
      </c>
      <c r="Z272" t="s">
        <v>5419</v>
      </c>
      <c r="AA272" t="s">
        <v>74</v>
      </c>
      <c r="AB272" t="s">
        <v>74</v>
      </c>
      <c r="AC272" t="s">
        <v>5420</v>
      </c>
      <c r="AD272" t="s">
        <v>5420</v>
      </c>
      <c r="AE272" t="s">
        <v>5421</v>
      </c>
      <c r="AF272" t="s">
        <v>74</v>
      </c>
      <c r="AG272">
        <v>0</v>
      </c>
      <c r="AH272">
        <v>0</v>
      </c>
      <c r="AI272">
        <v>0</v>
      </c>
      <c r="AJ272">
        <v>0</v>
      </c>
      <c r="AK272">
        <v>0</v>
      </c>
      <c r="AL272" t="s">
        <v>443</v>
      </c>
      <c r="AM272" t="s">
        <v>245</v>
      </c>
      <c r="AN272" t="s">
        <v>444</v>
      </c>
      <c r="AO272" t="s">
        <v>5422</v>
      </c>
      <c r="AP272" t="s">
        <v>5423</v>
      </c>
      <c r="AQ272" t="s">
        <v>74</v>
      </c>
      <c r="AR272" t="s">
        <v>5424</v>
      </c>
      <c r="AS272" t="s">
        <v>5425</v>
      </c>
      <c r="AT272" t="s">
        <v>5368</v>
      </c>
      <c r="AU272">
        <v>2023</v>
      </c>
      <c r="AV272">
        <v>51</v>
      </c>
      <c r="AW272">
        <v>1</v>
      </c>
      <c r="AX272" t="s">
        <v>74</v>
      </c>
      <c r="AY272" t="s">
        <v>74</v>
      </c>
      <c r="AZ272" t="s">
        <v>74</v>
      </c>
      <c r="BA272" t="s">
        <v>74</v>
      </c>
      <c r="BB272" t="s">
        <v>74</v>
      </c>
      <c r="BC272" t="s">
        <v>74</v>
      </c>
      <c r="BD272">
        <v>51</v>
      </c>
      <c r="BE272" t="s">
        <v>5426</v>
      </c>
      <c r="BF272" t="str">
        <f>HYPERLINK("http://dx.doi.org/10.1186/s41182-023-00543-7","http://dx.doi.org/10.1186/s41182-023-00543-7")</f>
        <v>http://dx.doi.org/10.1186/s41182-023-00543-7</v>
      </c>
      <c r="BG272" t="s">
        <v>74</v>
      </c>
      <c r="BH272" t="s">
        <v>74</v>
      </c>
      <c r="BI272">
        <v>4</v>
      </c>
      <c r="BJ272" t="s">
        <v>5427</v>
      </c>
      <c r="BK272" t="s">
        <v>97</v>
      </c>
      <c r="BL272" t="s">
        <v>5427</v>
      </c>
      <c r="BM272" t="s">
        <v>5428</v>
      </c>
      <c r="BN272">
        <v>37697346</v>
      </c>
      <c r="BO272" t="s">
        <v>302</v>
      </c>
      <c r="BP272" t="s">
        <v>74</v>
      </c>
      <c r="BQ272" t="s">
        <v>74</v>
      </c>
      <c r="BR272" t="s">
        <v>99</v>
      </c>
      <c r="BS272" t="s">
        <v>5429</v>
      </c>
      <c r="BT272" t="str">
        <f>HYPERLINK("https%3A%2F%2Fwww.webofscience.com%2Fwos%2Fwoscc%2Ffull-record%2FWOS:001065938900001","View Full Record in Web of Science")</f>
        <v>View Full Record in Web of Science</v>
      </c>
    </row>
    <row r="273" spans="1:72" x14ac:dyDescent="0.15">
      <c r="A273" t="s">
        <v>72</v>
      </c>
      <c r="B273" t="s">
        <v>5430</v>
      </c>
      <c r="C273" t="s">
        <v>74</v>
      </c>
      <c r="D273" t="s">
        <v>74</v>
      </c>
      <c r="E273" t="s">
        <v>74</v>
      </c>
      <c r="F273" t="s">
        <v>5431</v>
      </c>
      <c r="G273" t="s">
        <v>74</v>
      </c>
      <c r="H273" t="s">
        <v>74</v>
      </c>
      <c r="I273" t="s">
        <v>5432</v>
      </c>
      <c r="J273" t="s">
        <v>5433</v>
      </c>
      <c r="K273" t="s">
        <v>74</v>
      </c>
      <c r="L273" t="s">
        <v>74</v>
      </c>
      <c r="M273" t="s">
        <v>78</v>
      </c>
      <c r="N273" t="s">
        <v>79</v>
      </c>
      <c r="O273" t="s">
        <v>74</v>
      </c>
      <c r="P273" t="s">
        <v>74</v>
      </c>
      <c r="Q273" t="s">
        <v>74</v>
      </c>
      <c r="R273" t="s">
        <v>74</v>
      </c>
      <c r="S273" t="s">
        <v>74</v>
      </c>
      <c r="T273" t="s">
        <v>5434</v>
      </c>
      <c r="U273" t="s">
        <v>5435</v>
      </c>
      <c r="V273" t="s">
        <v>5436</v>
      </c>
      <c r="W273" t="s">
        <v>5437</v>
      </c>
      <c r="X273" t="s">
        <v>5438</v>
      </c>
      <c r="Y273" t="s">
        <v>5439</v>
      </c>
      <c r="Z273" t="s">
        <v>5440</v>
      </c>
      <c r="AA273" t="s">
        <v>74</v>
      </c>
      <c r="AB273" t="s">
        <v>74</v>
      </c>
      <c r="AC273" t="s">
        <v>5441</v>
      </c>
      <c r="AD273" t="s">
        <v>5441</v>
      </c>
      <c r="AE273" t="s">
        <v>5441</v>
      </c>
      <c r="AF273" t="s">
        <v>74</v>
      </c>
      <c r="AG273">
        <v>16</v>
      </c>
      <c r="AH273">
        <v>0</v>
      </c>
      <c r="AI273">
        <v>0</v>
      </c>
      <c r="AJ273">
        <v>0</v>
      </c>
      <c r="AK273">
        <v>0</v>
      </c>
      <c r="AL273" t="s">
        <v>443</v>
      </c>
      <c r="AM273" t="s">
        <v>245</v>
      </c>
      <c r="AN273" t="s">
        <v>444</v>
      </c>
      <c r="AO273" t="s">
        <v>74</v>
      </c>
      <c r="AP273" t="s">
        <v>5442</v>
      </c>
      <c r="AQ273" t="s">
        <v>74</v>
      </c>
      <c r="AR273" t="s">
        <v>5443</v>
      </c>
      <c r="AS273" t="s">
        <v>5444</v>
      </c>
      <c r="AT273" t="s">
        <v>5368</v>
      </c>
      <c r="AU273">
        <v>2023</v>
      </c>
      <c r="AV273">
        <v>21</v>
      </c>
      <c r="AW273">
        <v>1</v>
      </c>
      <c r="AX273" t="s">
        <v>74</v>
      </c>
      <c r="AY273" t="s">
        <v>74</v>
      </c>
      <c r="AZ273" t="s">
        <v>74</v>
      </c>
      <c r="BA273" t="s">
        <v>74</v>
      </c>
      <c r="BB273" t="s">
        <v>74</v>
      </c>
      <c r="BC273" t="s">
        <v>74</v>
      </c>
      <c r="BD273">
        <v>97</v>
      </c>
      <c r="BE273" t="s">
        <v>5445</v>
      </c>
      <c r="BF273" t="str">
        <f>HYPERLINK("http://dx.doi.org/10.1186/s12969-023-00888-7","http://dx.doi.org/10.1186/s12969-023-00888-7")</f>
        <v>http://dx.doi.org/10.1186/s12969-023-00888-7</v>
      </c>
      <c r="BG273" t="s">
        <v>74</v>
      </c>
      <c r="BH273" t="s">
        <v>74</v>
      </c>
      <c r="BI273">
        <v>7</v>
      </c>
      <c r="BJ273" t="s">
        <v>5446</v>
      </c>
      <c r="BK273" t="s">
        <v>126</v>
      </c>
      <c r="BL273" t="s">
        <v>5446</v>
      </c>
      <c r="BM273" t="s">
        <v>5447</v>
      </c>
      <c r="BN273">
        <v>37697374</v>
      </c>
      <c r="BO273" t="s">
        <v>302</v>
      </c>
      <c r="BP273" t="s">
        <v>74</v>
      </c>
      <c r="BQ273" t="s">
        <v>74</v>
      </c>
      <c r="BR273" t="s">
        <v>99</v>
      </c>
      <c r="BS273" t="s">
        <v>5448</v>
      </c>
      <c r="BT273" t="str">
        <f>HYPERLINK("https%3A%2F%2Fwww.webofscience.com%2Fwos%2Fwoscc%2Ffull-record%2FWOS:001065806700001","View Full Record in Web of Science")</f>
        <v>View Full Record in Web of Science</v>
      </c>
    </row>
    <row r="274" spans="1:72" x14ac:dyDescent="0.15">
      <c r="A274" t="s">
        <v>72</v>
      </c>
      <c r="B274" t="s">
        <v>5449</v>
      </c>
      <c r="C274" t="s">
        <v>74</v>
      </c>
      <c r="D274" t="s">
        <v>74</v>
      </c>
      <c r="E274" t="s">
        <v>74</v>
      </c>
      <c r="F274" t="s">
        <v>5450</v>
      </c>
      <c r="G274" t="s">
        <v>74</v>
      </c>
      <c r="H274" t="s">
        <v>74</v>
      </c>
      <c r="I274" t="s">
        <v>5451</v>
      </c>
      <c r="J274" t="s">
        <v>5452</v>
      </c>
      <c r="K274" t="s">
        <v>74</v>
      </c>
      <c r="L274" t="s">
        <v>74</v>
      </c>
      <c r="M274" t="s">
        <v>78</v>
      </c>
      <c r="N274" t="s">
        <v>2174</v>
      </c>
      <c r="O274" t="s">
        <v>74</v>
      </c>
      <c r="P274" t="s">
        <v>74</v>
      </c>
      <c r="Q274" t="s">
        <v>74</v>
      </c>
      <c r="R274" t="s">
        <v>74</v>
      </c>
      <c r="S274" t="s">
        <v>74</v>
      </c>
      <c r="T274" t="s">
        <v>5453</v>
      </c>
      <c r="U274" t="s">
        <v>5454</v>
      </c>
      <c r="V274" t="s">
        <v>5455</v>
      </c>
      <c r="W274" t="s">
        <v>5456</v>
      </c>
      <c r="X274" t="s">
        <v>5457</v>
      </c>
      <c r="Y274" t="s">
        <v>5458</v>
      </c>
      <c r="Z274" t="s">
        <v>5459</v>
      </c>
      <c r="AA274" t="s">
        <v>5460</v>
      </c>
      <c r="AB274" t="s">
        <v>5461</v>
      </c>
      <c r="AC274" t="s">
        <v>5462</v>
      </c>
      <c r="AD274" t="s">
        <v>5462</v>
      </c>
      <c r="AE274" t="s">
        <v>5463</v>
      </c>
      <c r="AF274" t="s">
        <v>74</v>
      </c>
      <c r="AG274">
        <v>37</v>
      </c>
      <c r="AH274">
        <v>0</v>
      </c>
      <c r="AI274">
        <v>0</v>
      </c>
      <c r="AJ274">
        <v>0</v>
      </c>
      <c r="AK274">
        <v>0</v>
      </c>
      <c r="AL274" t="s">
        <v>1295</v>
      </c>
      <c r="AM274" t="s">
        <v>1296</v>
      </c>
      <c r="AN274" t="s">
        <v>1297</v>
      </c>
      <c r="AO274" t="s">
        <v>5464</v>
      </c>
      <c r="AP274" t="s">
        <v>5465</v>
      </c>
      <c r="AQ274" t="s">
        <v>74</v>
      </c>
      <c r="AR274" t="s">
        <v>5466</v>
      </c>
      <c r="AS274" t="s">
        <v>5467</v>
      </c>
      <c r="AT274" t="s">
        <v>5214</v>
      </c>
      <c r="AU274">
        <v>2023</v>
      </c>
      <c r="AV274" t="s">
        <v>74</v>
      </c>
      <c r="AW274" t="s">
        <v>74</v>
      </c>
      <c r="AX274" t="s">
        <v>74</v>
      </c>
      <c r="AY274" t="s">
        <v>74</v>
      </c>
      <c r="AZ274" t="s">
        <v>74</v>
      </c>
      <c r="BA274" t="s">
        <v>74</v>
      </c>
      <c r="BB274" t="s">
        <v>74</v>
      </c>
      <c r="BC274" t="s">
        <v>74</v>
      </c>
      <c r="BD274" t="s">
        <v>74</v>
      </c>
      <c r="BE274" t="s">
        <v>5468</v>
      </c>
      <c r="BF274" t="str">
        <f>HYPERLINK("http://dx.doi.org/10.1007/s13304-023-01641-1","http://dx.doi.org/10.1007/s13304-023-01641-1")</f>
        <v>http://dx.doi.org/10.1007/s13304-023-01641-1</v>
      </c>
      <c r="BG274" t="s">
        <v>74</v>
      </c>
      <c r="BH274" t="s">
        <v>2079</v>
      </c>
      <c r="BI274">
        <v>9</v>
      </c>
      <c r="BJ274" t="s">
        <v>2373</v>
      </c>
      <c r="BK274" t="s">
        <v>126</v>
      </c>
      <c r="BL274" t="s">
        <v>2373</v>
      </c>
      <c r="BM274" t="s">
        <v>5469</v>
      </c>
      <c r="BN274">
        <v>37695503</v>
      </c>
      <c r="BO274" t="s">
        <v>183</v>
      </c>
      <c r="BP274" t="s">
        <v>74</v>
      </c>
      <c r="BQ274" t="s">
        <v>74</v>
      </c>
      <c r="BR274" t="s">
        <v>99</v>
      </c>
      <c r="BS274" t="s">
        <v>5470</v>
      </c>
      <c r="BT274" t="str">
        <f>HYPERLINK("https%3A%2F%2Fwww.webofscience.com%2Fwos%2Fwoscc%2Ffull-record%2FWOS:001063381000001","View Full Record in Web of Science")</f>
        <v>View Full Record in Web of Science</v>
      </c>
    </row>
    <row r="275" spans="1:72" x14ac:dyDescent="0.15">
      <c r="A275" t="s">
        <v>72</v>
      </c>
      <c r="B275" t="s">
        <v>5471</v>
      </c>
      <c r="C275" t="s">
        <v>74</v>
      </c>
      <c r="D275" t="s">
        <v>74</v>
      </c>
      <c r="E275" t="s">
        <v>74</v>
      </c>
      <c r="F275" t="s">
        <v>5472</v>
      </c>
      <c r="G275" t="s">
        <v>74</v>
      </c>
      <c r="H275" t="s">
        <v>74</v>
      </c>
      <c r="I275" t="s">
        <v>5473</v>
      </c>
      <c r="J275" t="s">
        <v>5474</v>
      </c>
      <c r="K275" t="s">
        <v>74</v>
      </c>
      <c r="L275" t="s">
        <v>74</v>
      </c>
      <c r="M275" t="s">
        <v>78</v>
      </c>
      <c r="N275" t="s">
        <v>79</v>
      </c>
      <c r="O275" t="s">
        <v>74</v>
      </c>
      <c r="P275" t="s">
        <v>74</v>
      </c>
      <c r="Q275" t="s">
        <v>74</v>
      </c>
      <c r="R275" t="s">
        <v>74</v>
      </c>
      <c r="S275" t="s">
        <v>74</v>
      </c>
      <c r="T275" t="s">
        <v>5475</v>
      </c>
      <c r="U275" t="s">
        <v>74</v>
      </c>
      <c r="V275" t="s">
        <v>5476</v>
      </c>
      <c r="W275" t="s">
        <v>5477</v>
      </c>
      <c r="X275" t="s">
        <v>5478</v>
      </c>
      <c r="Y275" t="s">
        <v>5479</v>
      </c>
      <c r="Z275" t="s">
        <v>5480</v>
      </c>
      <c r="AA275" t="s">
        <v>74</v>
      </c>
      <c r="AB275" t="s">
        <v>74</v>
      </c>
      <c r="AC275" t="s">
        <v>5481</v>
      </c>
      <c r="AD275" t="s">
        <v>5481</v>
      </c>
      <c r="AE275" t="s">
        <v>5482</v>
      </c>
      <c r="AF275" t="s">
        <v>74</v>
      </c>
      <c r="AG275">
        <v>7</v>
      </c>
      <c r="AH275">
        <v>0</v>
      </c>
      <c r="AI275">
        <v>0</v>
      </c>
      <c r="AJ275">
        <v>0</v>
      </c>
      <c r="AK275">
        <v>0</v>
      </c>
      <c r="AL275" t="s">
        <v>443</v>
      </c>
      <c r="AM275" t="s">
        <v>245</v>
      </c>
      <c r="AN275" t="s">
        <v>444</v>
      </c>
      <c r="AO275" t="s">
        <v>74</v>
      </c>
      <c r="AP275" t="s">
        <v>5483</v>
      </c>
      <c r="AQ275" t="s">
        <v>74</v>
      </c>
      <c r="AR275" t="s">
        <v>5474</v>
      </c>
      <c r="AS275" t="s">
        <v>5484</v>
      </c>
      <c r="AT275" t="s">
        <v>5368</v>
      </c>
      <c r="AU275">
        <v>2023</v>
      </c>
      <c r="AV275">
        <v>24</v>
      </c>
      <c r="AW275">
        <v>1</v>
      </c>
      <c r="AX275" t="s">
        <v>74</v>
      </c>
      <c r="AY275" t="s">
        <v>74</v>
      </c>
      <c r="AZ275" t="s">
        <v>74</v>
      </c>
      <c r="BA275" t="s">
        <v>74</v>
      </c>
      <c r="BB275" t="s">
        <v>74</v>
      </c>
      <c r="BC275" t="s">
        <v>74</v>
      </c>
      <c r="BD275">
        <v>579</v>
      </c>
      <c r="BE275" t="s">
        <v>5485</v>
      </c>
      <c r="BF275" t="str">
        <f>HYPERLINK("http://dx.doi.org/10.1186/s13063-023-07623-3","http://dx.doi.org/10.1186/s13063-023-07623-3")</f>
        <v>http://dx.doi.org/10.1186/s13063-023-07623-3</v>
      </c>
      <c r="BG275" t="s">
        <v>74</v>
      </c>
      <c r="BH275" t="s">
        <v>74</v>
      </c>
      <c r="BI275">
        <v>3</v>
      </c>
      <c r="BJ275" t="s">
        <v>3415</v>
      </c>
      <c r="BK275" t="s">
        <v>126</v>
      </c>
      <c r="BL275" t="s">
        <v>3416</v>
      </c>
      <c r="BM275" t="s">
        <v>5486</v>
      </c>
      <c r="BN275">
        <v>37691093</v>
      </c>
      <c r="BO275" t="s">
        <v>302</v>
      </c>
      <c r="BP275" t="s">
        <v>74</v>
      </c>
      <c r="BQ275" t="s">
        <v>74</v>
      </c>
      <c r="BR275" t="s">
        <v>99</v>
      </c>
      <c r="BS275" t="s">
        <v>5487</v>
      </c>
      <c r="BT275" t="str">
        <f>HYPERLINK("https%3A%2F%2Fwww.webofscience.com%2Fwos%2Fwoscc%2Ffull-record%2FWOS:001065030100001","View Full Record in Web of Science")</f>
        <v>View Full Record in Web of Science</v>
      </c>
    </row>
    <row r="276" spans="1:72" x14ac:dyDescent="0.15">
      <c r="A276" t="s">
        <v>72</v>
      </c>
      <c r="B276" t="s">
        <v>5488</v>
      </c>
      <c r="C276" t="s">
        <v>74</v>
      </c>
      <c r="D276" t="s">
        <v>74</v>
      </c>
      <c r="E276" t="s">
        <v>74</v>
      </c>
      <c r="F276" t="s">
        <v>5489</v>
      </c>
      <c r="G276" t="s">
        <v>74</v>
      </c>
      <c r="H276" t="s">
        <v>74</v>
      </c>
      <c r="I276" t="s">
        <v>5490</v>
      </c>
      <c r="J276" t="s">
        <v>5491</v>
      </c>
      <c r="K276" t="s">
        <v>74</v>
      </c>
      <c r="L276" t="s">
        <v>74</v>
      </c>
      <c r="M276" t="s">
        <v>78</v>
      </c>
      <c r="N276" t="s">
        <v>3139</v>
      </c>
      <c r="O276" t="s">
        <v>74</v>
      </c>
      <c r="P276" t="s">
        <v>74</v>
      </c>
      <c r="Q276" t="s">
        <v>74</v>
      </c>
      <c r="R276" t="s">
        <v>74</v>
      </c>
      <c r="S276" t="s">
        <v>74</v>
      </c>
      <c r="T276" t="s">
        <v>74</v>
      </c>
      <c r="U276" t="s">
        <v>74</v>
      </c>
      <c r="V276" t="s">
        <v>74</v>
      </c>
      <c r="W276" t="s">
        <v>5492</v>
      </c>
      <c r="X276" t="s">
        <v>5493</v>
      </c>
      <c r="Y276" t="s">
        <v>5494</v>
      </c>
      <c r="Z276" t="s">
        <v>5495</v>
      </c>
      <c r="AA276" t="s">
        <v>74</v>
      </c>
      <c r="AB276" t="s">
        <v>74</v>
      </c>
      <c r="AC276" t="s">
        <v>74</v>
      </c>
      <c r="AD276" t="s">
        <v>74</v>
      </c>
      <c r="AE276" t="s">
        <v>74</v>
      </c>
      <c r="AF276" t="s">
        <v>74</v>
      </c>
      <c r="AG276">
        <v>0</v>
      </c>
      <c r="AH276">
        <v>0</v>
      </c>
      <c r="AI276">
        <v>0</v>
      </c>
      <c r="AJ276">
        <v>0</v>
      </c>
      <c r="AK276">
        <v>0</v>
      </c>
      <c r="AL276" t="s">
        <v>117</v>
      </c>
      <c r="AM276" t="s">
        <v>627</v>
      </c>
      <c r="AN276" t="s">
        <v>628</v>
      </c>
      <c r="AO276" t="s">
        <v>5496</v>
      </c>
      <c r="AP276" t="s">
        <v>5497</v>
      </c>
      <c r="AQ276" t="s">
        <v>74</v>
      </c>
      <c r="AR276" t="s">
        <v>5498</v>
      </c>
      <c r="AS276" t="s">
        <v>5499</v>
      </c>
      <c r="AT276" t="s">
        <v>5214</v>
      </c>
      <c r="AU276">
        <v>2023</v>
      </c>
      <c r="AV276" t="s">
        <v>74</v>
      </c>
      <c r="AW276" t="s">
        <v>74</v>
      </c>
      <c r="AX276" t="s">
        <v>74</v>
      </c>
      <c r="AY276" t="s">
        <v>74</v>
      </c>
      <c r="AZ276" t="s">
        <v>74</v>
      </c>
      <c r="BA276" t="s">
        <v>74</v>
      </c>
      <c r="BB276" t="s">
        <v>74</v>
      </c>
      <c r="BC276" t="s">
        <v>74</v>
      </c>
      <c r="BD276" t="s">
        <v>74</v>
      </c>
      <c r="BE276" t="s">
        <v>5500</v>
      </c>
      <c r="BF276" t="str">
        <f>HYPERLINK("http://dx.doi.org/10.1007/s10546-023-00828-8","http://dx.doi.org/10.1007/s10546-023-00828-8")</f>
        <v>http://dx.doi.org/10.1007/s10546-023-00828-8</v>
      </c>
      <c r="BG276" t="s">
        <v>74</v>
      </c>
      <c r="BH276" t="s">
        <v>2079</v>
      </c>
      <c r="BI276">
        <v>3</v>
      </c>
      <c r="BJ276" t="s">
        <v>5501</v>
      </c>
      <c r="BK276" t="s">
        <v>126</v>
      </c>
      <c r="BL276" t="s">
        <v>5501</v>
      </c>
      <c r="BM276" t="s">
        <v>5502</v>
      </c>
      <c r="BN276" t="s">
        <v>74</v>
      </c>
      <c r="BO276" t="s">
        <v>762</v>
      </c>
      <c r="BP276" t="s">
        <v>74</v>
      </c>
      <c r="BQ276" t="s">
        <v>74</v>
      </c>
      <c r="BR276" t="s">
        <v>99</v>
      </c>
      <c r="BS276" t="s">
        <v>5503</v>
      </c>
      <c r="BT276" t="str">
        <f>HYPERLINK("https%3A%2F%2Fwww.webofscience.com%2Fwos%2Fwoscc%2Ffull-record%2FWOS:001067377700001","View Full Record in Web of Science")</f>
        <v>View Full Record in Web of Science</v>
      </c>
    </row>
    <row r="277" spans="1:72" x14ac:dyDescent="0.15">
      <c r="A277" t="s">
        <v>72</v>
      </c>
      <c r="B277" t="s">
        <v>5504</v>
      </c>
      <c r="C277" t="s">
        <v>74</v>
      </c>
      <c r="D277" t="s">
        <v>74</v>
      </c>
      <c r="E277" t="s">
        <v>74</v>
      </c>
      <c r="F277" t="s">
        <v>5505</v>
      </c>
      <c r="G277" t="s">
        <v>74</v>
      </c>
      <c r="H277" t="s">
        <v>74</v>
      </c>
      <c r="I277" t="s">
        <v>5506</v>
      </c>
      <c r="J277" t="s">
        <v>5507</v>
      </c>
      <c r="K277" t="s">
        <v>74</v>
      </c>
      <c r="L277" t="s">
        <v>74</v>
      </c>
      <c r="M277" t="s">
        <v>78</v>
      </c>
      <c r="N277" t="s">
        <v>1246</v>
      </c>
      <c r="O277" t="s">
        <v>74</v>
      </c>
      <c r="P277" t="s">
        <v>74</v>
      </c>
      <c r="Q277" t="s">
        <v>74</v>
      </c>
      <c r="R277" t="s">
        <v>74</v>
      </c>
      <c r="S277" t="s">
        <v>74</v>
      </c>
      <c r="T277" t="s">
        <v>5508</v>
      </c>
      <c r="U277" t="s">
        <v>5509</v>
      </c>
      <c r="V277" t="s">
        <v>5510</v>
      </c>
      <c r="W277" t="s">
        <v>5511</v>
      </c>
      <c r="X277" t="s">
        <v>3567</v>
      </c>
      <c r="Y277" t="s">
        <v>5512</v>
      </c>
      <c r="Z277" t="s">
        <v>5513</v>
      </c>
      <c r="AA277" t="s">
        <v>74</v>
      </c>
      <c r="AB277" t="s">
        <v>74</v>
      </c>
      <c r="AC277" t="s">
        <v>2755</v>
      </c>
      <c r="AD277" t="s">
        <v>2755</v>
      </c>
      <c r="AE277" t="s">
        <v>2755</v>
      </c>
      <c r="AF277" t="s">
        <v>74</v>
      </c>
      <c r="AG277">
        <v>15</v>
      </c>
      <c r="AH277">
        <v>0</v>
      </c>
      <c r="AI277">
        <v>0</v>
      </c>
      <c r="AJ277">
        <v>0</v>
      </c>
      <c r="AK277">
        <v>0</v>
      </c>
      <c r="AL277" t="s">
        <v>117</v>
      </c>
      <c r="AM277" t="s">
        <v>118</v>
      </c>
      <c r="AN277" t="s">
        <v>119</v>
      </c>
      <c r="AO277" t="s">
        <v>5514</v>
      </c>
      <c r="AP277" t="s">
        <v>5515</v>
      </c>
      <c r="AQ277" t="s">
        <v>74</v>
      </c>
      <c r="AR277" t="s">
        <v>5516</v>
      </c>
      <c r="AS277" t="s">
        <v>5517</v>
      </c>
      <c r="AT277" t="s">
        <v>5214</v>
      </c>
      <c r="AU277">
        <v>2023</v>
      </c>
      <c r="AV277" t="s">
        <v>74</v>
      </c>
      <c r="AW277" t="s">
        <v>74</v>
      </c>
      <c r="AX277" t="s">
        <v>74</v>
      </c>
      <c r="AY277" t="s">
        <v>74</v>
      </c>
      <c r="AZ277" t="s">
        <v>74</v>
      </c>
      <c r="BA277" t="s">
        <v>74</v>
      </c>
      <c r="BB277" t="s">
        <v>74</v>
      </c>
      <c r="BC277" t="s">
        <v>74</v>
      </c>
      <c r="BD277" t="s">
        <v>74</v>
      </c>
      <c r="BE277" t="s">
        <v>5518</v>
      </c>
      <c r="BF277" t="str">
        <f>HYPERLINK("http://dx.doi.org/10.1007/s00266-023-03645","http://dx.doi.org/10.1007/s00266-023-03645")</f>
        <v>http://dx.doi.org/10.1007/s00266-023-03645</v>
      </c>
      <c r="BG277" t="s">
        <v>74</v>
      </c>
      <c r="BH277" t="s">
        <v>2079</v>
      </c>
      <c r="BI277">
        <v>8</v>
      </c>
      <c r="BJ277" t="s">
        <v>2373</v>
      </c>
      <c r="BK277" t="s">
        <v>126</v>
      </c>
      <c r="BL277" t="s">
        <v>2373</v>
      </c>
      <c r="BM277" t="s">
        <v>5519</v>
      </c>
      <c r="BN277" t="s">
        <v>74</v>
      </c>
      <c r="BO277" t="s">
        <v>74</v>
      </c>
      <c r="BP277" t="s">
        <v>74</v>
      </c>
      <c r="BQ277" t="s">
        <v>74</v>
      </c>
      <c r="BR277" t="s">
        <v>99</v>
      </c>
      <c r="BS277" t="s">
        <v>5520</v>
      </c>
      <c r="BT277" t="str">
        <f>HYPERLINK("https%3A%2F%2Fwww.webofscience.com%2Fwos%2Fwoscc%2Ffull-record%2FWOS:001066387000004","View Full Record in Web of Science")</f>
        <v>View Full Record in Web of Science</v>
      </c>
    </row>
    <row r="278" spans="1:72" x14ac:dyDescent="0.15">
      <c r="A278" t="s">
        <v>72</v>
      </c>
      <c r="B278" t="s">
        <v>5521</v>
      </c>
      <c r="C278" t="s">
        <v>74</v>
      </c>
      <c r="D278" t="s">
        <v>74</v>
      </c>
      <c r="E278" t="s">
        <v>74</v>
      </c>
      <c r="F278" t="s">
        <v>5522</v>
      </c>
      <c r="G278" t="s">
        <v>74</v>
      </c>
      <c r="H278" t="s">
        <v>74</v>
      </c>
      <c r="I278" t="s">
        <v>5523</v>
      </c>
      <c r="J278" t="s">
        <v>3767</v>
      </c>
      <c r="K278" t="s">
        <v>74</v>
      </c>
      <c r="L278" t="s">
        <v>74</v>
      </c>
      <c r="M278" t="s">
        <v>78</v>
      </c>
      <c r="N278" t="s">
        <v>1246</v>
      </c>
      <c r="O278" t="s">
        <v>74</v>
      </c>
      <c r="P278" t="s">
        <v>74</v>
      </c>
      <c r="Q278" t="s">
        <v>74</v>
      </c>
      <c r="R278" t="s">
        <v>74</v>
      </c>
      <c r="S278" t="s">
        <v>74</v>
      </c>
      <c r="T278" t="s">
        <v>5524</v>
      </c>
      <c r="U278" t="s">
        <v>74</v>
      </c>
      <c r="V278" t="s">
        <v>5525</v>
      </c>
      <c r="W278" t="s">
        <v>5526</v>
      </c>
      <c r="X278" t="s">
        <v>5527</v>
      </c>
      <c r="Y278" t="s">
        <v>5528</v>
      </c>
      <c r="Z278" t="s">
        <v>5529</v>
      </c>
      <c r="AA278" t="s">
        <v>74</v>
      </c>
      <c r="AB278" t="s">
        <v>74</v>
      </c>
      <c r="AC278" t="s">
        <v>74</v>
      </c>
      <c r="AD278" t="s">
        <v>74</v>
      </c>
      <c r="AE278" t="s">
        <v>74</v>
      </c>
      <c r="AF278" t="s">
        <v>74</v>
      </c>
      <c r="AG278">
        <v>9</v>
      </c>
      <c r="AH278">
        <v>0</v>
      </c>
      <c r="AI278">
        <v>0</v>
      </c>
      <c r="AJ278">
        <v>0</v>
      </c>
      <c r="AK278">
        <v>0</v>
      </c>
      <c r="AL278" t="s">
        <v>117</v>
      </c>
      <c r="AM278" t="s">
        <v>627</v>
      </c>
      <c r="AN278" t="s">
        <v>628</v>
      </c>
      <c r="AO278" t="s">
        <v>3774</v>
      </c>
      <c r="AP278" t="s">
        <v>3775</v>
      </c>
      <c r="AQ278" t="s">
        <v>74</v>
      </c>
      <c r="AR278" t="s">
        <v>3776</v>
      </c>
      <c r="AS278" t="s">
        <v>3777</v>
      </c>
      <c r="AT278" t="s">
        <v>5214</v>
      </c>
      <c r="AU278">
        <v>2023</v>
      </c>
      <c r="AV278" t="s">
        <v>74</v>
      </c>
      <c r="AW278" t="s">
        <v>74</v>
      </c>
      <c r="AX278" t="s">
        <v>74</v>
      </c>
      <c r="AY278" t="s">
        <v>74</v>
      </c>
      <c r="AZ278" t="s">
        <v>74</v>
      </c>
      <c r="BA278" t="s">
        <v>74</v>
      </c>
      <c r="BB278" t="s">
        <v>74</v>
      </c>
      <c r="BC278" t="s">
        <v>74</v>
      </c>
      <c r="BD278" t="s">
        <v>74</v>
      </c>
      <c r="BE278" t="s">
        <v>5530</v>
      </c>
      <c r="BF278" t="str">
        <f>HYPERLINK("http://dx.doi.org/10.1007/s11098-023-02034-1","http://dx.doi.org/10.1007/s11098-023-02034-1")</f>
        <v>http://dx.doi.org/10.1007/s11098-023-02034-1</v>
      </c>
      <c r="BG278" t="s">
        <v>74</v>
      </c>
      <c r="BH278" t="s">
        <v>2079</v>
      </c>
      <c r="BI278">
        <v>10</v>
      </c>
      <c r="BJ278" t="s">
        <v>3779</v>
      </c>
      <c r="BK278" t="s">
        <v>3780</v>
      </c>
      <c r="BL278" t="s">
        <v>3779</v>
      </c>
      <c r="BM278" t="s">
        <v>5531</v>
      </c>
      <c r="BN278" t="s">
        <v>74</v>
      </c>
      <c r="BO278" t="s">
        <v>74</v>
      </c>
      <c r="BP278" t="s">
        <v>74</v>
      </c>
      <c r="BQ278" t="s">
        <v>74</v>
      </c>
      <c r="BR278" t="s">
        <v>99</v>
      </c>
      <c r="BS278" t="s">
        <v>5532</v>
      </c>
      <c r="BT278" t="str">
        <f>HYPERLINK("https%3A%2F%2Fwww.webofscience.com%2Fwos%2Fwoscc%2Ffull-record%2FWOS:001066437900003","View Full Record in Web of Science")</f>
        <v>View Full Record in Web of Science</v>
      </c>
    </row>
    <row r="279" spans="1:72" x14ac:dyDescent="0.15">
      <c r="A279" t="s">
        <v>72</v>
      </c>
      <c r="B279" t="s">
        <v>5533</v>
      </c>
      <c r="C279" t="s">
        <v>74</v>
      </c>
      <c r="D279" t="s">
        <v>74</v>
      </c>
      <c r="E279" t="s">
        <v>74</v>
      </c>
      <c r="F279" t="s">
        <v>5534</v>
      </c>
      <c r="G279" t="s">
        <v>74</v>
      </c>
      <c r="H279" t="s">
        <v>74</v>
      </c>
      <c r="I279" t="s">
        <v>5535</v>
      </c>
      <c r="J279" t="s">
        <v>5536</v>
      </c>
      <c r="K279" t="s">
        <v>74</v>
      </c>
      <c r="L279" t="s">
        <v>74</v>
      </c>
      <c r="M279" t="s">
        <v>78</v>
      </c>
      <c r="N279" t="s">
        <v>1246</v>
      </c>
      <c r="O279" t="s">
        <v>74</v>
      </c>
      <c r="P279" t="s">
        <v>74</v>
      </c>
      <c r="Q279" t="s">
        <v>74</v>
      </c>
      <c r="R279" t="s">
        <v>74</v>
      </c>
      <c r="S279" t="s">
        <v>74</v>
      </c>
      <c r="T279" t="s">
        <v>5537</v>
      </c>
      <c r="U279" t="s">
        <v>5538</v>
      </c>
      <c r="V279" t="s">
        <v>5539</v>
      </c>
      <c r="W279" t="s">
        <v>5540</v>
      </c>
      <c r="X279" t="s">
        <v>5541</v>
      </c>
      <c r="Y279" t="s">
        <v>5542</v>
      </c>
      <c r="Z279" t="s">
        <v>5543</v>
      </c>
      <c r="AA279" t="s">
        <v>74</v>
      </c>
      <c r="AB279" t="s">
        <v>74</v>
      </c>
      <c r="AC279" t="s">
        <v>74</v>
      </c>
      <c r="AD279" t="s">
        <v>74</v>
      </c>
      <c r="AE279" t="s">
        <v>74</v>
      </c>
      <c r="AF279" t="s">
        <v>74</v>
      </c>
      <c r="AG279">
        <v>57</v>
      </c>
      <c r="AH279">
        <v>0</v>
      </c>
      <c r="AI279">
        <v>0</v>
      </c>
      <c r="AJ279">
        <v>3</v>
      </c>
      <c r="AK279">
        <v>3</v>
      </c>
      <c r="AL279" t="s">
        <v>117</v>
      </c>
      <c r="AM279" t="s">
        <v>627</v>
      </c>
      <c r="AN279" t="s">
        <v>628</v>
      </c>
      <c r="AO279" t="s">
        <v>5544</v>
      </c>
      <c r="AP279" t="s">
        <v>5545</v>
      </c>
      <c r="AQ279" t="s">
        <v>74</v>
      </c>
      <c r="AR279" t="s">
        <v>5546</v>
      </c>
      <c r="AS279" t="s">
        <v>5547</v>
      </c>
      <c r="AT279" t="s">
        <v>5214</v>
      </c>
      <c r="AU279">
        <v>2023</v>
      </c>
      <c r="AV279" t="s">
        <v>74</v>
      </c>
      <c r="AW279" t="s">
        <v>74</v>
      </c>
      <c r="AX279" t="s">
        <v>74</v>
      </c>
      <c r="AY279" t="s">
        <v>74</v>
      </c>
      <c r="AZ279" t="s">
        <v>74</v>
      </c>
      <c r="BA279" t="s">
        <v>74</v>
      </c>
      <c r="BB279" t="s">
        <v>74</v>
      </c>
      <c r="BC279" t="s">
        <v>74</v>
      </c>
      <c r="BD279" t="s">
        <v>74</v>
      </c>
      <c r="BE279" t="s">
        <v>5548</v>
      </c>
      <c r="BF279" t="str">
        <f>HYPERLINK("http://dx.doi.org/10.1007/s10798-023-09848-4","http://dx.doi.org/10.1007/s10798-023-09848-4")</f>
        <v>http://dx.doi.org/10.1007/s10798-023-09848-4</v>
      </c>
      <c r="BG279" t="s">
        <v>74</v>
      </c>
      <c r="BH279" t="s">
        <v>2079</v>
      </c>
      <c r="BI279">
        <v>17</v>
      </c>
      <c r="BJ279" t="s">
        <v>5549</v>
      </c>
      <c r="BK279" t="s">
        <v>2431</v>
      </c>
      <c r="BL279" t="s">
        <v>5550</v>
      </c>
      <c r="BM279" t="s">
        <v>5551</v>
      </c>
      <c r="BN279" t="s">
        <v>74</v>
      </c>
      <c r="BO279" t="s">
        <v>74</v>
      </c>
      <c r="BP279" t="s">
        <v>74</v>
      </c>
      <c r="BQ279" t="s">
        <v>74</v>
      </c>
      <c r="BR279" t="s">
        <v>99</v>
      </c>
      <c r="BS279" t="s">
        <v>5552</v>
      </c>
      <c r="BT279" t="str">
        <f>HYPERLINK("https%3A%2F%2Fwww.webofscience.com%2Fwos%2Fwoscc%2Ffull-record%2FWOS:001063364600001","View Full Record in Web of Science")</f>
        <v>View Full Record in Web of Science</v>
      </c>
    </row>
    <row r="280" spans="1:72" x14ac:dyDescent="0.15">
      <c r="A280" t="s">
        <v>72</v>
      </c>
      <c r="B280" t="s">
        <v>5553</v>
      </c>
      <c r="C280" t="s">
        <v>74</v>
      </c>
      <c r="D280" t="s">
        <v>74</v>
      </c>
      <c r="E280" t="s">
        <v>74</v>
      </c>
      <c r="F280" t="s">
        <v>5553</v>
      </c>
      <c r="G280" t="s">
        <v>74</v>
      </c>
      <c r="H280" t="s">
        <v>74</v>
      </c>
      <c r="I280" t="s">
        <v>5554</v>
      </c>
      <c r="J280" t="s">
        <v>5555</v>
      </c>
      <c r="K280" t="s">
        <v>74</v>
      </c>
      <c r="L280" t="s">
        <v>74</v>
      </c>
      <c r="M280" t="s">
        <v>78</v>
      </c>
      <c r="N280" t="s">
        <v>5556</v>
      </c>
      <c r="O280" t="s">
        <v>74</v>
      </c>
      <c r="P280" t="s">
        <v>74</v>
      </c>
      <c r="Q280" t="s">
        <v>74</v>
      </c>
      <c r="R280" t="s">
        <v>74</v>
      </c>
      <c r="S280" t="s">
        <v>74</v>
      </c>
      <c r="T280" t="s">
        <v>74</v>
      </c>
      <c r="U280" t="s">
        <v>74</v>
      </c>
      <c r="V280" t="s">
        <v>74</v>
      </c>
      <c r="W280" t="s">
        <v>74</v>
      </c>
      <c r="X280" t="s">
        <v>74</v>
      </c>
      <c r="Y280" t="s">
        <v>74</v>
      </c>
      <c r="Z280" t="s">
        <v>74</v>
      </c>
      <c r="AA280" t="s">
        <v>74</v>
      </c>
      <c r="AB280" t="s">
        <v>74</v>
      </c>
      <c r="AC280" t="s">
        <v>74</v>
      </c>
      <c r="AD280" t="s">
        <v>74</v>
      </c>
      <c r="AE280" t="s">
        <v>74</v>
      </c>
      <c r="AF280" t="s">
        <v>74</v>
      </c>
      <c r="AG280">
        <v>0</v>
      </c>
      <c r="AH280">
        <v>0</v>
      </c>
      <c r="AI280">
        <v>0</v>
      </c>
      <c r="AJ280">
        <v>0</v>
      </c>
      <c r="AK280">
        <v>0</v>
      </c>
      <c r="AL280" t="s">
        <v>5557</v>
      </c>
      <c r="AM280" t="s">
        <v>5558</v>
      </c>
      <c r="AN280" t="s">
        <v>5559</v>
      </c>
      <c r="AO280" t="s">
        <v>5560</v>
      </c>
      <c r="AP280" t="s">
        <v>5561</v>
      </c>
      <c r="AQ280" t="s">
        <v>74</v>
      </c>
      <c r="AR280" t="s">
        <v>5562</v>
      </c>
      <c r="AS280" t="s">
        <v>5563</v>
      </c>
      <c r="AT280" t="s">
        <v>5368</v>
      </c>
      <c r="AU280">
        <v>2023</v>
      </c>
      <c r="AV280" t="s">
        <v>74</v>
      </c>
      <c r="AW280" t="s">
        <v>74</v>
      </c>
      <c r="AX280" t="s">
        <v>74</v>
      </c>
      <c r="AY280" t="s">
        <v>74</v>
      </c>
      <c r="AZ280" t="s">
        <v>74</v>
      </c>
      <c r="BA280" t="s">
        <v>74</v>
      </c>
      <c r="BB280" t="s">
        <v>74</v>
      </c>
      <c r="BC280" t="s">
        <v>74</v>
      </c>
      <c r="BD280" t="s">
        <v>74</v>
      </c>
      <c r="BE280" t="s">
        <v>5564</v>
      </c>
      <c r="BF280" t="str">
        <f>HYPERLINK("http://dx.doi.org/10.1007/s00276-023-03224-6","http://dx.doi.org/10.1007/s00276-023-03224-6")</f>
        <v>http://dx.doi.org/10.1007/s00276-023-03224-6</v>
      </c>
      <c r="BG280" t="s">
        <v>74</v>
      </c>
      <c r="BH280" t="s">
        <v>2079</v>
      </c>
      <c r="BI280">
        <v>68</v>
      </c>
      <c r="BJ280" t="s">
        <v>5565</v>
      </c>
      <c r="BK280" t="s">
        <v>126</v>
      </c>
      <c r="BL280" t="s">
        <v>5565</v>
      </c>
      <c r="BM280" t="s">
        <v>5566</v>
      </c>
      <c r="BN280">
        <v>37696967</v>
      </c>
      <c r="BO280" t="s">
        <v>74</v>
      </c>
      <c r="BP280" t="s">
        <v>74</v>
      </c>
      <c r="BQ280" t="s">
        <v>74</v>
      </c>
      <c r="BR280" t="s">
        <v>99</v>
      </c>
      <c r="BS280" t="s">
        <v>5567</v>
      </c>
      <c r="BT280" t="str">
        <f>HYPERLINK("https%3A%2F%2Fwww.webofscience.com%2Fwos%2Fwoscc%2Ffull-record%2FWOS:001068833300001","View Full Record in Web of Science")</f>
        <v>View Full Record in Web of Science</v>
      </c>
    </row>
    <row r="281" spans="1:72" x14ac:dyDescent="0.15">
      <c r="A281" t="s">
        <v>72</v>
      </c>
      <c r="B281" t="s">
        <v>5568</v>
      </c>
      <c r="C281" t="s">
        <v>74</v>
      </c>
      <c r="D281" t="s">
        <v>74</v>
      </c>
      <c r="E281" t="s">
        <v>74</v>
      </c>
      <c r="F281" t="s">
        <v>5569</v>
      </c>
      <c r="G281" t="s">
        <v>74</v>
      </c>
      <c r="H281" t="s">
        <v>74</v>
      </c>
      <c r="I281" t="s">
        <v>5570</v>
      </c>
      <c r="J281" t="s">
        <v>5571</v>
      </c>
      <c r="K281" t="s">
        <v>74</v>
      </c>
      <c r="L281" t="s">
        <v>74</v>
      </c>
      <c r="M281" t="s">
        <v>78</v>
      </c>
      <c r="N281" t="s">
        <v>3139</v>
      </c>
      <c r="O281" t="s">
        <v>74</v>
      </c>
      <c r="P281" t="s">
        <v>74</v>
      </c>
      <c r="Q281" t="s">
        <v>74</v>
      </c>
      <c r="R281" t="s">
        <v>74</v>
      </c>
      <c r="S281" t="s">
        <v>74</v>
      </c>
      <c r="T281" t="s">
        <v>74</v>
      </c>
      <c r="U281" t="s">
        <v>74</v>
      </c>
      <c r="V281" t="s">
        <v>74</v>
      </c>
      <c r="W281" t="s">
        <v>5572</v>
      </c>
      <c r="X281" t="s">
        <v>5573</v>
      </c>
      <c r="Y281" t="s">
        <v>5574</v>
      </c>
      <c r="Z281" t="s">
        <v>5575</v>
      </c>
      <c r="AA281" t="s">
        <v>5576</v>
      </c>
      <c r="AB281" t="s">
        <v>5577</v>
      </c>
      <c r="AC281" t="s">
        <v>74</v>
      </c>
      <c r="AD281" t="s">
        <v>74</v>
      </c>
      <c r="AE281" t="s">
        <v>74</v>
      </c>
      <c r="AF281" t="s">
        <v>74</v>
      </c>
      <c r="AG281">
        <v>13</v>
      </c>
      <c r="AH281">
        <v>0</v>
      </c>
      <c r="AI281">
        <v>0</v>
      </c>
      <c r="AJ281">
        <v>0</v>
      </c>
      <c r="AK281">
        <v>0</v>
      </c>
      <c r="AL281" t="s">
        <v>117</v>
      </c>
      <c r="AM281" t="s">
        <v>118</v>
      </c>
      <c r="AN281" t="s">
        <v>119</v>
      </c>
      <c r="AO281" t="s">
        <v>5578</v>
      </c>
      <c r="AP281" t="s">
        <v>5579</v>
      </c>
      <c r="AQ281" t="s">
        <v>74</v>
      </c>
      <c r="AR281" t="s">
        <v>5580</v>
      </c>
      <c r="AS281" t="s">
        <v>5581</v>
      </c>
      <c r="AT281" t="s">
        <v>5582</v>
      </c>
      <c r="AU281">
        <v>2023</v>
      </c>
      <c r="AV281" t="s">
        <v>74</v>
      </c>
      <c r="AW281" t="s">
        <v>74</v>
      </c>
      <c r="AX281" t="s">
        <v>74</v>
      </c>
      <c r="AY281" t="s">
        <v>74</v>
      </c>
      <c r="AZ281" t="s">
        <v>74</v>
      </c>
      <c r="BA281" t="s">
        <v>74</v>
      </c>
      <c r="BB281" t="s">
        <v>74</v>
      </c>
      <c r="BC281" t="s">
        <v>74</v>
      </c>
      <c r="BD281" t="s">
        <v>74</v>
      </c>
      <c r="BE281" t="s">
        <v>5583</v>
      </c>
      <c r="BF281" t="str">
        <f>HYPERLINK("http://dx.doi.org/10.1007/s00268-023-07167-2","http://dx.doi.org/10.1007/s00268-023-07167-2")</f>
        <v>http://dx.doi.org/10.1007/s00268-023-07167-2</v>
      </c>
      <c r="BG281" t="s">
        <v>74</v>
      </c>
      <c r="BH281" t="s">
        <v>2079</v>
      </c>
      <c r="BI281">
        <v>2</v>
      </c>
      <c r="BJ281" t="s">
        <v>2373</v>
      </c>
      <c r="BK281" t="s">
        <v>126</v>
      </c>
      <c r="BL281" t="s">
        <v>2373</v>
      </c>
      <c r="BM281" t="s">
        <v>5584</v>
      </c>
      <c r="BN281">
        <v>37689598</v>
      </c>
      <c r="BO281" t="s">
        <v>762</v>
      </c>
      <c r="BP281" t="s">
        <v>74</v>
      </c>
      <c r="BQ281" t="s">
        <v>74</v>
      </c>
      <c r="BR281" t="s">
        <v>99</v>
      </c>
      <c r="BS281" t="s">
        <v>5585</v>
      </c>
      <c r="BT281" t="str">
        <f>HYPERLINK("https%3A%2F%2Fwww.webofscience.com%2Fwos%2Fwoscc%2Ffull-record%2FWOS:001064987600002","View Full Record in Web of Science")</f>
        <v>View Full Record in Web of Science</v>
      </c>
    </row>
    <row r="282" spans="1:72" x14ac:dyDescent="0.15">
      <c r="A282" t="s">
        <v>72</v>
      </c>
      <c r="B282" t="s">
        <v>5586</v>
      </c>
      <c r="C282" t="s">
        <v>74</v>
      </c>
      <c r="D282" t="s">
        <v>74</v>
      </c>
      <c r="E282" t="s">
        <v>74</v>
      </c>
      <c r="F282" t="s">
        <v>5587</v>
      </c>
      <c r="G282" t="s">
        <v>74</v>
      </c>
      <c r="H282" t="s">
        <v>74</v>
      </c>
      <c r="I282" t="s">
        <v>5588</v>
      </c>
      <c r="J282" t="s">
        <v>5589</v>
      </c>
      <c r="K282" t="s">
        <v>74</v>
      </c>
      <c r="L282" t="s">
        <v>74</v>
      </c>
      <c r="M282" t="s">
        <v>78</v>
      </c>
      <c r="N282" t="s">
        <v>1246</v>
      </c>
      <c r="O282" t="s">
        <v>74</v>
      </c>
      <c r="P282" t="s">
        <v>74</v>
      </c>
      <c r="Q282" t="s">
        <v>74</v>
      </c>
      <c r="R282" t="s">
        <v>74</v>
      </c>
      <c r="S282" t="s">
        <v>74</v>
      </c>
      <c r="T282" t="s">
        <v>5590</v>
      </c>
      <c r="U282" t="s">
        <v>5591</v>
      </c>
      <c r="V282" t="s">
        <v>5592</v>
      </c>
      <c r="W282" t="s">
        <v>5593</v>
      </c>
      <c r="X282" t="s">
        <v>5594</v>
      </c>
      <c r="Y282" t="s">
        <v>5595</v>
      </c>
      <c r="Z282" t="s">
        <v>5596</v>
      </c>
      <c r="AA282" t="s">
        <v>74</v>
      </c>
      <c r="AB282" t="s">
        <v>5597</v>
      </c>
      <c r="AC282" t="s">
        <v>5598</v>
      </c>
      <c r="AD282" t="s">
        <v>5599</v>
      </c>
      <c r="AE282" t="s">
        <v>5600</v>
      </c>
      <c r="AF282" t="s">
        <v>74</v>
      </c>
      <c r="AG282">
        <v>34</v>
      </c>
      <c r="AH282">
        <v>0</v>
      </c>
      <c r="AI282">
        <v>0</v>
      </c>
      <c r="AJ282">
        <v>0</v>
      </c>
      <c r="AK282">
        <v>0</v>
      </c>
      <c r="AL282" t="s">
        <v>117</v>
      </c>
      <c r="AM282" t="s">
        <v>118</v>
      </c>
      <c r="AN282" t="s">
        <v>119</v>
      </c>
      <c r="AO282" t="s">
        <v>5601</v>
      </c>
      <c r="AP282" t="s">
        <v>5602</v>
      </c>
      <c r="AQ282" t="s">
        <v>74</v>
      </c>
      <c r="AR282" t="s">
        <v>5603</v>
      </c>
      <c r="AS282" t="s">
        <v>5604</v>
      </c>
      <c r="AT282" t="s">
        <v>5582</v>
      </c>
      <c r="AU282">
        <v>2023</v>
      </c>
      <c r="AV282" t="s">
        <v>74</v>
      </c>
      <c r="AW282" t="s">
        <v>74</v>
      </c>
      <c r="AX282" t="s">
        <v>74</v>
      </c>
      <c r="AY282" t="s">
        <v>74</v>
      </c>
      <c r="AZ282" t="s">
        <v>74</v>
      </c>
      <c r="BA282" t="s">
        <v>74</v>
      </c>
      <c r="BB282" t="s">
        <v>74</v>
      </c>
      <c r="BC282" t="s">
        <v>74</v>
      </c>
      <c r="BD282" t="s">
        <v>74</v>
      </c>
      <c r="BE282" t="s">
        <v>5605</v>
      </c>
      <c r="BF282" t="str">
        <f>HYPERLINK("http://dx.doi.org/10.1007/s00223-023-01131-x","http://dx.doi.org/10.1007/s00223-023-01131-x")</f>
        <v>http://dx.doi.org/10.1007/s00223-023-01131-x</v>
      </c>
      <c r="BG282" t="s">
        <v>74</v>
      </c>
      <c r="BH282" t="s">
        <v>2079</v>
      </c>
      <c r="BI282">
        <v>15</v>
      </c>
      <c r="BJ282" t="s">
        <v>5606</v>
      </c>
      <c r="BK282" t="s">
        <v>126</v>
      </c>
      <c r="BL282" t="s">
        <v>5606</v>
      </c>
      <c r="BM282" t="s">
        <v>5607</v>
      </c>
      <c r="BN282">
        <v>37690031</v>
      </c>
      <c r="BO282" t="s">
        <v>183</v>
      </c>
      <c r="BP282" t="s">
        <v>74</v>
      </c>
      <c r="BQ282" t="s">
        <v>74</v>
      </c>
      <c r="BR282" t="s">
        <v>99</v>
      </c>
      <c r="BS282" t="s">
        <v>5608</v>
      </c>
      <c r="BT282" t="str">
        <f>HYPERLINK("https%3A%2F%2Fwww.webofscience.com%2Fwos%2Fwoscc%2Ffull-record%2FWOS:001065199000001","View Full Record in Web of Science")</f>
        <v>View Full Record in Web of Science</v>
      </c>
    </row>
    <row r="283" spans="1:72" x14ac:dyDescent="0.15">
      <c r="A283" t="s">
        <v>72</v>
      </c>
      <c r="B283" t="s">
        <v>5609</v>
      </c>
      <c r="C283" t="s">
        <v>74</v>
      </c>
      <c r="D283" t="s">
        <v>74</v>
      </c>
      <c r="E283" t="s">
        <v>74</v>
      </c>
      <c r="F283" t="s">
        <v>5610</v>
      </c>
      <c r="G283" t="s">
        <v>74</v>
      </c>
      <c r="H283" t="s">
        <v>74</v>
      </c>
      <c r="I283" t="s">
        <v>5611</v>
      </c>
      <c r="J283" t="s">
        <v>5612</v>
      </c>
      <c r="K283" t="s">
        <v>74</v>
      </c>
      <c r="L283" t="s">
        <v>74</v>
      </c>
      <c r="M283" t="s">
        <v>78</v>
      </c>
      <c r="N283" t="s">
        <v>1246</v>
      </c>
      <c r="O283" t="s">
        <v>74</v>
      </c>
      <c r="P283" t="s">
        <v>74</v>
      </c>
      <c r="Q283" t="s">
        <v>74</v>
      </c>
      <c r="R283" t="s">
        <v>74</v>
      </c>
      <c r="S283" t="s">
        <v>74</v>
      </c>
      <c r="T283" t="s">
        <v>5613</v>
      </c>
      <c r="U283" t="s">
        <v>5614</v>
      </c>
      <c r="V283" t="s">
        <v>5615</v>
      </c>
      <c r="W283" t="s">
        <v>5616</v>
      </c>
      <c r="X283" t="s">
        <v>5617</v>
      </c>
      <c r="Y283" t="s">
        <v>5618</v>
      </c>
      <c r="Z283" t="s">
        <v>5619</v>
      </c>
      <c r="AA283" t="s">
        <v>74</v>
      </c>
      <c r="AB283" t="s">
        <v>74</v>
      </c>
      <c r="AC283" t="s">
        <v>5620</v>
      </c>
      <c r="AD283" t="s">
        <v>823</v>
      </c>
      <c r="AE283" t="s">
        <v>5621</v>
      </c>
      <c r="AF283" t="s">
        <v>74</v>
      </c>
      <c r="AG283">
        <v>43</v>
      </c>
      <c r="AH283">
        <v>0</v>
      </c>
      <c r="AI283">
        <v>0</v>
      </c>
      <c r="AJ283">
        <v>0</v>
      </c>
      <c r="AK283">
        <v>0</v>
      </c>
      <c r="AL283" t="s">
        <v>172</v>
      </c>
      <c r="AM283" t="s">
        <v>173</v>
      </c>
      <c r="AN283" t="s">
        <v>174</v>
      </c>
      <c r="AO283" t="s">
        <v>5622</v>
      </c>
      <c r="AP283" t="s">
        <v>5623</v>
      </c>
      <c r="AQ283" t="s">
        <v>74</v>
      </c>
      <c r="AR283" t="s">
        <v>5612</v>
      </c>
      <c r="AS283" t="s">
        <v>5624</v>
      </c>
      <c r="AT283" t="s">
        <v>5582</v>
      </c>
      <c r="AU283">
        <v>2023</v>
      </c>
      <c r="AV283" t="s">
        <v>74</v>
      </c>
      <c r="AW283" t="s">
        <v>74</v>
      </c>
      <c r="AX283" t="s">
        <v>74</v>
      </c>
      <c r="AY283" t="s">
        <v>74</v>
      </c>
      <c r="AZ283" t="s">
        <v>74</v>
      </c>
      <c r="BA283" t="s">
        <v>74</v>
      </c>
      <c r="BB283" t="s">
        <v>74</v>
      </c>
      <c r="BC283" t="s">
        <v>74</v>
      </c>
      <c r="BD283" t="s">
        <v>5625</v>
      </c>
      <c r="BE283" t="s">
        <v>5626</v>
      </c>
      <c r="BF283" t="str">
        <f>HYPERLINK("http://dx.doi.org/10.1007/s00184-023-00923-3","http://dx.doi.org/10.1007/s00184-023-00923-3")</f>
        <v>http://dx.doi.org/10.1007/s00184-023-00923-3</v>
      </c>
      <c r="BG283" t="s">
        <v>74</v>
      </c>
      <c r="BH283" t="s">
        <v>2079</v>
      </c>
      <c r="BI283">
        <v>42</v>
      </c>
      <c r="BJ283" t="s">
        <v>4945</v>
      </c>
      <c r="BK283" t="s">
        <v>126</v>
      </c>
      <c r="BL283" t="s">
        <v>228</v>
      </c>
      <c r="BM283" t="s">
        <v>5627</v>
      </c>
      <c r="BN283" t="s">
        <v>74</v>
      </c>
      <c r="BO283" t="s">
        <v>327</v>
      </c>
      <c r="BP283" t="s">
        <v>74</v>
      </c>
      <c r="BQ283" t="s">
        <v>74</v>
      </c>
      <c r="BR283" t="s">
        <v>99</v>
      </c>
      <c r="BS283" t="s">
        <v>5628</v>
      </c>
      <c r="BT283" t="str">
        <f>HYPERLINK("https%3A%2F%2Fwww.webofscience.com%2Fwos%2Fwoscc%2Ffull-record%2FWOS:001061983100001","View Full Record in Web of Science")</f>
        <v>View Full Record in Web of Science</v>
      </c>
    </row>
    <row r="284" spans="1:72" x14ac:dyDescent="0.15">
      <c r="A284" t="s">
        <v>72</v>
      </c>
      <c r="B284" t="s">
        <v>5629</v>
      </c>
      <c r="C284" t="s">
        <v>74</v>
      </c>
      <c r="D284" t="s">
        <v>74</v>
      </c>
      <c r="E284" t="s">
        <v>74</v>
      </c>
      <c r="F284" t="s">
        <v>5630</v>
      </c>
      <c r="G284" t="s">
        <v>74</v>
      </c>
      <c r="H284" t="s">
        <v>74</v>
      </c>
      <c r="I284" t="s">
        <v>5631</v>
      </c>
      <c r="J284" t="s">
        <v>5632</v>
      </c>
      <c r="K284" t="s">
        <v>74</v>
      </c>
      <c r="L284" t="s">
        <v>74</v>
      </c>
      <c r="M284" t="s">
        <v>78</v>
      </c>
      <c r="N284" t="s">
        <v>1246</v>
      </c>
      <c r="O284" t="s">
        <v>74</v>
      </c>
      <c r="P284" t="s">
        <v>74</v>
      </c>
      <c r="Q284" t="s">
        <v>74</v>
      </c>
      <c r="R284" t="s">
        <v>74</v>
      </c>
      <c r="S284" t="s">
        <v>74</v>
      </c>
      <c r="T284" t="s">
        <v>5633</v>
      </c>
      <c r="U284" t="s">
        <v>5634</v>
      </c>
      <c r="V284" t="s">
        <v>5635</v>
      </c>
      <c r="W284" t="s">
        <v>5636</v>
      </c>
      <c r="X284" t="s">
        <v>5637</v>
      </c>
      <c r="Y284" t="s">
        <v>5638</v>
      </c>
      <c r="Z284" t="s">
        <v>5639</v>
      </c>
      <c r="AA284" t="s">
        <v>5640</v>
      </c>
      <c r="AB284" t="s">
        <v>5641</v>
      </c>
      <c r="AC284" t="s">
        <v>74</v>
      </c>
      <c r="AD284" t="s">
        <v>74</v>
      </c>
      <c r="AE284" t="s">
        <v>74</v>
      </c>
      <c r="AF284" t="s">
        <v>74</v>
      </c>
      <c r="AG284">
        <v>33</v>
      </c>
      <c r="AH284">
        <v>0</v>
      </c>
      <c r="AI284">
        <v>0</v>
      </c>
      <c r="AJ284">
        <v>0</v>
      </c>
      <c r="AK284">
        <v>0</v>
      </c>
      <c r="AL284" t="s">
        <v>87</v>
      </c>
      <c r="AM284" t="s">
        <v>88</v>
      </c>
      <c r="AN284" t="s">
        <v>89</v>
      </c>
      <c r="AO284" t="s">
        <v>5642</v>
      </c>
      <c r="AP284" t="s">
        <v>5643</v>
      </c>
      <c r="AQ284" t="s">
        <v>74</v>
      </c>
      <c r="AR284" t="s">
        <v>5644</v>
      </c>
      <c r="AS284" t="s">
        <v>5645</v>
      </c>
      <c r="AT284" t="s">
        <v>5582</v>
      </c>
      <c r="AU284">
        <v>2023</v>
      </c>
      <c r="AV284" t="s">
        <v>74</v>
      </c>
      <c r="AW284" t="s">
        <v>74</v>
      </c>
      <c r="AX284" t="s">
        <v>74</v>
      </c>
      <c r="AY284" t="s">
        <v>74</v>
      </c>
      <c r="AZ284" t="s">
        <v>74</v>
      </c>
      <c r="BA284" t="s">
        <v>74</v>
      </c>
      <c r="BB284" t="s">
        <v>74</v>
      </c>
      <c r="BC284" t="s">
        <v>74</v>
      </c>
      <c r="BD284" t="s">
        <v>74</v>
      </c>
      <c r="BE284" t="s">
        <v>5646</v>
      </c>
      <c r="BF284" t="str">
        <f>HYPERLINK("http://dx.doi.org/10.1007/s13198-023-02127-4","http://dx.doi.org/10.1007/s13198-023-02127-4")</f>
        <v>http://dx.doi.org/10.1007/s13198-023-02127-4</v>
      </c>
      <c r="BG284" t="s">
        <v>74</v>
      </c>
      <c r="BH284" t="s">
        <v>2079</v>
      </c>
      <c r="BI284">
        <v>16</v>
      </c>
      <c r="BJ284" t="s">
        <v>5647</v>
      </c>
      <c r="BK284" t="s">
        <v>97</v>
      </c>
      <c r="BL284" t="s">
        <v>277</v>
      </c>
      <c r="BM284" t="s">
        <v>5648</v>
      </c>
      <c r="BN284" t="s">
        <v>74</v>
      </c>
      <c r="BO284" t="s">
        <v>74</v>
      </c>
      <c r="BP284" t="s">
        <v>74</v>
      </c>
      <c r="BQ284" t="s">
        <v>74</v>
      </c>
      <c r="BR284" t="s">
        <v>99</v>
      </c>
      <c r="BS284" t="s">
        <v>5649</v>
      </c>
      <c r="BT284" t="str">
        <f>HYPERLINK("https%3A%2F%2Fwww.webofscience.com%2Fwos%2Fwoscc%2Ffull-record%2FWOS:001065034300001","View Full Record in Web of Science")</f>
        <v>View Full Record in Web of Science</v>
      </c>
    </row>
    <row r="285" spans="1:72" x14ac:dyDescent="0.15">
      <c r="A285" t="s">
        <v>72</v>
      </c>
      <c r="B285" t="s">
        <v>5650</v>
      </c>
      <c r="C285" t="s">
        <v>74</v>
      </c>
      <c r="D285" t="s">
        <v>74</v>
      </c>
      <c r="E285" t="s">
        <v>74</v>
      </c>
      <c r="F285" t="s">
        <v>5651</v>
      </c>
      <c r="G285" t="s">
        <v>74</v>
      </c>
      <c r="H285" t="s">
        <v>74</v>
      </c>
      <c r="I285" t="s">
        <v>5652</v>
      </c>
      <c r="J285" t="s">
        <v>5653</v>
      </c>
      <c r="K285" t="s">
        <v>74</v>
      </c>
      <c r="L285" t="s">
        <v>74</v>
      </c>
      <c r="M285" t="s">
        <v>78</v>
      </c>
      <c r="N285" t="s">
        <v>1246</v>
      </c>
      <c r="O285" t="s">
        <v>74</v>
      </c>
      <c r="P285" t="s">
        <v>74</v>
      </c>
      <c r="Q285" t="s">
        <v>74</v>
      </c>
      <c r="R285" t="s">
        <v>74</v>
      </c>
      <c r="S285" t="s">
        <v>74</v>
      </c>
      <c r="T285" t="s">
        <v>5654</v>
      </c>
      <c r="U285" t="s">
        <v>5655</v>
      </c>
      <c r="V285" t="s">
        <v>5656</v>
      </c>
      <c r="W285" t="s">
        <v>5657</v>
      </c>
      <c r="X285" t="s">
        <v>5658</v>
      </c>
      <c r="Y285" t="s">
        <v>5659</v>
      </c>
      <c r="Z285" t="s">
        <v>5660</v>
      </c>
      <c r="AA285" t="s">
        <v>5661</v>
      </c>
      <c r="AB285" t="s">
        <v>5662</v>
      </c>
      <c r="AC285" t="s">
        <v>5663</v>
      </c>
      <c r="AD285" t="s">
        <v>5664</v>
      </c>
      <c r="AE285" t="s">
        <v>5665</v>
      </c>
      <c r="AF285" t="s">
        <v>74</v>
      </c>
      <c r="AG285">
        <v>27</v>
      </c>
      <c r="AH285">
        <v>0</v>
      </c>
      <c r="AI285">
        <v>0</v>
      </c>
      <c r="AJ285">
        <v>1</v>
      </c>
      <c r="AK285">
        <v>1</v>
      </c>
      <c r="AL285" t="s">
        <v>117</v>
      </c>
      <c r="AM285" t="s">
        <v>118</v>
      </c>
      <c r="AN285" t="s">
        <v>119</v>
      </c>
      <c r="AO285" t="s">
        <v>5666</v>
      </c>
      <c r="AP285" t="s">
        <v>5667</v>
      </c>
      <c r="AQ285" t="s">
        <v>74</v>
      </c>
      <c r="AR285" t="s">
        <v>5668</v>
      </c>
      <c r="AS285" t="s">
        <v>5669</v>
      </c>
      <c r="AT285" t="s">
        <v>5582</v>
      </c>
      <c r="AU285">
        <v>2023</v>
      </c>
      <c r="AV285" t="s">
        <v>74</v>
      </c>
      <c r="AW285" t="s">
        <v>74</v>
      </c>
      <c r="AX285" t="s">
        <v>74</v>
      </c>
      <c r="AY285" t="s">
        <v>74</v>
      </c>
      <c r="AZ285" t="s">
        <v>74</v>
      </c>
      <c r="BA285" t="s">
        <v>74</v>
      </c>
      <c r="BB285" t="s">
        <v>74</v>
      </c>
      <c r="BC285" t="s">
        <v>74</v>
      </c>
      <c r="BD285" t="s">
        <v>74</v>
      </c>
      <c r="BE285" t="s">
        <v>5670</v>
      </c>
      <c r="BF285" t="str">
        <f>HYPERLINK("http://dx.doi.org/10.1007/s00161-023-01251-7","http://dx.doi.org/10.1007/s00161-023-01251-7")</f>
        <v>http://dx.doi.org/10.1007/s00161-023-01251-7</v>
      </c>
      <c r="BG285" t="s">
        <v>74</v>
      </c>
      <c r="BH285" t="s">
        <v>2079</v>
      </c>
      <c r="BI285">
        <v>23</v>
      </c>
      <c r="BJ285" t="s">
        <v>4818</v>
      </c>
      <c r="BK285" t="s">
        <v>126</v>
      </c>
      <c r="BL285" t="s">
        <v>4818</v>
      </c>
      <c r="BM285" t="s">
        <v>5671</v>
      </c>
      <c r="BN285" t="s">
        <v>74</v>
      </c>
      <c r="BO285" t="s">
        <v>74</v>
      </c>
      <c r="BP285" t="s">
        <v>74</v>
      </c>
      <c r="BQ285" t="s">
        <v>74</v>
      </c>
      <c r="BR285" t="s">
        <v>99</v>
      </c>
      <c r="BS285" t="s">
        <v>5672</v>
      </c>
      <c r="BT285" t="str">
        <f>HYPERLINK("https%3A%2F%2Fwww.webofscience.com%2Fwos%2Fwoscc%2Ffull-record%2FWOS:001062605600001","View Full Record in Web of Science")</f>
        <v>View Full Record in Web of Science</v>
      </c>
    </row>
    <row r="286" spans="1:72" x14ac:dyDescent="0.15">
      <c r="A286" t="s">
        <v>72</v>
      </c>
      <c r="B286" t="s">
        <v>5673</v>
      </c>
      <c r="C286" t="s">
        <v>74</v>
      </c>
      <c r="D286" t="s">
        <v>74</v>
      </c>
      <c r="E286" t="s">
        <v>74</v>
      </c>
      <c r="F286" t="s">
        <v>5674</v>
      </c>
      <c r="G286" t="s">
        <v>74</v>
      </c>
      <c r="H286" t="s">
        <v>74</v>
      </c>
      <c r="I286" t="s">
        <v>5675</v>
      </c>
      <c r="J286" t="s">
        <v>5632</v>
      </c>
      <c r="K286" t="s">
        <v>74</v>
      </c>
      <c r="L286" t="s">
        <v>74</v>
      </c>
      <c r="M286" t="s">
        <v>78</v>
      </c>
      <c r="N286" t="s">
        <v>1246</v>
      </c>
      <c r="O286" t="s">
        <v>74</v>
      </c>
      <c r="P286" t="s">
        <v>74</v>
      </c>
      <c r="Q286" t="s">
        <v>74</v>
      </c>
      <c r="R286" t="s">
        <v>74</v>
      </c>
      <c r="S286" t="s">
        <v>74</v>
      </c>
      <c r="T286" t="s">
        <v>5676</v>
      </c>
      <c r="U286" t="s">
        <v>5677</v>
      </c>
      <c r="V286" t="s">
        <v>5678</v>
      </c>
      <c r="W286" t="s">
        <v>5679</v>
      </c>
      <c r="X286" t="s">
        <v>5680</v>
      </c>
      <c r="Y286" t="s">
        <v>5681</v>
      </c>
      <c r="Z286" t="s">
        <v>5682</v>
      </c>
      <c r="AA286" t="s">
        <v>74</v>
      </c>
      <c r="AB286" t="s">
        <v>74</v>
      </c>
      <c r="AC286" t="s">
        <v>74</v>
      </c>
      <c r="AD286" t="s">
        <v>74</v>
      </c>
      <c r="AE286" t="s">
        <v>74</v>
      </c>
      <c r="AF286" t="s">
        <v>74</v>
      </c>
      <c r="AG286">
        <v>41</v>
      </c>
      <c r="AH286">
        <v>0</v>
      </c>
      <c r="AI286">
        <v>0</v>
      </c>
      <c r="AJ286">
        <v>0</v>
      </c>
      <c r="AK286">
        <v>0</v>
      </c>
      <c r="AL286" t="s">
        <v>87</v>
      </c>
      <c r="AM286" t="s">
        <v>88</v>
      </c>
      <c r="AN286" t="s">
        <v>89</v>
      </c>
      <c r="AO286" t="s">
        <v>5642</v>
      </c>
      <c r="AP286" t="s">
        <v>5643</v>
      </c>
      <c r="AQ286" t="s">
        <v>74</v>
      </c>
      <c r="AR286" t="s">
        <v>5644</v>
      </c>
      <c r="AS286" t="s">
        <v>5645</v>
      </c>
      <c r="AT286" t="s">
        <v>5683</v>
      </c>
      <c r="AU286">
        <v>2023</v>
      </c>
      <c r="AV286" t="s">
        <v>74</v>
      </c>
      <c r="AW286" t="s">
        <v>74</v>
      </c>
      <c r="AX286" t="s">
        <v>74</v>
      </c>
      <c r="AY286" t="s">
        <v>74</v>
      </c>
      <c r="AZ286" t="s">
        <v>74</v>
      </c>
      <c r="BA286" t="s">
        <v>74</v>
      </c>
      <c r="BB286" t="s">
        <v>74</v>
      </c>
      <c r="BC286" t="s">
        <v>74</v>
      </c>
      <c r="BD286" t="s">
        <v>74</v>
      </c>
      <c r="BE286" t="s">
        <v>5684</v>
      </c>
      <c r="BF286" t="str">
        <f>HYPERLINK("http://dx.doi.org/10.1007/s13198-023-02122-9","http://dx.doi.org/10.1007/s13198-023-02122-9")</f>
        <v>http://dx.doi.org/10.1007/s13198-023-02122-9</v>
      </c>
      <c r="BG286" t="s">
        <v>74</v>
      </c>
      <c r="BH286" t="s">
        <v>2079</v>
      </c>
      <c r="BI286">
        <v>10</v>
      </c>
      <c r="BJ286" t="s">
        <v>5647</v>
      </c>
      <c r="BK286" t="s">
        <v>97</v>
      </c>
      <c r="BL286" t="s">
        <v>277</v>
      </c>
      <c r="BM286" t="s">
        <v>5685</v>
      </c>
      <c r="BN286" t="s">
        <v>74</v>
      </c>
      <c r="BO286" t="s">
        <v>74</v>
      </c>
      <c r="BP286" t="s">
        <v>74</v>
      </c>
      <c r="BQ286" t="s">
        <v>74</v>
      </c>
      <c r="BR286" t="s">
        <v>99</v>
      </c>
      <c r="BS286" t="s">
        <v>5686</v>
      </c>
      <c r="BT286" t="str">
        <f>HYPERLINK("https%3A%2F%2Fwww.webofscience.com%2Fwos%2Fwoscc%2Ffull-record%2FWOS:001062861900001","View Full Record in Web of Science")</f>
        <v>View Full Record in Web of Science</v>
      </c>
    </row>
    <row r="287" spans="1:72" x14ac:dyDescent="0.15">
      <c r="A287" t="s">
        <v>72</v>
      </c>
      <c r="B287" t="s">
        <v>5687</v>
      </c>
      <c r="C287" t="s">
        <v>74</v>
      </c>
      <c r="D287" t="s">
        <v>74</v>
      </c>
      <c r="E287" t="s">
        <v>74</v>
      </c>
      <c r="F287" t="s">
        <v>5688</v>
      </c>
      <c r="G287" t="s">
        <v>74</v>
      </c>
      <c r="H287" t="s">
        <v>74</v>
      </c>
      <c r="I287" t="s">
        <v>5689</v>
      </c>
      <c r="J287" t="s">
        <v>5396</v>
      </c>
      <c r="K287" t="s">
        <v>74</v>
      </c>
      <c r="L287" t="s">
        <v>74</v>
      </c>
      <c r="M287" t="s">
        <v>78</v>
      </c>
      <c r="N287" t="s">
        <v>79</v>
      </c>
      <c r="O287" t="s">
        <v>74</v>
      </c>
      <c r="P287" t="s">
        <v>74</v>
      </c>
      <c r="Q287" t="s">
        <v>74</v>
      </c>
      <c r="R287" t="s">
        <v>74</v>
      </c>
      <c r="S287" t="s">
        <v>74</v>
      </c>
      <c r="T287" t="s">
        <v>74</v>
      </c>
      <c r="U287" t="s">
        <v>5690</v>
      </c>
      <c r="V287" t="s">
        <v>5691</v>
      </c>
      <c r="W287" t="s">
        <v>5692</v>
      </c>
      <c r="X287" t="s">
        <v>5693</v>
      </c>
      <c r="Y287" t="s">
        <v>5694</v>
      </c>
      <c r="Z287" t="s">
        <v>5695</v>
      </c>
      <c r="AA287" t="s">
        <v>74</v>
      </c>
      <c r="AB287" t="s">
        <v>5696</v>
      </c>
      <c r="AC287" t="s">
        <v>5697</v>
      </c>
      <c r="AD287" t="s">
        <v>5697</v>
      </c>
      <c r="AE287" t="s">
        <v>5698</v>
      </c>
      <c r="AF287" t="s">
        <v>74</v>
      </c>
      <c r="AG287">
        <v>30</v>
      </c>
      <c r="AH287">
        <v>0</v>
      </c>
      <c r="AI287">
        <v>0</v>
      </c>
      <c r="AJ287">
        <v>0</v>
      </c>
      <c r="AK287">
        <v>0</v>
      </c>
      <c r="AL287" t="s">
        <v>172</v>
      </c>
      <c r="AM287" t="s">
        <v>173</v>
      </c>
      <c r="AN287" t="s">
        <v>174</v>
      </c>
      <c r="AO287" t="s">
        <v>5404</v>
      </c>
      <c r="AP287" t="s">
        <v>74</v>
      </c>
      <c r="AQ287" t="s">
        <v>74</v>
      </c>
      <c r="AR287" t="s">
        <v>5405</v>
      </c>
      <c r="AS287" t="s">
        <v>5406</v>
      </c>
      <c r="AT287" t="s">
        <v>5699</v>
      </c>
      <c r="AU287">
        <v>2023</v>
      </c>
      <c r="AV287">
        <v>138</v>
      </c>
      <c r="AW287">
        <v>9</v>
      </c>
      <c r="AX287" t="s">
        <v>74</v>
      </c>
      <c r="AY287" t="s">
        <v>74</v>
      </c>
      <c r="AZ287" t="s">
        <v>74</v>
      </c>
      <c r="BA287" t="s">
        <v>74</v>
      </c>
      <c r="BB287" t="s">
        <v>74</v>
      </c>
      <c r="BC287" t="s">
        <v>74</v>
      </c>
      <c r="BD287">
        <v>795</v>
      </c>
      <c r="BE287" t="s">
        <v>5700</v>
      </c>
      <c r="BF287" t="str">
        <f>HYPERLINK("http://dx.doi.org/10.1140/epjp/s13360-023-04409-z","http://dx.doi.org/10.1140/epjp/s13360-023-04409-z")</f>
        <v>http://dx.doi.org/10.1140/epjp/s13360-023-04409-z</v>
      </c>
      <c r="BG287" t="s">
        <v>74</v>
      </c>
      <c r="BH287" t="s">
        <v>74</v>
      </c>
      <c r="BI287">
        <v>18</v>
      </c>
      <c r="BJ287" t="s">
        <v>386</v>
      </c>
      <c r="BK287" t="s">
        <v>126</v>
      </c>
      <c r="BL287" t="s">
        <v>387</v>
      </c>
      <c r="BM287" t="s">
        <v>5701</v>
      </c>
      <c r="BN287" t="s">
        <v>74</v>
      </c>
      <c r="BO287" t="s">
        <v>327</v>
      </c>
      <c r="BP287" t="s">
        <v>74</v>
      </c>
      <c r="BQ287" t="s">
        <v>74</v>
      </c>
      <c r="BR287" t="s">
        <v>99</v>
      </c>
      <c r="BS287" t="s">
        <v>5702</v>
      </c>
      <c r="BT287" t="str">
        <f>HYPERLINK("https%3A%2F%2Fwww.webofscience.com%2Fwos%2Fwoscc%2Ffull-record%2FWOS:001061549700001","View Full Record in Web of Science")</f>
        <v>View Full Record in Web of Science</v>
      </c>
    </row>
    <row r="288" spans="1:72" x14ac:dyDescent="0.15">
      <c r="A288" t="s">
        <v>72</v>
      </c>
      <c r="B288" t="s">
        <v>5703</v>
      </c>
      <c r="C288" t="s">
        <v>74</v>
      </c>
      <c r="D288" t="s">
        <v>74</v>
      </c>
      <c r="E288" t="s">
        <v>74</v>
      </c>
      <c r="F288" t="s">
        <v>5704</v>
      </c>
      <c r="G288" t="s">
        <v>74</v>
      </c>
      <c r="H288" t="s">
        <v>74</v>
      </c>
      <c r="I288" t="s">
        <v>5705</v>
      </c>
      <c r="J288" t="s">
        <v>5706</v>
      </c>
      <c r="K288" t="s">
        <v>74</v>
      </c>
      <c r="L288" t="s">
        <v>74</v>
      </c>
      <c r="M288" t="s">
        <v>78</v>
      </c>
      <c r="N288" t="s">
        <v>952</v>
      </c>
      <c r="O288" t="s">
        <v>74</v>
      </c>
      <c r="P288" t="s">
        <v>74</v>
      </c>
      <c r="Q288" t="s">
        <v>74</v>
      </c>
      <c r="R288" t="s">
        <v>74</v>
      </c>
      <c r="S288" t="s">
        <v>74</v>
      </c>
      <c r="T288" t="s">
        <v>74</v>
      </c>
      <c r="U288" t="s">
        <v>74</v>
      </c>
      <c r="V288" t="s">
        <v>74</v>
      </c>
      <c r="W288" t="s">
        <v>5707</v>
      </c>
      <c r="X288" t="s">
        <v>5708</v>
      </c>
      <c r="Y288" t="s">
        <v>5709</v>
      </c>
      <c r="Z288" t="s">
        <v>5710</v>
      </c>
      <c r="AA288" t="s">
        <v>74</v>
      </c>
      <c r="AB288" t="s">
        <v>74</v>
      </c>
      <c r="AC288" t="s">
        <v>74</v>
      </c>
      <c r="AD288" t="s">
        <v>74</v>
      </c>
      <c r="AE288" t="s">
        <v>74</v>
      </c>
      <c r="AF288" t="s">
        <v>74</v>
      </c>
      <c r="AG288">
        <v>7</v>
      </c>
      <c r="AH288">
        <v>0</v>
      </c>
      <c r="AI288">
        <v>0</v>
      </c>
      <c r="AJ288">
        <v>0</v>
      </c>
      <c r="AK288">
        <v>0</v>
      </c>
      <c r="AL288" t="s">
        <v>117</v>
      </c>
      <c r="AM288" t="s">
        <v>118</v>
      </c>
      <c r="AN288" t="s">
        <v>119</v>
      </c>
      <c r="AO288" t="s">
        <v>5711</v>
      </c>
      <c r="AP288" t="s">
        <v>5712</v>
      </c>
      <c r="AQ288" t="s">
        <v>74</v>
      </c>
      <c r="AR288" t="s">
        <v>5713</v>
      </c>
      <c r="AS288" t="s">
        <v>5714</v>
      </c>
      <c r="AT288" t="s">
        <v>1275</v>
      </c>
      <c r="AU288">
        <v>2023</v>
      </c>
      <c r="AV288">
        <v>46</v>
      </c>
      <c r="AW288">
        <v>5</v>
      </c>
      <c r="AX288" t="s">
        <v>74</v>
      </c>
      <c r="AY288" t="s">
        <v>74</v>
      </c>
      <c r="AZ288" t="s">
        <v>74</v>
      </c>
      <c r="BA288" t="s">
        <v>74</v>
      </c>
      <c r="BB288">
        <v>825</v>
      </c>
      <c r="BC288">
        <v>831</v>
      </c>
      <c r="BD288" t="s">
        <v>74</v>
      </c>
      <c r="BE288" t="s">
        <v>5715</v>
      </c>
      <c r="BF288" t="str">
        <f>HYPERLINK("http://dx.doi.org/10.1007/s00238-023-02119-4","http://dx.doi.org/10.1007/s00238-023-02119-4")</f>
        <v>http://dx.doi.org/10.1007/s00238-023-02119-4</v>
      </c>
      <c r="BG288" t="s">
        <v>74</v>
      </c>
      <c r="BH288" t="s">
        <v>2079</v>
      </c>
      <c r="BI288">
        <v>7</v>
      </c>
      <c r="BJ288" t="s">
        <v>2373</v>
      </c>
      <c r="BK288" t="s">
        <v>97</v>
      </c>
      <c r="BL288" t="s">
        <v>2373</v>
      </c>
      <c r="BM288" t="s">
        <v>5716</v>
      </c>
      <c r="BN288" t="s">
        <v>74</v>
      </c>
      <c r="BO288" t="s">
        <v>74</v>
      </c>
      <c r="BP288" t="s">
        <v>74</v>
      </c>
      <c r="BQ288" t="s">
        <v>74</v>
      </c>
      <c r="BR288" t="s">
        <v>99</v>
      </c>
      <c r="BS288" t="s">
        <v>5717</v>
      </c>
      <c r="BT288" t="str">
        <f>HYPERLINK("https%3A%2F%2Fwww.webofscience.com%2Fwos%2Fwoscc%2Ffull-record%2FWOS:001065078200001","View Full Record in Web of Science")</f>
        <v>View Full Record in Web of Science</v>
      </c>
    </row>
    <row r="289" spans="1:72" x14ac:dyDescent="0.15">
      <c r="A289" t="s">
        <v>72</v>
      </c>
      <c r="B289" t="s">
        <v>5718</v>
      </c>
      <c r="C289" t="s">
        <v>74</v>
      </c>
      <c r="D289" t="s">
        <v>74</v>
      </c>
      <c r="E289" t="s">
        <v>74</v>
      </c>
      <c r="F289" t="s">
        <v>5719</v>
      </c>
      <c r="G289" t="s">
        <v>74</v>
      </c>
      <c r="H289" t="s">
        <v>74</v>
      </c>
      <c r="I289" t="s">
        <v>5720</v>
      </c>
      <c r="J289" t="s">
        <v>5721</v>
      </c>
      <c r="K289" t="s">
        <v>74</v>
      </c>
      <c r="L289" t="s">
        <v>74</v>
      </c>
      <c r="M289" t="s">
        <v>78</v>
      </c>
      <c r="N289" t="s">
        <v>1246</v>
      </c>
      <c r="O289" t="s">
        <v>74</v>
      </c>
      <c r="P289" t="s">
        <v>74</v>
      </c>
      <c r="Q289" t="s">
        <v>74</v>
      </c>
      <c r="R289" t="s">
        <v>74</v>
      </c>
      <c r="S289" t="s">
        <v>74</v>
      </c>
      <c r="T289" t="s">
        <v>74</v>
      </c>
      <c r="U289" t="s">
        <v>5722</v>
      </c>
      <c r="V289" t="s">
        <v>5723</v>
      </c>
      <c r="W289" t="s">
        <v>5724</v>
      </c>
      <c r="X289" t="s">
        <v>5725</v>
      </c>
      <c r="Y289" t="s">
        <v>5726</v>
      </c>
      <c r="Z289" t="s">
        <v>5727</v>
      </c>
      <c r="AA289" t="s">
        <v>74</v>
      </c>
      <c r="AB289" t="s">
        <v>74</v>
      </c>
      <c r="AC289" t="s">
        <v>5728</v>
      </c>
      <c r="AD289" t="s">
        <v>5729</v>
      </c>
      <c r="AE289" t="s">
        <v>5730</v>
      </c>
      <c r="AF289" t="s">
        <v>74</v>
      </c>
      <c r="AG289">
        <v>53</v>
      </c>
      <c r="AH289">
        <v>0</v>
      </c>
      <c r="AI289">
        <v>0</v>
      </c>
      <c r="AJ289">
        <v>0</v>
      </c>
      <c r="AK289">
        <v>0</v>
      </c>
      <c r="AL289" t="s">
        <v>146</v>
      </c>
      <c r="AM289" t="s">
        <v>147</v>
      </c>
      <c r="AN289" t="s">
        <v>148</v>
      </c>
      <c r="AO289" t="s">
        <v>5731</v>
      </c>
      <c r="AP289" t="s">
        <v>5732</v>
      </c>
      <c r="AQ289" t="s">
        <v>74</v>
      </c>
      <c r="AR289" t="s">
        <v>5733</v>
      </c>
      <c r="AS289" t="s">
        <v>5734</v>
      </c>
      <c r="AT289" t="s">
        <v>5683</v>
      </c>
      <c r="AU289">
        <v>2023</v>
      </c>
      <c r="AV289" t="s">
        <v>74</v>
      </c>
      <c r="AW289" t="s">
        <v>74</v>
      </c>
      <c r="AX289" t="s">
        <v>74</v>
      </c>
      <c r="AY289" t="s">
        <v>74</v>
      </c>
      <c r="AZ289" t="s">
        <v>74</v>
      </c>
      <c r="BA289" t="s">
        <v>74</v>
      </c>
      <c r="BB289" t="s">
        <v>74</v>
      </c>
      <c r="BC289" t="s">
        <v>74</v>
      </c>
      <c r="BD289" t="s">
        <v>74</v>
      </c>
      <c r="BE289" t="s">
        <v>5735</v>
      </c>
      <c r="BF289" t="str">
        <f>HYPERLINK("http://dx.doi.org/10.1007/s00723-023-01597-w","http://dx.doi.org/10.1007/s00723-023-01597-w")</f>
        <v>http://dx.doi.org/10.1007/s00723-023-01597-w</v>
      </c>
      <c r="BG289" t="s">
        <v>74</v>
      </c>
      <c r="BH289" t="s">
        <v>2079</v>
      </c>
      <c r="BI289">
        <v>30</v>
      </c>
      <c r="BJ289" t="s">
        <v>5736</v>
      </c>
      <c r="BK289" t="s">
        <v>126</v>
      </c>
      <c r="BL289" t="s">
        <v>5737</v>
      </c>
      <c r="BM289" t="s">
        <v>5738</v>
      </c>
      <c r="BN289" t="s">
        <v>74</v>
      </c>
      <c r="BO289" t="s">
        <v>183</v>
      </c>
      <c r="BP289" t="s">
        <v>74</v>
      </c>
      <c r="BQ289" t="s">
        <v>74</v>
      </c>
      <c r="BR289" t="s">
        <v>99</v>
      </c>
      <c r="BS289" t="s">
        <v>5739</v>
      </c>
      <c r="BT289" t="str">
        <f>HYPERLINK("https%3A%2F%2Fwww.webofscience.com%2Fwos%2Fwoscc%2Ffull-record%2FWOS:001064997700002","View Full Record in Web of Science")</f>
        <v>View Full Record in Web of Science</v>
      </c>
    </row>
    <row r="290" spans="1:72" x14ac:dyDescent="0.15">
      <c r="A290" t="s">
        <v>72</v>
      </c>
      <c r="B290" t="s">
        <v>5740</v>
      </c>
      <c r="C290" t="s">
        <v>74</v>
      </c>
      <c r="D290" t="s">
        <v>74</v>
      </c>
      <c r="E290" t="s">
        <v>74</v>
      </c>
      <c r="F290" t="s">
        <v>5741</v>
      </c>
      <c r="G290" t="s">
        <v>74</v>
      </c>
      <c r="H290" t="s">
        <v>74</v>
      </c>
      <c r="I290" t="s">
        <v>5742</v>
      </c>
      <c r="J290" t="s">
        <v>5743</v>
      </c>
      <c r="K290" t="s">
        <v>74</v>
      </c>
      <c r="L290" t="s">
        <v>74</v>
      </c>
      <c r="M290" t="s">
        <v>78</v>
      </c>
      <c r="N290" t="s">
        <v>79</v>
      </c>
      <c r="O290" t="s">
        <v>74</v>
      </c>
      <c r="P290" t="s">
        <v>74</v>
      </c>
      <c r="Q290" t="s">
        <v>74</v>
      </c>
      <c r="R290" t="s">
        <v>74</v>
      </c>
      <c r="S290" t="s">
        <v>74</v>
      </c>
      <c r="T290" t="s">
        <v>5744</v>
      </c>
      <c r="U290" t="s">
        <v>5745</v>
      </c>
      <c r="V290" t="s">
        <v>5746</v>
      </c>
      <c r="W290" t="s">
        <v>5747</v>
      </c>
      <c r="X290" t="s">
        <v>5748</v>
      </c>
      <c r="Y290" t="s">
        <v>5749</v>
      </c>
      <c r="Z290" t="s">
        <v>5750</v>
      </c>
      <c r="AA290" t="s">
        <v>74</v>
      </c>
      <c r="AB290" t="s">
        <v>74</v>
      </c>
      <c r="AC290" t="s">
        <v>5751</v>
      </c>
      <c r="AD290" t="s">
        <v>5751</v>
      </c>
      <c r="AE290" t="s">
        <v>5751</v>
      </c>
      <c r="AF290" t="s">
        <v>74</v>
      </c>
      <c r="AG290">
        <v>44</v>
      </c>
      <c r="AH290">
        <v>0</v>
      </c>
      <c r="AI290">
        <v>0</v>
      </c>
      <c r="AJ290">
        <v>0</v>
      </c>
      <c r="AK290">
        <v>0</v>
      </c>
      <c r="AL290" t="s">
        <v>443</v>
      </c>
      <c r="AM290" t="s">
        <v>245</v>
      </c>
      <c r="AN290" t="s">
        <v>444</v>
      </c>
      <c r="AO290" t="s">
        <v>74</v>
      </c>
      <c r="AP290" t="s">
        <v>5752</v>
      </c>
      <c r="AQ290" t="s">
        <v>74</v>
      </c>
      <c r="AR290" t="s">
        <v>5743</v>
      </c>
      <c r="AS290" t="s">
        <v>5753</v>
      </c>
      <c r="AT290" t="s">
        <v>5699</v>
      </c>
      <c r="AU290">
        <v>2023</v>
      </c>
      <c r="AV290">
        <v>23</v>
      </c>
      <c r="AW290">
        <v>1</v>
      </c>
      <c r="AX290" t="s">
        <v>74</v>
      </c>
      <c r="AY290" t="s">
        <v>74</v>
      </c>
      <c r="AZ290" t="s">
        <v>74</v>
      </c>
      <c r="BA290" t="s">
        <v>74</v>
      </c>
      <c r="BB290" t="s">
        <v>74</v>
      </c>
      <c r="BC290" t="s">
        <v>74</v>
      </c>
      <c r="BD290">
        <v>1753</v>
      </c>
      <c r="BE290" t="s">
        <v>5754</v>
      </c>
      <c r="BF290" t="str">
        <f>HYPERLINK("http://dx.doi.org/10.1186/s12889-023-16635-2","http://dx.doi.org/10.1186/s12889-023-16635-2")</f>
        <v>http://dx.doi.org/10.1186/s12889-023-16635-2</v>
      </c>
      <c r="BG290" t="s">
        <v>74</v>
      </c>
      <c r="BH290" t="s">
        <v>74</v>
      </c>
      <c r="BI290">
        <v>12</v>
      </c>
      <c r="BJ290" t="s">
        <v>2744</v>
      </c>
      <c r="BK290" t="s">
        <v>126</v>
      </c>
      <c r="BL290" t="s">
        <v>2744</v>
      </c>
      <c r="BM290" t="s">
        <v>5755</v>
      </c>
      <c r="BN290">
        <v>37684595</v>
      </c>
      <c r="BO290" t="s">
        <v>74</v>
      </c>
      <c r="BP290" t="s">
        <v>74</v>
      </c>
      <c r="BQ290" t="s">
        <v>74</v>
      </c>
      <c r="BR290" t="s">
        <v>99</v>
      </c>
      <c r="BS290" t="s">
        <v>5756</v>
      </c>
      <c r="BT290" t="str">
        <f>HYPERLINK("https%3A%2F%2Fwww.webofscience.com%2Fwos%2Fwoscc%2Ffull-record%2FWOS:001065615700001","View Full Record in Web of Science")</f>
        <v>View Full Record in Web of Science</v>
      </c>
    </row>
    <row r="291" spans="1:72" x14ac:dyDescent="0.15">
      <c r="A291" t="s">
        <v>72</v>
      </c>
      <c r="B291" t="s">
        <v>5757</v>
      </c>
      <c r="C291" t="s">
        <v>74</v>
      </c>
      <c r="D291" t="s">
        <v>74</v>
      </c>
      <c r="E291" t="s">
        <v>74</v>
      </c>
      <c r="F291" t="s">
        <v>5758</v>
      </c>
      <c r="G291" t="s">
        <v>74</v>
      </c>
      <c r="H291" t="s">
        <v>74</v>
      </c>
      <c r="I291" t="s">
        <v>5759</v>
      </c>
      <c r="J291" t="s">
        <v>5760</v>
      </c>
      <c r="K291" t="s">
        <v>74</v>
      </c>
      <c r="L291" t="s">
        <v>74</v>
      </c>
      <c r="M291" t="s">
        <v>78</v>
      </c>
      <c r="N291" t="s">
        <v>79</v>
      </c>
      <c r="O291" t="s">
        <v>74</v>
      </c>
      <c r="P291" t="s">
        <v>74</v>
      </c>
      <c r="Q291" t="s">
        <v>74</v>
      </c>
      <c r="R291" t="s">
        <v>74</v>
      </c>
      <c r="S291" t="s">
        <v>74</v>
      </c>
      <c r="T291" t="s">
        <v>5761</v>
      </c>
      <c r="U291" t="s">
        <v>5762</v>
      </c>
      <c r="V291" t="s">
        <v>5763</v>
      </c>
      <c r="W291" t="s">
        <v>5764</v>
      </c>
      <c r="X291" t="s">
        <v>5765</v>
      </c>
      <c r="Y291" t="s">
        <v>5766</v>
      </c>
      <c r="Z291" t="s">
        <v>5767</v>
      </c>
      <c r="AA291" t="s">
        <v>74</v>
      </c>
      <c r="AB291" t="s">
        <v>5768</v>
      </c>
      <c r="AC291" t="s">
        <v>5769</v>
      </c>
      <c r="AD291" t="s">
        <v>5769</v>
      </c>
      <c r="AE291" t="s">
        <v>5769</v>
      </c>
      <c r="AF291" t="s">
        <v>74</v>
      </c>
      <c r="AG291">
        <v>34</v>
      </c>
      <c r="AH291">
        <v>0</v>
      </c>
      <c r="AI291">
        <v>0</v>
      </c>
      <c r="AJ291">
        <v>0</v>
      </c>
      <c r="AK291">
        <v>0</v>
      </c>
      <c r="AL291" t="s">
        <v>443</v>
      </c>
      <c r="AM291" t="s">
        <v>245</v>
      </c>
      <c r="AN291" t="s">
        <v>444</v>
      </c>
      <c r="AO291" t="s">
        <v>5770</v>
      </c>
      <c r="AP291" t="s">
        <v>74</v>
      </c>
      <c r="AQ291" t="s">
        <v>74</v>
      </c>
      <c r="AR291" t="s">
        <v>5771</v>
      </c>
      <c r="AS291" t="s">
        <v>5772</v>
      </c>
      <c r="AT291" t="s">
        <v>5699</v>
      </c>
      <c r="AU291">
        <v>2023</v>
      </c>
      <c r="AV291">
        <v>16</v>
      </c>
      <c r="AW291">
        <v>1</v>
      </c>
      <c r="AX291" t="s">
        <v>74</v>
      </c>
      <c r="AY291" t="s">
        <v>74</v>
      </c>
      <c r="AZ291" t="s">
        <v>74</v>
      </c>
      <c r="BA291" t="s">
        <v>74</v>
      </c>
      <c r="BB291" t="s">
        <v>74</v>
      </c>
      <c r="BC291" t="s">
        <v>74</v>
      </c>
      <c r="BD291">
        <v>320</v>
      </c>
      <c r="BE291" t="s">
        <v>5773</v>
      </c>
      <c r="BF291" t="str">
        <f>HYPERLINK("http://dx.doi.org/10.1186/s13071-023-05943-6","http://dx.doi.org/10.1186/s13071-023-05943-6")</f>
        <v>http://dx.doi.org/10.1186/s13071-023-05943-6</v>
      </c>
      <c r="BG291" t="s">
        <v>74</v>
      </c>
      <c r="BH291" t="s">
        <v>74</v>
      </c>
      <c r="BI291">
        <v>7</v>
      </c>
      <c r="BJ291" t="s">
        <v>5774</v>
      </c>
      <c r="BK291" t="s">
        <v>126</v>
      </c>
      <c r="BL291" t="s">
        <v>5774</v>
      </c>
      <c r="BM291" t="s">
        <v>5775</v>
      </c>
      <c r="BN291">
        <v>37684701</v>
      </c>
      <c r="BO291" t="s">
        <v>74</v>
      </c>
      <c r="BP291" t="s">
        <v>74</v>
      </c>
      <c r="BQ291" t="s">
        <v>74</v>
      </c>
      <c r="BR291" t="s">
        <v>99</v>
      </c>
      <c r="BS291" t="s">
        <v>5776</v>
      </c>
      <c r="BT291" t="str">
        <f>HYPERLINK("https%3A%2F%2Fwww.webofscience.com%2Fwos%2Fwoscc%2Ffull-record%2FWOS:001064373900001","View Full Record in Web of Science")</f>
        <v>View Full Record in Web of Science</v>
      </c>
    </row>
    <row r="292" spans="1:72" x14ac:dyDescent="0.15">
      <c r="A292" t="s">
        <v>72</v>
      </c>
      <c r="B292" t="s">
        <v>5777</v>
      </c>
      <c r="C292" t="s">
        <v>74</v>
      </c>
      <c r="D292" t="s">
        <v>74</v>
      </c>
      <c r="E292" t="s">
        <v>74</v>
      </c>
      <c r="F292" t="s">
        <v>5778</v>
      </c>
      <c r="G292" t="s">
        <v>74</v>
      </c>
      <c r="H292" t="s">
        <v>74</v>
      </c>
      <c r="I292" t="s">
        <v>5779</v>
      </c>
      <c r="J292" t="s">
        <v>5780</v>
      </c>
      <c r="K292" t="s">
        <v>74</v>
      </c>
      <c r="L292" t="s">
        <v>74</v>
      </c>
      <c r="M292" t="s">
        <v>78</v>
      </c>
      <c r="N292" t="s">
        <v>1246</v>
      </c>
      <c r="O292" t="s">
        <v>74</v>
      </c>
      <c r="P292" t="s">
        <v>74</v>
      </c>
      <c r="Q292" t="s">
        <v>74</v>
      </c>
      <c r="R292" t="s">
        <v>74</v>
      </c>
      <c r="S292" t="s">
        <v>74</v>
      </c>
      <c r="T292" t="s">
        <v>5781</v>
      </c>
      <c r="U292" t="s">
        <v>5782</v>
      </c>
      <c r="V292" t="s">
        <v>5783</v>
      </c>
      <c r="W292" t="s">
        <v>5784</v>
      </c>
      <c r="X292" t="s">
        <v>5785</v>
      </c>
      <c r="Y292" t="s">
        <v>5786</v>
      </c>
      <c r="Z292" t="s">
        <v>5787</v>
      </c>
      <c r="AA292" t="s">
        <v>74</v>
      </c>
      <c r="AB292" t="s">
        <v>74</v>
      </c>
      <c r="AC292" t="s">
        <v>5788</v>
      </c>
      <c r="AD292" t="s">
        <v>5788</v>
      </c>
      <c r="AE292" t="s">
        <v>5789</v>
      </c>
      <c r="AF292" t="s">
        <v>74</v>
      </c>
      <c r="AG292">
        <v>37</v>
      </c>
      <c r="AH292">
        <v>0</v>
      </c>
      <c r="AI292">
        <v>0</v>
      </c>
      <c r="AJ292">
        <v>1</v>
      </c>
      <c r="AK292">
        <v>1</v>
      </c>
      <c r="AL292" t="s">
        <v>117</v>
      </c>
      <c r="AM292" t="s">
        <v>627</v>
      </c>
      <c r="AN292" t="s">
        <v>628</v>
      </c>
      <c r="AO292" t="s">
        <v>5790</v>
      </c>
      <c r="AP292" t="s">
        <v>5791</v>
      </c>
      <c r="AQ292" t="s">
        <v>74</v>
      </c>
      <c r="AR292" t="s">
        <v>5792</v>
      </c>
      <c r="AS292" t="s">
        <v>5793</v>
      </c>
      <c r="AT292" t="s">
        <v>5683</v>
      </c>
      <c r="AU292">
        <v>2023</v>
      </c>
      <c r="AV292" t="s">
        <v>74</v>
      </c>
      <c r="AW292" t="s">
        <v>74</v>
      </c>
      <c r="AX292" t="s">
        <v>74</v>
      </c>
      <c r="AY292" t="s">
        <v>74</v>
      </c>
      <c r="AZ292" t="s">
        <v>74</v>
      </c>
      <c r="BA292" t="s">
        <v>74</v>
      </c>
      <c r="BB292" t="s">
        <v>74</v>
      </c>
      <c r="BC292" t="s">
        <v>74</v>
      </c>
      <c r="BD292" t="s">
        <v>74</v>
      </c>
      <c r="BE292" t="s">
        <v>5794</v>
      </c>
      <c r="BF292" t="str">
        <f>HYPERLINK("http://dx.doi.org/10.1007/s10841-023-00510","http://dx.doi.org/10.1007/s10841-023-00510")</f>
        <v>http://dx.doi.org/10.1007/s10841-023-00510</v>
      </c>
      <c r="BG292" t="s">
        <v>74</v>
      </c>
      <c r="BH292" t="s">
        <v>2079</v>
      </c>
      <c r="BI292">
        <v>6</v>
      </c>
      <c r="BJ292" t="s">
        <v>5795</v>
      </c>
      <c r="BK292" t="s">
        <v>126</v>
      </c>
      <c r="BL292" t="s">
        <v>5796</v>
      </c>
      <c r="BM292" t="s">
        <v>5797</v>
      </c>
      <c r="BN292" t="s">
        <v>74</v>
      </c>
      <c r="BO292" t="s">
        <v>74</v>
      </c>
      <c r="BP292" t="s">
        <v>74</v>
      </c>
      <c r="BQ292" t="s">
        <v>74</v>
      </c>
      <c r="BR292" t="s">
        <v>99</v>
      </c>
      <c r="BS292" t="s">
        <v>5798</v>
      </c>
      <c r="BT292" t="str">
        <f>HYPERLINK("https%3A%2F%2Fwww.webofscience.com%2Fwos%2Fwoscc%2Ffull-record%2FWOS:001062306500002","View Full Record in Web of Science")</f>
        <v>View Full Record in Web of Science</v>
      </c>
    </row>
    <row r="293" spans="1:72" x14ac:dyDescent="0.15">
      <c r="A293" t="s">
        <v>72</v>
      </c>
      <c r="B293" t="s">
        <v>5799</v>
      </c>
      <c r="C293" t="s">
        <v>74</v>
      </c>
      <c r="D293" t="s">
        <v>74</v>
      </c>
      <c r="E293" t="s">
        <v>74</v>
      </c>
      <c r="F293" t="s">
        <v>5800</v>
      </c>
      <c r="G293" t="s">
        <v>74</v>
      </c>
      <c r="H293" t="s">
        <v>74</v>
      </c>
      <c r="I293" t="s">
        <v>5801</v>
      </c>
      <c r="J293" t="s">
        <v>5802</v>
      </c>
      <c r="K293" t="s">
        <v>74</v>
      </c>
      <c r="L293" t="s">
        <v>74</v>
      </c>
      <c r="M293" t="s">
        <v>78</v>
      </c>
      <c r="N293" t="s">
        <v>79</v>
      </c>
      <c r="O293" t="s">
        <v>74</v>
      </c>
      <c r="P293" t="s">
        <v>74</v>
      </c>
      <c r="Q293" t="s">
        <v>74</v>
      </c>
      <c r="R293" t="s">
        <v>74</v>
      </c>
      <c r="S293" t="s">
        <v>74</v>
      </c>
      <c r="T293" t="s">
        <v>5803</v>
      </c>
      <c r="U293" t="s">
        <v>5804</v>
      </c>
      <c r="V293" t="s">
        <v>5805</v>
      </c>
      <c r="W293" t="s">
        <v>5806</v>
      </c>
      <c r="X293" t="s">
        <v>5807</v>
      </c>
      <c r="Y293" t="s">
        <v>5808</v>
      </c>
      <c r="Z293" t="s">
        <v>5809</v>
      </c>
      <c r="AA293" t="s">
        <v>74</v>
      </c>
      <c r="AB293" t="s">
        <v>74</v>
      </c>
      <c r="AC293" t="s">
        <v>932</v>
      </c>
      <c r="AD293" t="s">
        <v>932</v>
      </c>
      <c r="AE293" t="s">
        <v>932</v>
      </c>
      <c r="AF293" t="s">
        <v>74</v>
      </c>
      <c r="AG293">
        <v>57</v>
      </c>
      <c r="AH293">
        <v>0</v>
      </c>
      <c r="AI293">
        <v>0</v>
      </c>
      <c r="AJ293">
        <v>1</v>
      </c>
      <c r="AK293">
        <v>1</v>
      </c>
      <c r="AL293" t="s">
        <v>443</v>
      </c>
      <c r="AM293" t="s">
        <v>245</v>
      </c>
      <c r="AN293" t="s">
        <v>444</v>
      </c>
      <c r="AO293" t="s">
        <v>74</v>
      </c>
      <c r="AP293" t="s">
        <v>5810</v>
      </c>
      <c r="AQ293" t="s">
        <v>74</v>
      </c>
      <c r="AR293" t="s">
        <v>5811</v>
      </c>
      <c r="AS293" t="s">
        <v>5812</v>
      </c>
      <c r="AT293" t="s">
        <v>5699</v>
      </c>
      <c r="AU293">
        <v>2023</v>
      </c>
      <c r="AV293">
        <v>42</v>
      </c>
      <c r="AW293">
        <v>1</v>
      </c>
      <c r="AX293" t="s">
        <v>74</v>
      </c>
      <c r="AY293" t="s">
        <v>74</v>
      </c>
      <c r="AZ293" t="s">
        <v>74</v>
      </c>
      <c r="BA293" t="s">
        <v>74</v>
      </c>
      <c r="BB293" t="s">
        <v>74</v>
      </c>
      <c r="BC293" t="s">
        <v>74</v>
      </c>
      <c r="BD293">
        <v>236</v>
      </c>
      <c r="BE293" t="s">
        <v>5813</v>
      </c>
      <c r="BF293" t="str">
        <f>HYPERLINK("http://dx.doi.org/10.1186/s13046-023-02817-8","http://dx.doi.org/10.1186/s13046-023-02817-8")</f>
        <v>http://dx.doi.org/10.1186/s13046-023-02817-8</v>
      </c>
      <c r="BG293" t="s">
        <v>74</v>
      </c>
      <c r="BH293" t="s">
        <v>74</v>
      </c>
      <c r="BI293">
        <v>20</v>
      </c>
      <c r="BJ293" t="s">
        <v>1951</v>
      </c>
      <c r="BK293" t="s">
        <v>126</v>
      </c>
      <c r="BL293" t="s">
        <v>1951</v>
      </c>
      <c r="BM293" t="s">
        <v>5814</v>
      </c>
      <c r="BN293">
        <v>37684625</v>
      </c>
      <c r="BO293" t="s">
        <v>74</v>
      </c>
      <c r="BP293" t="s">
        <v>74</v>
      </c>
      <c r="BQ293" t="s">
        <v>74</v>
      </c>
      <c r="BR293" t="s">
        <v>99</v>
      </c>
      <c r="BS293" t="s">
        <v>5815</v>
      </c>
      <c r="BT293" t="str">
        <f>HYPERLINK("https%3A%2F%2Fwww.webofscience.com%2Fwos%2Fwoscc%2Ffull-record%2FWOS:001064375500001","View Full Record in Web of Science")</f>
        <v>View Full Record in Web of Science</v>
      </c>
    </row>
    <row r="294" spans="1:72" x14ac:dyDescent="0.15">
      <c r="A294" t="s">
        <v>72</v>
      </c>
      <c r="B294" t="s">
        <v>5816</v>
      </c>
      <c r="C294" t="s">
        <v>74</v>
      </c>
      <c r="D294" t="s">
        <v>74</v>
      </c>
      <c r="E294" t="s">
        <v>74</v>
      </c>
      <c r="F294" t="s">
        <v>5817</v>
      </c>
      <c r="G294" t="s">
        <v>74</v>
      </c>
      <c r="H294" t="s">
        <v>74</v>
      </c>
      <c r="I294" t="s">
        <v>5818</v>
      </c>
      <c r="J294" t="s">
        <v>5819</v>
      </c>
      <c r="K294" t="s">
        <v>74</v>
      </c>
      <c r="L294" t="s">
        <v>74</v>
      </c>
      <c r="M294" t="s">
        <v>78</v>
      </c>
      <c r="N294" t="s">
        <v>79</v>
      </c>
      <c r="O294" t="s">
        <v>74</v>
      </c>
      <c r="P294" t="s">
        <v>74</v>
      </c>
      <c r="Q294" t="s">
        <v>74</v>
      </c>
      <c r="R294" t="s">
        <v>74</v>
      </c>
      <c r="S294" t="s">
        <v>74</v>
      </c>
      <c r="T294" t="s">
        <v>74</v>
      </c>
      <c r="U294" t="s">
        <v>5820</v>
      </c>
      <c r="V294" t="s">
        <v>5821</v>
      </c>
      <c r="W294" t="s">
        <v>5822</v>
      </c>
      <c r="X294" t="s">
        <v>5823</v>
      </c>
      <c r="Y294" t="s">
        <v>5824</v>
      </c>
      <c r="Z294" t="s">
        <v>5825</v>
      </c>
      <c r="AA294" t="s">
        <v>74</v>
      </c>
      <c r="AB294" t="s">
        <v>5826</v>
      </c>
      <c r="AC294" t="s">
        <v>5827</v>
      </c>
      <c r="AD294" t="s">
        <v>5827</v>
      </c>
      <c r="AE294" t="s">
        <v>5827</v>
      </c>
      <c r="AF294" t="s">
        <v>74</v>
      </c>
      <c r="AG294">
        <v>56</v>
      </c>
      <c r="AH294">
        <v>0</v>
      </c>
      <c r="AI294">
        <v>0</v>
      </c>
      <c r="AJ294">
        <v>1</v>
      </c>
      <c r="AK294">
        <v>1</v>
      </c>
      <c r="AL294" t="s">
        <v>443</v>
      </c>
      <c r="AM294" t="s">
        <v>245</v>
      </c>
      <c r="AN294" t="s">
        <v>444</v>
      </c>
      <c r="AO294" t="s">
        <v>74</v>
      </c>
      <c r="AP294" t="s">
        <v>5828</v>
      </c>
      <c r="AQ294" t="s">
        <v>74</v>
      </c>
      <c r="AR294" t="s">
        <v>5829</v>
      </c>
      <c r="AS294" t="s">
        <v>5830</v>
      </c>
      <c r="AT294" t="s">
        <v>5699</v>
      </c>
      <c r="AU294">
        <v>2023</v>
      </c>
      <c r="AV294">
        <v>24</v>
      </c>
      <c r="AW294">
        <v>1</v>
      </c>
      <c r="AX294" t="s">
        <v>74</v>
      </c>
      <c r="AY294" t="s">
        <v>74</v>
      </c>
      <c r="AZ294" t="s">
        <v>74</v>
      </c>
      <c r="BA294" t="s">
        <v>74</v>
      </c>
      <c r="BB294" t="s">
        <v>74</v>
      </c>
      <c r="BC294" t="s">
        <v>74</v>
      </c>
      <c r="BD294">
        <v>29</v>
      </c>
      <c r="BE294" t="s">
        <v>5831</v>
      </c>
      <c r="BF294" t="str">
        <f>HYPERLINK("http://dx.doi.org/10.1186/s12865-023-00565-0","http://dx.doi.org/10.1186/s12865-023-00565-0")</f>
        <v>http://dx.doi.org/10.1186/s12865-023-00565-0</v>
      </c>
      <c r="BG294" t="s">
        <v>74</v>
      </c>
      <c r="BH294" t="s">
        <v>74</v>
      </c>
      <c r="BI294">
        <v>10</v>
      </c>
      <c r="BJ294" t="s">
        <v>5832</v>
      </c>
      <c r="BK294" t="s">
        <v>126</v>
      </c>
      <c r="BL294" t="s">
        <v>5832</v>
      </c>
      <c r="BM294" t="s">
        <v>5833</v>
      </c>
      <c r="BN294">
        <v>37689649</v>
      </c>
      <c r="BO294" t="s">
        <v>74</v>
      </c>
      <c r="BP294" t="s">
        <v>74</v>
      </c>
      <c r="BQ294" t="s">
        <v>74</v>
      </c>
      <c r="BR294" t="s">
        <v>99</v>
      </c>
      <c r="BS294" t="s">
        <v>5834</v>
      </c>
      <c r="BT294" t="str">
        <f>HYPERLINK("https%3A%2F%2Fwww.webofscience.com%2Fwos%2Fwoscc%2Ffull-record%2FWOS:001061548200001","View Full Record in Web of Science")</f>
        <v>View Full Record in Web of Science</v>
      </c>
    </row>
    <row r="295" spans="1:72" x14ac:dyDescent="0.15">
      <c r="A295" t="s">
        <v>72</v>
      </c>
      <c r="B295" t="s">
        <v>5835</v>
      </c>
      <c r="C295" t="s">
        <v>74</v>
      </c>
      <c r="D295" t="s">
        <v>74</v>
      </c>
      <c r="E295" t="s">
        <v>74</v>
      </c>
      <c r="F295" t="s">
        <v>5836</v>
      </c>
      <c r="G295" t="s">
        <v>74</v>
      </c>
      <c r="H295" t="s">
        <v>74</v>
      </c>
      <c r="I295" t="s">
        <v>5837</v>
      </c>
      <c r="J295" t="s">
        <v>5838</v>
      </c>
      <c r="K295" t="s">
        <v>74</v>
      </c>
      <c r="L295" t="s">
        <v>74</v>
      </c>
      <c r="M295" t="s">
        <v>78</v>
      </c>
      <c r="N295" t="s">
        <v>1246</v>
      </c>
      <c r="O295" t="s">
        <v>74</v>
      </c>
      <c r="P295" t="s">
        <v>74</v>
      </c>
      <c r="Q295" t="s">
        <v>74</v>
      </c>
      <c r="R295" t="s">
        <v>74</v>
      </c>
      <c r="S295" t="s">
        <v>74</v>
      </c>
      <c r="T295" t="s">
        <v>5839</v>
      </c>
      <c r="U295" t="s">
        <v>74</v>
      </c>
      <c r="V295" t="s">
        <v>5840</v>
      </c>
      <c r="W295" t="s">
        <v>5841</v>
      </c>
      <c r="X295" t="s">
        <v>5842</v>
      </c>
      <c r="Y295" t="s">
        <v>5843</v>
      </c>
      <c r="Z295" t="s">
        <v>5844</v>
      </c>
      <c r="AA295" t="s">
        <v>74</v>
      </c>
      <c r="AB295" t="s">
        <v>74</v>
      </c>
      <c r="AC295" t="s">
        <v>5845</v>
      </c>
      <c r="AD295" t="s">
        <v>5846</v>
      </c>
      <c r="AE295" t="s">
        <v>5847</v>
      </c>
      <c r="AF295" t="s">
        <v>74</v>
      </c>
      <c r="AG295">
        <v>39</v>
      </c>
      <c r="AH295">
        <v>0</v>
      </c>
      <c r="AI295">
        <v>0</v>
      </c>
      <c r="AJ295">
        <v>2</v>
      </c>
      <c r="AK295">
        <v>2</v>
      </c>
      <c r="AL295" t="s">
        <v>172</v>
      </c>
      <c r="AM295" t="s">
        <v>173</v>
      </c>
      <c r="AN295" t="s">
        <v>174</v>
      </c>
      <c r="AO295" t="s">
        <v>5848</v>
      </c>
      <c r="AP295" t="s">
        <v>5849</v>
      </c>
      <c r="AQ295" t="s">
        <v>74</v>
      </c>
      <c r="AR295" t="s">
        <v>5850</v>
      </c>
      <c r="AS295" t="s">
        <v>5851</v>
      </c>
      <c r="AT295" t="s">
        <v>5683</v>
      </c>
      <c r="AU295">
        <v>2023</v>
      </c>
      <c r="AV295" t="s">
        <v>74</v>
      </c>
      <c r="AW295" t="s">
        <v>74</v>
      </c>
      <c r="AX295" t="s">
        <v>74</v>
      </c>
      <c r="AY295" t="s">
        <v>74</v>
      </c>
      <c r="AZ295" t="s">
        <v>74</v>
      </c>
      <c r="BA295" t="s">
        <v>74</v>
      </c>
      <c r="BB295" t="s">
        <v>74</v>
      </c>
      <c r="BC295" t="s">
        <v>74</v>
      </c>
      <c r="BD295" t="s">
        <v>74</v>
      </c>
      <c r="BE295" t="s">
        <v>5852</v>
      </c>
      <c r="BF295" t="str">
        <f>HYPERLINK("http://dx.doi.org/10.1007/s40747-023-01220-2","http://dx.doi.org/10.1007/s40747-023-01220-2")</f>
        <v>http://dx.doi.org/10.1007/s40747-023-01220-2</v>
      </c>
      <c r="BG295" t="s">
        <v>74</v>
      </c>
      <c r="BH295" t="s">
        <v>2079</v>
      </c>
      <c r="BI295">
        <v>16</v>
      </c>
      <c r="BJ295" t="s">
        <v>5390</v>
      </c>
      <c r="BK295" t="s">
        <v>126</v>
      </c>
      <c r="BL295" t="s">
        <v>1139</v>
      </c>
      <c r="BM295" t="s">
        <v>5853</v>
      </c>
      <c r="BN295" t="s">
        <v>74</v>
      </c>
      <c r="BO295" t="s">
        <v>302</v>
      </c>
      <c r="BP295" t="s">
        <v>74</v>
      </c>
      <c r="BQ295" t="s">
        <v>74</v>
      </c>
      <c r="BR295" t="s">
        <v>99</v>
      </c>
      <c r="BS295" t="s">
        <v>5854</v>
      </c>
      <c r="BT295" t="str">
        <f>HYPERLINK("https%3A%2F%2Fwww.webofscience.com%2Fwos%2Fwoscc%2Ffull-record%2FWOS:001061715500002","View Full Record in Web of Science")</f>
        <v>View Full Record in Web of Science</v>
      </c>
    </row>
    <row r="296" spans="1:72" x14ac:dyDescent="0.15">
      <c r="A296" t="s">
        <v>72</v>
      </c>
      <c r="B296" t="s">
        <v>5855</v>
      </c>
      <c r="C296" t="s">
        <v>74</v>
      </c>
      <c r="D296" t="s">
        <v>74</v>
      </c>
      <c r="E296" t="s">
        <v>74</v>
      </c>
      <c r="F296" t="s">
        <v>5856</v>
      </c>
      <c r="G296" t="s">
        <v>74</v>
      </c>
      <c r="H296" t="s">
        <v>74</v>
      </c>
      <c r="I296" t="s">
        <v>5857</v>
      </c>
      <c r="J296" t="s">
        <v>5858</v>
      </c>
      <c r="K296" t="s">
        <v>74</v>
      </c>
      <c r="L296" t="s">
        <v>74</v>
      </c>
      <c r="M296" t="s">
        <v>78</v>
      </c>
      <c r="N296" t="s">
        <v>105</v>
      </c>
      <c r="O296" t="s">
        <v>74</v>
      </c>
      <c r="P296" t="s">
        <v>74</v>
      </c>
      <c r="Q296" t="s">
        <v>74</v>
      </c>
      <c r="R296" t="s">
        <v>74</v>
      </c>
      <c r="S296" t="s">
        <v>74</v>
      </c>
      <c r="T296" t="s">
        <v>5859</v>
      </c>
      <c r="U296" t="s">
        <v>5860</v>
      </c>
      <c r="V296" t="s">
        <v>5861</v>
      </c>
      <c r="W296" t="s">
        <v>5862</v>
      </c>
      <c r="X296" t="s">
        <v>5863</v>
      </c>
      <c r="Y296" t="s">
        <v>5864</v>
      </c>
      <c r="Z296" t="s">
        <v>5865</v>
      </c>
      <c r="AA296" t="s">
        <v>5866</v>
      </c>
      <c r="AB296" t="s">
        <v>5867</v>
      </c>
      <c r="AC296" t="s">
        <v>5868</v>
      </c>
      <c r="AD296" t="s">
        <v>5869</v>
      </c>
      <c r="AE296" t="s">
        <v>5870</v>
      </c>
      <c r="AF296" t="s">
        <v>74</v>
      </c>
      <c r="AG296">
        <v>159</v>
      </c>
      <c r="AH296">
        <v>0</v>
      </c>
      <c r="AI296">
        <v>0</v>
      </c>
      <c r="AJ296">
        <v>2</v>
      </c>
      <c r="AK296">
        <v>2</v>
      </c>
      <c r="AL296" t="s">
        <v>443</v>
      </c>
      <c r="AM296" t="s">
        <v>245</v>
      </c>
      <c r="AN296" t="s">
        <v>444</v>
      </c>
      <c r="AO296" t="s">
        <v>74</v>
      </c>
      <c r="AP296" t="s">
        <v>5871</v>
      </c>
      <c r="AQ296" t="s">
        <v>74</v>
      </c>
      <c r="AR296" t="s">
        <v>5872</v>
      </c>
      <c r="AS296" t="s">
        <v>5873</v>
      </c>
      <c r="AT296" t="s">
        <v>5699</v>
      </c>
      <c r="AU296">
        <v>2023</v>
      </c>
      <c r="AV296">
        <v>20</v>
      </c>
      <c r="AW296">
        <v>1</v>
      </c>
      <c r="AX296" t="s">
        <v>74</v>
      </c>
      <c r="AY296" t="s">
        <v>74</v>
      </c>
      <c r="AZ296" t="s">
        <v>74</v>
      </c>
      <c r="BA296" t="s">
        <v>74</v>
      </c>
      <c r="BB296" t="s">
        <v>74</v>
      </c>
      <c r="BC296" t="s">
        <v>74</v>
      </c>
      <c r="BD296">
        <v>118</v>
      </c>
      <c r="BE296" t="s">
        <v>5874</v>
      </c>
      <c r="BF296" t="str">
        <f>HYPERLINK("http://dx.doi.org/10.1186/s12984-023-01242-4","http://dx.doi.org/10.1186/s12984-023-01242-4")</f>
        <v>http://dx.doi.org/10.1186/s12984-023-01242-4</v>
      </c>
      <c r="BG296" t="s">
        <v>74</v>
      </c>
      <c r="BH296" t="s">
        <v>74</v>
      </c>
      <c r="BI296">
        <v>22</v>
      </c>
      <c r="BJ296" t="s">
        <v>5875</v>
      </c>
      <c r="BK296" t="s">
        <v>126</v>
      </c>
      <c r="BL296" t="s">
        <v>5876</v>
      </c>
      <c r="BM296" t="s">
        <v>5877</v>
      </c>
      <c r="BN296">
        <v>37689701</v>
      </c>
      <c r="BO296" t="s">
        <v>74</v>
      </c>
      <c r="BP296" t="s">
        <v>74</v>
      </c>
      <c r="BQ296" t="s">
        <v>74</v>
      </c>
      <c r="BR296" t="s">
        <v>99</v>
      </c>
      <c r="BS296" t="s">
        <v>5878</v>
      </c>
      <c r="BT296" t="str">
        <f>HYPERLINK("https%3A%2F%2Fwww.webofscience.com%2Fwos%2Fwoscc%2Ffull-record%2FWOS:001062128500001","View Full Record in Web of Science")</f>
        <v>View Full Record in Web of Science</v>
      </c>
    </row>
    <row r="297" spans="1:72" x14ac:dyDescent="0.15">
      <c r="A297" t="s">
        <v>72</v>
      </c>
      <c r="B297" t="s">
        <v>5879</v>
      </c>
      <c r="C297" t="s">
        <v>74</v>
      </c>
      <c r="D297" t="s">
        <v>74</v>
      </c>
      <c r="E297" t="s">
        <v>74</v>
      </c>
      <c r="F297" t="s">
        <v>5880</v>
      </c>
      <c r="G297" t="s">
        <v>74</v>
      </c>
      <c r="H297" t="s">
        <v>74</v>
      </c>
      <c r="I297" t="s">
        <v>5881</v>
      </c>
      <c r="J297" t="s">
        <v>5882</v>
      </c>
      <c r="K297" t="s">
        <v>74</v>
      </c>
      <c r="L297" t="s">
        <v>74</v>
      </c>
      <c r="M297" t="s">
        <v>78</v>
      </c>
      <c r="N297" t="s">
        <v>1246</v>
      </c>
      <c r="O297" t="s">
        <v>74</v>
      </c>
      <c r="P297" t="s">
        <v>74</v>
      </c>
      <c r="Q297" t="s">
        <v>74</v>
      </c>
      <c r="R297" t="s">
        <v>74</v>
      </c>
      <c r="S297" t="s">
        <v>74</v>
      </c>
      <c r="T297" t="s">
        <v>5883</v>
      </c>
      <c r="U297" t="s">
        <v>5884</v>
      </c>
      <c r="V297" t="s">
        <v>5885</v>
      </c>
      <c r="W297" t="s">
        <v>5886</v>
      </c>
      <c r="X297" t="s">
        <v>5887</v>
      </c>
      <c r="Y297" t="s">
        <v>5888</v>
      </c>
      <c r="Z297" t="s">
        <v>5889</v>
      </c>
      <c r="AA297" t="s">
        <v>74</v>
      </c>
      <c r="AB297" t="s">
        <v>74</v>
      </c>
      <c r="AC297" t="s">
        <v>74</v>
      </c>
      <c r="AD297" t="s">
        <v>74</v>
      </c>
      <c r="AE297" t="s">
        <v>74</v>
      </c>
      <c r="AF297" t="s">
        <v>74</v>
      </c>
      <c r="AG297">
        <v>136</v>
      </c>
      <c r="AH297">
        <v>0</v>
      </c>
      <c r="AI297">
        <v>0</v>
      </c>
      <c r="AJ297">
        <v>0</v>
      </c>
      <c r="AK297">
        <v>0</v>
      </c>
      <c r="AL297" t="s">
        <v>117</v>
      </c>
      <c r="AM297" t="s">
        <v>118</v>
      </c>
      <c r="AN297" t="s">
        <v>119</v>
      </c>
      <c r="AO297" t="s">
        <v>5890</v>
      </c>
      <c r="AP297" t="s">
        <v>5891</v>
      </c>
      <c r="AQ297" t="s">
        <v>74</v>
      </c>
      <c r="AR297" t="s">
        <v>5892</v>
      </c>
      <c r="AS297" t="s">
        <v>5893</v>
      </c>
      <c r="AT297" t="s">
        <v>5683</v>
      </c>
      <c r="AU297">
        <v>2023</v>
      </c>
      <c r="AV297" t="s">
        <v>74</v>
      </c>
      <c r="AW297" t="s">
        <v>74</v>
      </c>
      <c r="AX297" t="s">
        <v>74</v>
      </c>
      <c r="AY297" t="s">
        <v>74</v>
      </c>
      <c r="AZ297" t="s">
        <v>74</v>
      </c>
      <c r="BA297" t="s">
        <v>74</v>
      </c>
      <c r="BB297" t="s">
        <v>74</v>
      </c>
      <c r="BC297" t="s">
        <v>74</v>
      </c>
      <c r="BD297" t="s">
        <v>74</v>
      </c>
      <c r="BE297" t="s">
        <v>5894</v>
      </c>
      <c r="BF297" t="str">
        <f>HYPERLINK("http://dx.doi.org/10.1007/s13178-023-00874-4","http://dx.doi.org/10.1007/s13178-023-00874-4")</f>
        <v>http://dx.doi.org/10.1007/s13178-023-00874-4</v>
      </c>
      <c r="BG297" t="s">
        <v>74</v>
      </c>
      <c r="BH297" t="s">
        <v>2079</v>
      </c>
      <c r="BI297">
        <v>16</v>
      </c>
      <c r="BJ297" t="s">
        <v>713</v>
      </c>
      <c r="BK297" t="s">
        <v>425</v>
      </c>
      <c r="BL297" t="s">
        <v>714</v>
      </c>
      <c r="BM297" t="s">
        <v>5895</v>
      </c>
      <c r="BN297" t="s">
        <v>74</v>
      </c>
      <c r="BO297" t="s">
        <v>74</v>
      </c>
      <c r="BP297" t="s">
        <v>74</v>
      </c>
      <c r="BQ297" t="s">
        <v>74</v>
      </c>
      <c r="BR297" t="s">
        <v>99</v>
      </c>
      <c r="BS297" t="s">
        <v>5896</v>
      </c>
      <c r="BT297" t="str">
        <f>HYPERLINK("https%3A%2F%2Fwww.webofscience.com%2Fwos%2Fwoscc%2Ffull-record%2FWOS:001061519500001","View Full Record in Web of Science")</f>
        <v>View Full Record in Web of Science</v>
      </c>
    </row>
    <row r="298" spans="1:72" x14ac:dyDescent="0.15">
      <c r="A298" t="s">
        <v>72</v>
      </c>
      <c r="B298" t="s">
        <v>5897</v>
      </c>
      <c r="C298" t="s">
        <v>74</v>
      </c>
      <c r="D298" t="s">
        <v>74</v>
      </c>
      <c r="E298" t="s">
        <v>74</v>
      </c>
      <c r="F298" t="s">
        <v>5898</v>
      </c>
      <c r="G298" t="s">
        <v>74</v>
      </c>
      <c r="H298" t="s">
        <v>74</v>
      </c>
      <c r="I298" t="s">
        <v>5899</v>
      </c>
      <c r="J298" t="s">
        <v>5900</v>
      </c>
      <c r="K298" t="s">
        <v>74</v>
      </c>
      <c r="L298" t="s">
        <v>74</v>
      </c>
      <c r="M298" t="s">
        <v>78</v>
      </c>
      <c r="N298" t="s">
        <v>1246</v>
      </c>
      <c r="O298" t="s">
        <v>74</v>
      </c>
      <c r="P298" t="s">
        <v>74</v>
      </c>
      <c r="Q298" t="s">
        <v>74</v>
      </c>
      <c r="R298" t="s">
        <v>74</v>
      </c>
      <c r="S298" t="s">
        <v>74</v>
      </c>
      <c r="T298" t="s">
        <v>5901</v>
      </c>
      <c r="U298" t="s">
        <v>5902</v>
      </c>
      <c r="V298" t="s">
        <v>5903</v>
      </c>
      <c r="W298" t="s">
        <v>5904</v>
      </c>
      <c r="X298" t="s">
        <v>5905</v>
      </c>
      <c r="Y298" t="s">
        <v>5906</v>
      </c>
      <c r="Z298" t="s">
        <v>5907</v>
      </c>
      <c r="AA298" t="s">
        <v>5908</v>
      </c>
      <c r="AB298" t="s">
        <v>5909</v>
      </c>
      <c r="AC298" t="s">
        <v>5910</v>
      </c>
      <c r="AD298" t="s">
        <v>5910</v>
      </c>
      <c r="AE298" t="s">
        <v>5911</v>
      </c>
      <c r="AF298" t="s">
        <v>74</v>
      </c>
      <c r="AG298">
        <v>87</v>
      </c>
      <c r="AH298">
        <v>0</v>
      </c>
      <c r="AI298">
        <v>0</v>
      </c>
      <c r="AJ298">
        <v>1</v>
      </c>
      <c r="AK298">
        <v>1</v>
      </c>
      <c r="AL298" t="s">
        <v>117</v>
      </c>
      <c r="AM298" t="s">
        <v>627</v>
      </c>
      <c r="AN298" t="s">
        <v>628</v>
      </c>
      <c r="AO298" t="s">
        <v>5912</v>
      </c>
      <c r="AP298" t="s">
        <v>5913</v>
      </c>
      <c r="AQ298" t="s">
        <v>74</v>
      </c>
      <c r="AR298" t="s">
        <v>5914</v>
      </c>
      <c r="AS298" t="s">
        <v>5915</v>
      </c>
      <c r="AT298" t="s">
        <v>5683</v>
      </c>
      <c r="AU298">
        <v>2023</v>
      </c>
      <c r="AV298" t="s">
        <v>74</v>
      </c>
      <c r="AW298" t="s">
        <v>74</v>
      </c>
      <c r="AX298" t="s">
        <v>74</v>
      </c>
      <c r="AY298" t="s">
        <v>74</v>
      </c>
      <c r="AZ298" t="s">
        <v>74</v>
      </c>
      <c r="BA298" t="s">
        <v>74</v>
      </c>
      <c r="BB298" t="s">
        <v>74</v>
      </c>
      <c r="BC298" t="s">
        <v>74</v>
      </c>
      <c r="BD298" t="s">
        <v>74</v>
      </c>
      <c r="BE298" t="s">
        <v>5916</v>
      </c>
      <c r="BF298" t="str">
        <f>HYPERLINK("http://dx.doi.org/10.1007/s11482-023-10225-5","http://dx.doi.org/10.1007/s11482-023-10225-5")</f>
        <v>http://dx.doi.org/10.1007/s11482-023-10225-5</v>
      </c>
      <c r="BG298" t="s">
        <v>74</v>
      </c>
      <c r="BH298" t="s">
        <v>2079</v>
      </c>
      <c r="BI298">
        <v>27</v>
      </c>
      <c r="BJ298" t="s">
        <v>713</v>
      </c>
      <c r="BK298" t="s">
        <v>425</v>
      </c>
      <c r="BL298" t="s">
        <v>714</v>
      </c>
      <c r="BM298" t="s">
        <v>5917</v>
      </c>
      <c r="BN298" t="s">
        <v>74</v>
      </c>
      <c r="BO298" t="s">
        <v>183</v>
      </c>
      <c r="BP298" t="s">
        <v>74</v>
      </c>
      <c r="BQ298" t="s">
        <v>74</v>
      </c>
      <c r="BR298" t="s">
        <v>99</v>
      </c>
      <c r="BS298" t="s">
        <v>5918</v>
      </c>
      <c r="BT298" t="str">
        <f>HYPERLINK("https%3A%2F%2Fwww.webofscience.com%2Fwos%2Fwoscc%2Ffull-record%2FWOS:001061714000001","View Full Record in Web of Science")</f>
        <v>View Full Record in Web of Science</v>
      </c>
    </row>
    <row r="299" spans="1:72" x14ac:dyDescent="0.15">
      <c r="A299" t="s">
        <v>72</v>
      </c>
      <c r="B299" t="s">
        <v>5919</v>
      </c>
      <c r="C299" t="s">
        <v>74</v>
      </c>
      <c r="D299" t="s">
        <v>74</v>
      </c>
      <c r="E299" t="s">
        <v>74</v>
      </c>
      <c r="F299" t="s">
        <v>5920</v>
      </c>
      <c r="G299" t="s">
        <v>74</v>
      </c>
      <c r="H299" t="s">
        <v>74</v>
      </c>
      <c r="I299" t="s">
        <v>5921</v>
      </c>
      <c r="J299" t="s">
        <v>5922</v>
      </c>
      <c r="K299" t="s">
        <v>74</v>
      </c>
      <c r="L299" t="s">
        <v>74</v>
      </c>
      <c r="M299" t="s">
        <v>78</v>
      </c>
      <c r="N299" t="s">
        <v>1246</v>
      </c>
      <c r="O299" t="s">
        <v>74</v>
      </c>
      <c r="P299" t="s">
        <v>74</v>
      </c>
      <c r="Q299" t="s">
        <v>74</v>
      </c>
      <c r="R299" t="s">
        <v>74</v>
      </c>
      <c r="S299" t="s">
        <v>74</v>
      </c>
      <c r="T299" t="s">
        <v>5923</v>
      </c>
      <c r="U299" t="s">
        <v>5924</v>
      </c>
      <c r="V299" t="s">
        <v>5925</v>
      </c>
      <c r="W299" t="s">
        <v>5926</v>
      </c>
      <c r="X299" t="s">
        <v>5927</v>
      </c>
      <c r="Y299" t="s">
        <v>5928</v>
      </c>
      <c r="Z299" t="s">
        <v>5929</v>
      </c>
      <c r="AA299" t="s">
        <v>74</v>
      </c>
      <c r="AB299" t="s">
        <v>74</v>
      </c>
      <c r="AC299" t="s">
        <v>5930</v>
      </c>
      <c r="AD299" t="s">
        <v>5931</v>
      </c>
      <c r="AE299" t="s">
        <v>5932</v>
      </c>
      <c r="AF299" t="s">
        <v>74</v>
      </c>
      <c r="AG299">
        <v>31</v>
      </c>
      <c r="AH299">
        <v>0</v>
      </c>
      <c r="AI299">
        <v>0</v>
      </c>
      <c r="AJ299">
        <v>0</v>
      </c>
      <c r="AK299">
        <v>0</v>
      </c>
      <c r="AL299" t="s">
        <v>117</v>
      </c>
      <c r="AM299" t="s">
        <v>118</v>
      </c>
      <c r="AN299" t="s">
        <v>119</v>
      </c>
      <c r="AO299" t="s">
        <v>5933</v>
      </c>
      <c r="AP299" t="s">
        <v>5934</v>
      </c>
      <c r="AQ299" t="s">
        <v>74</v>
      </c>
      <c r="AR299" t="s">
        <v>5935</v>
      </c>
      <c r="AS299" t="s">
        <v>5936</v>
      </c>
      <c r="AT299" t="s">
        <v>5683</v>
      </c>
      <c r="AU299">
        <v>2023</v>
      </c>
      <c r="AV299" t="s">
        <v>74</v>
      </c>
      <c r="AW299" t="s">
        <v>74</v>
      </c>
      <c r="AX299" t="s">
        <v>74</v>
      </c>
      <c r="AY299" t="s">
        <v>74</v>
      </c>
      <c r="AZ299" t="s">
        <v>74</v>
      </c>
      <c r="BA299" t="s">
        <v>74</v>
      </c>
      <c r="BB299" t="s">
        <v>74</v>
      </c>
      <c r="BC299" t="s">
        <v>74</v>
      </c>
      <c r="BD299" t="s">
        <v>74</v>
      </c>
      <c r="BE299" t="s">
        <v>5937</v>
      </c>
      <c r="BF299" t="str">
        <f>HYPERLINK("http://dx.doi.org/10.1007/s00405-023-08213-4","http://dx.doi.org/10.1007/s00405-023-08213-4")</f>
        <v>http://dx.doi.org/10.1007/s00405-023-08213-4</v>
      </c>
      <c r="BG299" t="s">
        <v>74</v>
      </c>
      <c r="BH299" t="s">
        <v>2079</v>
      </c>
      <c r="BI299">
        <v>14</v>
      </c>
      <c r="BJ299" t="s">
        <v>5938</v>
      </c>
      <c r="BK299" t="s">
        <v>126</v>
      </c>
      <c r="BL299" t="s">
        <v>5938</v>
      </c>
      <c r="BM299" t="s">
        <v>5939</v>
      </c>
      <c r="BN299">
        <v>37688682</v>
      </c>
      <c r="BO299" t="s">
        <v>183</v>
      </c>
      <c r="BP299" t="s">
        <v>74</v>
      </c>
      <c r="BQ299" t="s">
        <v>74</v>
      </c>
      <c r="BR299" t="s">
        <v>99</v>
      </c>
      <c r="BS299" t="s">
        <v>5940</v>
      </c>
      <c r="BT299" t="str">
        <f>HYPERLINK("https%3A%2F%2Fwww.webofscience.com%2Fwos%2Fwoscc%2Ffull-record%2FWOS:001065102900001","View Full Record in Web of Science")</f>
        <v>View Full Record in Web of Science</v>
      </c>
    </row>
    <row r="300" spans="1:72" x14ac:dyDescent="0.15">
      <c r="A300" t="s">
        <v>72</v>
      </c>
      <c r="B300" t="s">
        <v>5941</v>
      </c>
      <c r="C300" t="s">
        <v>74</v>
      </c>
      <c r="D300" t="s">
        <v>74</v>
      </c>
      <c r="E300" t="s">
        <v>74</v>
      </c>
      <c r="F300" t="s">
        <v>5942</v>
      </c>
      <c r="G300" t="s">
        <v>74</v>
      </c>
      <c r="H300" t="s">
        <v>74</v>
      </c>
      <c r="I300" t="s">
        <v>5943</v>
      </c>
      <c r="J300" t="s">
        <v>5944</v>
      </c>
      <c r="K300" t="s">
        <v>74</v>
      </c>
      <c r="L300" t="s">
        <v>74</v>
      </c>
      <c r="M300" t="s">
        <v>78</v>
      </c>
      <c r="N300" t="s">
        <v>5945</v>
      </c>
      <c r="O300" t="s">
        <v>74</v>
      </c>
      <c r="P300" t="s">
        <v>74</v>
      </c>
      <c r="Q300" t="s">
        <v>74</v>
      </c>
      <c r="R300" t="s">
        <v>74</v>
      </c>
      <c r="S300" t="s">
        <v>74</v>
      </c>
      <c r="T300" t="s">
        <v>74</v>
      </c>
      <c r="U300" t="s">
        <v>74</v>
      </c>
      <c r="V300" t="s">
        <v>74</v>
      </c>
      <c r="W300" t="s">
        <v>5946</v>
      </c>
      <c r="X300" t="s">
        <v>5947</v>
      </c>
      <c r="Y300" t="s">
        <v>5948</v>
      </c>
      <c r="Z300" t="s">
        <v>5949</v>
      </c>
      <c r="AA300" t="s">
        <v>74</v>
      </c>
      <c r="AB300" t="s">
        <v>5950</v>
      </c>
      <c r="AC300" t="s">
        <v>74</v>
      </c>
      <c r="AD300" t="s">
        <v>74</v>
      </c>
      <c r="AE300" t="s">
        <v>74</v>
      </c>
      <c r="AF300" t="s">
        <v>74</v>
      </c>
      <c r="AG300">
        <v>1</v>
      </c>
      <c r="AH300">
        <v>0</v>
      </c>
      <c r="AI300">
        <v>0</v>
      </c>
      <c r="AJ300">
        <v>0</v>
      </c>
      <c r="AK300">
        <v>0</v>
      </c>
      <c r="AL300" t="s">
        <v>3023</v>
      </c>
      <c r="AM300" t="s">
        <v>3024</v>
      </c>
      <c r="AN300" t="s">
        <v>3025</v>
      </c>
      <c r="AO300" t="s">
        <v>5951</v>
      </c>
      <c r="AP300" t="s">
        <v>5952</v>
      </c>
      <c r="AQ300" t="s">
        <v>74</v>
      </c>
      <c r="AR300" t="s">
        <v>5953</v>
      </c>
      <c r="AS300" t="s">
        <v>5954</v>
      </c>
      <c r="AT300" t="s">
        <v>5683</v>
      </c>
      <c r="AU300">
        <v>2023</v>
      </c>
      <c r="AV300" t="s">
        <v>74</v>
      </c>
      <c r="AW300" t="s">
        <v>74</v>
      </c>
      <c r="AX300" t="s">
        <v>74</v>
      </c>
      <c r="AY300" t="s">
        <v>74</v>
      </c>
      <c r="AZ300" t="s">
        <v>74</v>
      </c>
      <c r="BA300" t="s">
        <v>74</v>
      </c>
      <c r="BB300" t="s">
        <v>74</v>
      </c>
      <c r="BC300" t="s">
        <v>74</v>
      </c>
      <c r="BD300" t="s">
        <v>74</v>
      </c>
      <c r="BE300" t="s">
        <v>5955</v>
      </c>
      <c r="BF300" t="str">
        <f>HYPERLINK("http://dx.doi.org/10.1007/s40257-023-00820-5","http://dx.doi.org/10.1007/s40257-023-00820-5")</f>
        <v>http://dx.doi.org/10.1007/s40257-023-00820-5</v>
      </c>
      <c r="BG300" t="s">
        <v>74</v>
      </c>
      <c r="BH300" t="s">
        <v>2079</v>
      </c>
      <c r="BI300">
        <v>1</v>
      </c>
      <c r="BJ300" t="s">
        <v>3031</v>
      </c>
      <c r="BK300" t="s">
        <v>126</v>
      </c>
      <c r="BL300" t="s">
        <v>3031</v>
      </c>
      <c r="BM300" t="s">
        <v>5956</v>
      </c>
      <c r="BN300" t="s">
        <v>74</v>
      </c>
      <c r="BO300" t="s">
        <v>762</v>
      </c>
      <c r="BP300" t="s">
        <v>74</v>
      </c>
      <c r="BQ300" t="s">
        <v>74</v>
      </c>
      <c r="BR300" t="s">
        <v>99</v>
      </c>
      <c r="BS300" t="s">
        <v>5957</v>
      </c>
      <c r="BT300" t="str">
        <f>HYPERLINK("https%3A%2F%2Fwww.webofscience.com%2Fwos%2Fwoscc%2Ffull-record%2FWOS:001064978900001","View Full Record in Web of Science")</f>
        <v>View Full Record in Web of Science</v>
      </c>
    </row>
    <row r="301" spans="1:72" x14ac:dyDescent="0.15">
      <c r="A301" t="s">
        <v>72</v>
      </c>
      <c r="B301" t="s">
        <v>5958</v>
      </c>
      <c r="C301" t="s">
        <v>74</v>
      </c>
      <c r="D301" t="s">
        <v>74</v>
      </c>
      <c r="E301" t="s">
        <v>74</v>
      </c>
      <c r="F301" t="s">
        <v>5959</v>
      </c>
      <c r="G301" t="s">
        <v>74</v>
      </c>
      <c r="H301" t="s">
        <v>74</v>
      </c>
      <c r="I301" t="s">
        <v>5960</v>
      </c>
      <c r="J301" t="s">
        <v>5961</v>
      </c>
      <c r="K301" t="s">
        <v>74</v>
      </c>
      <c r="L301" t="s">
        <v>74</v>
      </c>
      <c r="M301" t="s">
        <v>78</v>
      </c>
      <c r="N301" t="s">
        <v>1246</v>
      </c>
      <c r="O301" t="s">
        <v>74</v>
      </c>
      <c r="P301" t="s">
        <v>74</v>
      </c>
      <c r="Q301" t="s">
        <v>74</v>
      </c>
      <c r="R301" t="s">
        <v>74</v>
      </c>
      <c r="S301" t="s">
        <v>74</v>
      </c>
      <c r="T301" t="s">
        <v>5962</v>
      </c>
      <c r="U301" t="s">
        <v>5963</v>
      </c>
      <c r="V301" t="s">
        <v>5964</v>
      </c>
      <c r="W301" t="s">
        <v>5965</v>
      </c>
      <c r="X301" t="s">
        <v>5966</v>
      </c>
      <c r="Y301" t="s">
        <v>5967</v>
      </c>
      <c r="Z301" t="s">
        <v>5968</v>
      </c>
      <c r="AA301" t="s">
        <v>74</v>
      </c>
      <c r="AB301" t="s">
        <v>74</v>
      </c>
      <c r="AC301" t="s">
        <v>5969</v>
      </c>
      <c r="AD301" t="s">
        <v>5970</v>
      </c>
      <c r="AE301" t="s">
        <v>5971</v>
      </c>
      <c r="AF301" t="s">
        <v>74</v>
      </c>
      <c r="AG301">
        <v>32</v>
      </c>
      <c r="AH301">
        <v>0</v>
      </c>
      <c r="AI301">
        <v>0</v>
      </c>
      <c r="AJ301">
        <v>2</v>
      </c>
      <c r="AK301">
        <v>2</v>
      </c>
      <c r="AL301" t="s">
        <v>117</v>
      </c>
      <c r="AM301" t="s">
        <v>627</v>
      </c>
      <c r="AN301" t="s">
        <v>628</v>
      </c>
      <c r="AO301" t="s">
        <v>5972</v>
      </c>
      <c r="AP301" t="s">
        <v>5973</v>
      </c>
      <c r="AQ301" t="s">
        <v>74</v>
      </c>
      <c r="AR301" t="s">
        <v>5974</v>
      </c>
      <c r="AS301" t="s">
        <v>5975</v>
      </c>
      <c r="AT301" t="s">
        <v>5683</v>
      </c>
      <c r="AU301">
        <v>2023</v>
      </c>
      <c r="AV301" t="s">
        <v>74</v>
      </c>
      <c r="AW301" t="s">
        <v>74</v>
      </c>
      <c r="AX301" t="s">
        <v>74</v>
      </c>
      <c r="AY301" t="s">
        <v>74</v>
      </c>
      <c r="AZ301" t="s">
        <v>74</v>
      </c>
      <c r="BA301" t="s">
        <v>74</v>
      </c>
      <c r="BB301" t="s">
        <v>74</v>
      </c>
      <c r="BC301" t="s">
        <v>74</v>
      </c>
      <c r="BD301" t="s">
        <v>74</v>
      </c>
      <c r="BE301" t="s">
        <v>5976</v>
      </c>
      <c r="BF301" t="str">
        <f>HYPERLINK("http://dx.doi.org/10.1007/s11053-023-10260","http://dx.doi.org/10.1007/s11053-023-10260")</f>
        <v>http://dx.doi.org/10.1007/s11053-023-10260</v>
      </c>
      <c r="BG301" t="s">
        <v>74</v>
      </c>
      <c r="BH301" t="s">
        <v>2079</v>
      </c>
      <c r="BI301">
        <v>16</v>
      </c>
      <c r="BJ301" t="s">
        <v>5354</v>
      </c>
      <c r="BK301" t="s">
        <v>126</v>
      </c>
      <c r="BL301" t="s">
        <v>5355</v>
      </c>
      <c r="BM301" t="s">
        <v>5977</v>
      </c>
      <c r="BN301" t="s">
        <v>74</v>
      </c>
      <c r="BO301" t="s">
        <v>74</v>
      </c>
      <c r="BP301" t="s">
        <v>74</v>
      </c>
      <c r="BQ301" t="s">
        <v>74</v>
      </c>
      <c r="BR301" t="s">
        <v>99</v>
      </c>
      <c r="BS301" t="s">
        <v>5978</v>
      </c>
      <c r="BT301" t="str">
        <f>HYPERLINK("https%3A%2F%2Fwww.webofscience.com%2Fwos%2Fwoscc%2Ffull-record%2FWOS:001061710600001","View Full Record in Web of Science")</f>
        <v>View Full Record in Web of Science</v>
      </c>
    </row>
    <row r="302" spans="1:72" x14ac:dyDescent="0.15">
      <c r="A302" t="s">
        <v>72</v>
      </c>
      <c r="B302" t="s">
        <v>5979</v>
      </c>
      <c r="C302" t="s">
        <v>74</v>
      </c>
      <c r="D302" t="s">
        <v>74</v>
      </c>
      <c r="E302" t="s">
        <v>74</v>
      </c>
      <c r="F302" t="s">
        <v>5980</v>
      </c>
      <c r="G302" t="s">
        <v>74</v>
      </c>
      <c r="H302" t="s">
        <v>74</v>
      </c>
      <c r="I302" t="s">
        <v>5981</v>
      </c>
      <c r="J302" t="s">
        <v>5961</v>
      </c>
      <c r="K302" t="s">
        <v>74</v>
      </c>
      <c r="L302" t="s">
        <v>74</v>
      </c>
      <c r="M302" t="s">
        <v>78</v>
      </c>
      <c r="N302" t="s">
        <v>1246</v>
      </c>
      <c r="O302" t="s">
        <v>74</v>
      </c>
      <c r="P302" t="s">
        <v>74</v>
      </c>
      <c r="Q302" t="s">
        <v>74</v>
      </c>
      <c r="R302" t="s">
        <v>74</v>
      </c>
      <c r="S302" t="s">
        <v>74</v>
      </c>
      <c r="T302" t="s">
        <v>5982</v>
      </c>
      <c r="U302" t="s">
        <v>5983</v>
      </c>
      <c r="V302" t="s">
        <v>5984</v>
      </c>
      <c r="W302" t="s">
        <v>5985</v>
      </c>
      <c r="X302" t="s">
        <v>5986</v>
      </c>
      <c r="Y302" t="s">
        <v>5987</v>
      </c>
      <c r="Z302" t="s">
        <v>5988</v>
      </c>
      <c r="AA302" t="s">
        <v>74</v>
      </c>
      <c r="AB302" t="s">
        <v>74</v>
      </c>
      <c r="AC302" t="s">
        <v>5989</v>
      </c>
      <c r="AD302" t="s">
        <v>5989</v>
      </c>
      <c r="AE302" t="s">
        <v>5990</v>
      </c>
      <c r="AF302" t="s">
        <v>74</v>
      </c>
      <c r="AG302">
        <v>55</v>
      </c>
      <c r="AH302">
        <v>0</v>
      </c>
      <c r="AI302">
        <v>0</v>
      </c>
      <c r="AJ302">
        <v>0</v>
      </c>
      <c r="AK302">
        <v>0</v>
      </c>
      <c r="AL302" t="s">
        <v>117</v>
      </c>
      <c r="AM302" t="s">
        <v>627</v>
      </c>
      <c r="AN302" t="s">
        <v>628</v>
      </c>
      <c r="AO302" t="s">
        <v>5972</v>
      </c>
      <c r="AP302" t="s">
        <v>5973</v>
      </c>
      <c r="AQ302" t="s">
        <v>74</v>
      </c>
      <c r="AR302" t="s">
        <v>5974</v>
      </c>
      <c r="AS302" t="s">
        <v>5975</v>
      </c>
      <c r="AT302" t="s">
        <v>5991</v>
      </c>
      <c r="AU302">
        <v>2023</v>
      </c>
      <c r="AV302" t="s">
        <v>74</v>
      </c>
      <c r="AW302" t="s">
        <v>74</v>
      </c>
      <c r="AX302" t="s">
        <v>74</v>
      </c>
      <c r="AY302" t="s">
        <v>74</v>
      </c>
      <c r="AZ302" t="s">
        <v>74</v>
      </c>
      <c r="BA302" t="s">
        <v>74</v>
      </c>
      <c r="BB302" t="s">
        <v>74</v>
      </c>
      <c r="BC302" t="s">
        <v>74</v>
      </c>
      <c r="BD302" t="s">
        <v>74</v>
      </c>
      <c r="BE302" t="s">
        <v>5992</v>
      </c>
      <c r="BF302" t="str">
        <f>HYPERLINK("http://dx.doi.org/10.1007/s11053-023-10253","http://dx.doi.org/10.1007/s11053-023-10253")</f>
        <v>http://dx.doi.org/10.1007/s11053-023-10253</v>
      </c>
      <c r="BG302" t="s">
        <v>74</v>
      </c>
      <c r="BH302" t="s">
        <v>2079</v>
      </c>
      <c r="BI302">
        <v>27</v>
      </c>
      <c r="BJ302" t="s">
        <v>5354</v>
      </c>
      <c r="BK302" t="s">
        <v>126</v>
      </c>
      <c r="BL302" t="s">
        <v>5355</v>
      </c>
      <c r="BM302" t="s">
        <v>5993</v>
      </c>
      <c r="BN302" t="s">
        <v>74</v>
      </c>
      <c r="BO302" t="s">
        <v>74</v>
      </c>
      <c r="BP302" t="s">
        <v>74</v>
      </c>
      <c r="BQ302" t="s">
        <v>74</v>
      </c>
      <c r="BR302" t="s">
        <v>99</v>
      </c>
      <c r="BS302" t="s">
        <v>5994</v>
      </c>
      <c r="BT302" t="str">
        <f>HYPERLINK("https%3A%2F%2Fwww.webofscience.com%2Fwos%2Fwoscc%2Ffull-record%2FWOS:001060916500001","View Full Record in Web of Science")</f>
        <v>View Full Record in Web of Science</v>
      </c>
    </row>
    <row r="303" spans="1:72" x14ac:dyDescent="0.15">
      <c r="A303" t="s">
        <v>72</v>
      </c>
      <c r="B303" t="s">
        <v>5995</v>
      </c>
      <c r="C303" t="s">
        <v>74</v>
      </c>
      <c r="D303" t="s">
        <v>74</v>
      </c>
      <c r="E303" t="s">
        <v>74</v>
      </c>
      <c r="F303" t="s">
        <v>5996</v>
      </c>
      <c r="G303" t="s">
        <v>74</v>
      </c>
      <c r="H303" t="s">
        <v>74</v>
      </c>
      <c r="I303" t="s">
        <v>5997</v>
      </c>
      <c r="J303" t="s">
        <v>5998</v>
      </c>
      <c r="K303" t="s">
        <v>74</v>
      </c>
      <c r="L303" t="s">
        <v>74</v>
      </c>
      <c r="M303" t="s">
        <v>78</v>
      </c>
      <c r="N303" t="s">
        <v>5945</v>
      </c>
      <c r="O303" t="s">
        <v>74</v>
      </c>
      <c r="P303" t="s">
        <v>74</v>
      </c>
      <c r="Q303" t="s">
        <v>74</v>
      </c>
      <c r="R303" t="s">
        <v>74</v>
      </c>
      <c r="S303" t="s">
        <v>74</v>
      </c>
      <c r="T303" t="s">
        <v>74</v>
      </c>
      <c r="U303" t="s">
        <v>74</v>
      </c>
      <c r="V303" t="s">
        <v>74</v>
      </c>
      <c r="W303" t="s">
        <v>5999</v>
      </c>
      <c r="X303" t="s">
        <v>6000</v>
      </c>
      <c r="Y303" t="s">
        <v>6001</v>
      </c>
      <c r="Z303" t="s">
        <v>6002</v>
      </c>
      <c r="AA303" t="s">
        <v>74</v>
      </c>
      <c r="AB303" t="s">
        <v>74</v>
      </c>
      <c r="AC303" t="s">
        <v>74</v>
      </c>
      <c r="AD303" t="s">
        <v>74</v>
      </c>
      <c r="AE303" t="s">
        <v>74</v>
      </c>
      <c r="AF303" t="s">
        <v>74</v>
      </c>
      <c r="AG303">
        <v>0</v>
      </c>
      <c r="AH303">
        <v>0</v>
      </c>
      <c r="AI303">
        <v>0</v>
      </c>
      <c r="AJ303">
        <v>0</v>
      </c>
      <c r="AK303">
        <v>0</v>
      </c>
      <c r="AL303" t="s">
        <v>117</v>
      </c>
      <c r="AM303" t="s">
        <v>118</v>
      </c>
      <c r="AN303" t="s">
        <v>119</v>
      </c>
      <c r="AO303" t="s">
        <v>6003</v>
      </c>
      <c r="AP303" t="s">
        <v>6004</v>
      </c>
      <c r="AQ303" t="s">
        <v>74</v>
      </c>
      <c r="AR303" t="s">
        <v>6005</v>
      </c>
      <c r="AS303" t="s">
        <v>6006</v>
      </c>
      <c r="AT303" t="s">
        <v>5991</v>
      </c>
      <c r="AU303">
        <v>2023</v>
      </c>
      <c r="AV303" t="s">
        <v>74</v>
      </c>
      <c r="AW303" t="s">
        <v>74</v>
      </c>
      <c r="AX303" t="s">
        <v>74</v>
      </c>
      <c r="AY303" t="s">
        <v>74</v>
      </c>
      <c r="AZ303" t="s">
        <v>74</v>
      </c>
      <c r="BA303" t="s">
        <v>74</v>
      </c>
      <c r="BB303" t="s">
        <v>74</v>
      </c>
      <c r="BC303" t="s">
        <v>74</v>
      </c>
      <c r="BD303" t="s">
        <v>74</v>
      </c>
      <c r="BE303" t="s">
        <v>6007</v>
      </c>
      <c r="BF303" t="str">
        <f>HYPERLINK("http://dx.doi.org/10.1007/s11673-023-10296-x","http://dx.doi.org/10.1007/s11673-023-10296-x")</f>
        <v>http://dx.doi.org/10.1007/s11673-023-10296-x</v>
      </c>
      <c r="BG303" t="s">
        <v>74</v>
      </c>
      <c r="BH303" t="s">
        <v>2079</v>
      </c>
      <c r="BI303">
        <v>1</v>
      </c>
      <c r="BJ303" t="s">
        <v>6008</v>
      </c>
      <c r="BK303" t="s">
        <v>2431</v>
      </c>
      <c r="BL303" t="s">
        <v>6009</v>
      </c>
      <c r="BM303" t="s">
        <v>6010</v>
      </c>
      <c r="BN303">
        <v>37682380</v>
      </c>
      <c r="BO303" t="s">
        <v>762</v>
      </c>
      <c r="BP303" t="s">
        <v>74</v>
      </c>
      <c r="BQ303" t="s">
        <v>74</v>
      </c>
      <c r="BR303" t="s">
        <v>99</v>
      </c>
      <c r="BS303" t="s">
        <v>6011</v>
      </c>
      <c r="BT303" t="str">
        <f>HYPERLINK("https%3A%2F%2Fwww.webofscience.com%2Fwos%2Fwoscc%2Ffull-record%2FWOS:001064442300001","View Full Record in Web of Science")</f>
        <v>View Full Record in Web of Science</v>
      </c>
    </row>
    <row r="304" spans="1:72" x14ac:dyDescent="0.15">
      <c r="A304" t="s">
        <v>72</v>
      </c>
      <c r="B304" t="s">
        <v>6012</v>
      </c>
      <c r="C304" t="s">
        <v>74</v>
      </c>
      <c r="D304" t="s">
        <v>74</v>
      </c>
      <c r="E304" t="s">
        <v>74</v>
      </c>
      <c r="F304" t="s">
        <v>6013</v>
      </c>
      <c r="G304" t="s">
        <v>74</v>
      </c>
      <c r="H304" t="s">
        <v>74</v>
      </c>
      <c r="I304" t="s">
        <v>6014</v>
      </c>
      <c r="J304" t="s">
        <v>6015</v>
      </c>
      <c r="K304" t="s">
        <v>74</v>
      </c>
      <c r="L304" t="s">
        <v>74</v>
      </c>
      <c r="M304" t="s">
        <v>78</v>
      </c>
      <c r="N304" t="s">
        <v>1246</v>
      </c>
      <c r="O304" t="s">
        <v>74</v>
      </c>
      <c r="P304" t="s">
        <v>74</v>
      </c>
      <c r="Q304" t="s">
        <v>74</v>
      </c>
      <c r="R304" t="s">
        <v>74</v>
      </c>
      <c r="S304" t="s">
        <v>74</v>
      </c>
      <c r="T304" t="s">
        <v>6016</v>
      </c>
      <c r="U304" t="s">
        <v>6017</v>
      </c>
      <c r="V304" t="s">
        <v>6018</v>
      </c>
      <c r="W304" t="s">
        <v>6019</v>
      </c>
      <c r="X304" t="s">
        <v>6020</v>
      </c>
      <c r="Y304" t="s">
        <v>6021</v>
      </c>
      <c r="Z304" t="s">
        <v>6022</v>
      </c>
      <c r="AA304" t="s">
        <v>74</v>
      </c>
      <c r="AB304" t="s">
        <v>74</v>
      </c>
      <c r="AC304" t="s">
        <v>74</v>
      </c>
      <c r="AD304" t="s">
        <v>74</v>
      </c>
      <c r="AE304" t="s">
        <v>74</v>
      </c>
      <c r="AF304" t="s">
        <v>74</v>
      </c>
      <c r="AG304">
        <v>37</v>
      </c>
      <c r="AH304">
        <v>0</v>
      </c>
      <c r="AI304">
        <v>0</v>
      </c>
      <c r="AJ304">
        <v>0</v>
      </c>
      <c r="AK304">
        <v>0</v>
      </c>
      <c r="AL304" t="s">
        <v>219</v>
      </c>
      <c r="AM304" t="s">
        <v>220</v>
      </c>
      <c r="AN304" t="s">
        <v>221</v>
      </c>
      <c r="AO304" t="s">
        <v>6023</v>
      </c>
      <c r="AP304" t="s">
        <v>6024</v>
      </c>
      <c r="AQ304" t="s">
        <v>74</v>
      </c>
      <c r="AR304" t="s">
        <v>6015</v>
      </c>
      <c r="AS304" t="s">
        <v>6025</v>
      </c>
      <c r="AT304" t="s">
        <v>5991</v>
      </c>
      <c r="AU304">
        <v>2023</v>
      </c>
      <c r="AV304" t="s">
        <v>74</v>
      </c>
      <c r="AW304" t="s">
        <v>74</v>
      </c>
      <c r="AX304" t="s">
        <v>74</v>
      </c>
      <c r="AY304" t="s">
        <v>74</v>
      </c>
      <c r="AZ304" t="s">
        <v>74</v>
      </c>
      <c r="BA304" t="s">
        <v>74</v>
      </c>
      <c r="BB304" t="s">
        <v>74</v>
      </c>
      <c r="BC304" t="s">
        <v>74</v>
      </c>
      <c r="BD304" t="s">
        <v>74</v>
      </c>
      <c r="BE304" t="s">
        <v>6026</v>
      </c>
      <c r="BF304" t="str">
        <f>HYPERLINK("http://dx.doi.org/10.1007/s10787-023-01329-3","http://dx.doi.org/10.1007/s10787-023-01329-3")</f>
        <v>http://dx.doi.org/10.1007/s10787-023-01329-3</v>
      </c>
      <c r="BG304" t="s">
        <v>74</v>
      </c>
      <c r="BH304" t="s">
        <v>2079</v>
      </c>
      <c r="BI304">
        <v>5</v>
      </c>
      <c r="BJ304" t="s">
        <v>6027</v>
      </c>
      <c r="BK304" t="s">
        <v>126</v>
      </c>
      <c r="BL304" t="s">
        <v>6027</v>
      </c>
      <c r="BM304" t="s">
        <v>6028</v>
      </c>
      <c r="BN304">
        <v>37684551</v>
      </c>
      <c r="BO304" t="s">
        <v>74</v>
      </c>
      <c r="BP304" t="s">
        <v>74</v>
      </c>
      <c r="BQ304" t="s">
        <v>74</v>
      </c>
      <c r="BR304" t="s">
        <v>99</v>
      </c>
      <c r="BS304" t="s">
        <v>6029</v>
      </c>
      <c r="BT304" t="str">
        <f>HYPERLINK("https%3A%2F%2Fwww.webofscience.com%2Fwos%2Fwoscc%2Ffull-record%2FWOS:001061560400001","View Full Record in Web of Science")</f>
        <v>View Full Record in Web of Science</v>
      </c>
    </row>
    <row r="305" spans="1:72" x14ac:dyDescent="0.15">
      <c r="A305" t="s">
        <v>72</v>
      </c>
      <c r="B305" t="s">
        <v>6030</v>
      </c>
      <c r="C305" t="s">
        <v>74</v>
      </c>
      <c r="D305" t="s">
        <v>74</v>
      </c>
      <c r="E305" t="s">
        <v>74</v>
      </c>
      <c r="F305" t="s">
        <v>6031</v>
      </c>
      <c r="G305" t="s">
        <v>74</v>
      </c>
      <c r="H305" t="s">
        <v>74</v>
      </c>
      <c r="I305" t="s">
        <v>6032</v>
      </c>
      <c r="J305" t="s">
        <v>6033</v>
      </c>
      <c r="K305" t="s">
        <v>74</v>
      </c>
      <c r="L305" t="s">
        <v>74</v>
      </c>
      <c r="M305" t="s">
        <v>78</v>
      </c>
      <c r="N305" t="s">
        <v>1246</v>
      </c>
      <c r="O305" t="s">
        <v>74</v>
      </c>
      <c r="P305" t="s">
        <v>74</v>
      </c>
      <c r="Q305" t="s">
        <v>74</v>
      </c>
      <c r="R305" t="s">
        <v>74</v>
      </c>
      <c r="S305" t="s">
        <v>74</v>
      </c>
      <c r="T305" t="s">
        <v>74</v>
      </c>
      <c r="U305" t="s">
        <v>6034</v>
      </c>
      <c r="V305" t="s">
        <v>6035</v>
      </c>
      <c r="W305" t="s">
        <v>6036</v>
      </c>
      <c r="X305" t="s">
        <v>6037</v>
      </c>
      <c r="Y305" t="s">
        <v>6038</v>
      </c>
      <c r="Z305" t="s">
        <v>6039</v>
      </c>
      <c r="AA305" t="s">
        <v>74</v>
      </c>
      <c r="AB305" t="s">
        <v>74</v>
      </c>
      <c r="AC305" t="s">
        <v>74</v>
      </c>
      <c r="AD305" t="s">
        <v>74</v>
      </c>
      <c r="AE305" t="s">
        <v>74</v>
      </c>
      <c r="AF305" t="s">
        <v>74</v>
      </c>
      <c r="AG305">
        <v>47</v>
      </c>
      <c r="AH305">
        <v>0</v>
      </c>
      <c r="AI305">
        <v>0</v>
      </c>
      <c r="AJ305">
        <v>0</v>
      </c>
      <c r="AK305">
        <v>0</v>
      </c>
      <c r="AL305" t="s">
        <v>172</v>
      </c>
      <c r="AM305" t="s">
        <v>173</v>
      </c>
      <c r="AN305" t="s">
        <v>174</v>
      </c>
      <c r="AO305" t="s">
        <v>6040</v>
      </c>
      <c r="AP305" t="s">
        <v>6041</v>
      </c>
      <c r="AQ305" t="s">
        <v>74</v>
      </c>
      <c r="AR305" t="s">
        <v>6042</v>
      </c>
      <c r="AS305" t="s">
        <v>6043</v>
      </c>
      <c r="AT305" t="s">
        <v>5991</v>
      </c>
      <c r="AU305">
        <v>2023</v>
      </c>
      <c r="AV305" t="s">
        <v>74</v>
      </c>
      <c r="AW305" t="s">
        <v>74</v>
      </c>
      <c r="AX305" t="s">
        <v>74</v>
      </c>
      <c r="AY305" t="s">
        <v>74</v>
      </c>
      <c r="AZ305" t="s">
        <v>74</v>
      </c>
      <c r="BA305" t="s">
        <v>74</v>
      </c>
      <c r="BB305" t="s">
        <v>74</v>
      </c>
      <c r="BC305" t="s">
        <v>74</v>
      </c>
      <c r="BD305" t="s">
        <v>74</v>
      </c>
      <c r="BE305" t="s">
        <v>6044</v>
      </c>
      <c r="BF305" t="str">
        <f>HYPERLINK("http://dx.doi.org/10.1007/s00426-023-01867","http://dx.doi.org/10.1007/s00426-023-01867")</f>
        <v>http://dx.doi.org/10.1007/s00426-023-01867</v>
      </c>
      <c r="BG305" t="s">
        <v>74</v>
      </c>
      <c r="BH305" t="s">
        <v>2079</v>
      </c>
      <c r="BI305">
        <v>10</v>
      </c>
      <c r="BJ305" t="s">
        <v>3311</v>
      </c>
      <c r="BK305" t="s">
        <v>425</v>
      </c>
      <c r="BL305" t="s">
        <v>2907</v>
      </c>
      <c r="BM305" t="s">
        <v>6045</v>
      </c>
      <c r="BN305" t="s">
        <v>74</v>
      </c>
      <c r="BO305" t="s">
        <v>74</v>
      </c>
      <c r="BP305" t="s">
        <v>74</v>
      </c>
      <c r="BQ305" t="s">
        <v>74</v>
      </c>
      <c r="BR305" t="s">
        <v>99</v>
      </c>
      <c r="BS305" t="s">
        <v>6046</v>
      </c>
      <c r="BT305" t="str">
        <f>HYPERLINK("https%3A%2F%2Fwww.webofscience.com%2Fwos%2Fwoscc%2Ffull-record%2FWOS:001061515700001","View Full Record in Web of Science")</f>
        <v>View Full Record in Web of Science</v>
      </c>
    </row>
    <row r="306" spans="1:72" x14ac:dyDescent="0.15">
      <c r="A306" t="s">
        <v>72</v>
      </c>
      <c r="B306" t="s">
        <v>6047</v>
      </c>
      <c r="C306" t="s">
        <v>74</v>
      </c>
      <c r="D306" t="s">
        <v>74</v>
      </c>
      <c r="E306" t="s">
        <v>74</v>
      </c>
      <c r="F306" t="s">
        <v>6048</v>
      </c>
      <c r="G306" t="s">
        <v>74</v>
      </c>
      <c r="H306" t="s">
        <v>74</v>
      </c>
      <c r="I306" t="s">
        <v>6049</v>
      </c>
      <c r="J306" t="s">
        <v>5474</v>
      </c>
      <c r="K306" t="s">
        <v>74</v>
      </c>
      <c r="L306" t="s">
        <v>74</v>
      </c>
      <c r="M306" t="s">
        <v>78</v>
      </c>
      <c r="N306" t="s">
        <v>3318</v>
      </c>
      <c r="O306" t="s">
        <v>74</v>
      </c>
      <c r="P306" t="s">
        <v>74</v>
      </c>
      <c r="Q306" t="s">
        <v>74</v>
      </c>
      <c r="R306" t="s">
        <v>74</v>
      </c>
      <c r="S306" t="s">
        <v>74</v>
      </c>
      <c r="T306" t="s">
        <v>74</v>
      </c>
      <c r="U306" t="s">
        <v>6050</v>
      </c>
      <c r="V306" t="s">
        <v>74</v>
      </c>
      <c r="W306" t="s">
        <v>6051</v>
      </c>
      <c r="X306" t="s">
        <v>6052</v>
      </c>
      <c r="Y306" t="s">
        <v>6053</v>
      </c>
      <c r="Z306" t="s">
        <v>6054</v>
      </c>
      <c r="AA306" t="s">
        <v>74</v>
      </c>
      <c r="AB306" t="s">
        <v>6055</v>
      </c>
      <c r="AC306" t="s">
        <v>6056</v>
      </c>
      <c r="AD306" t="s">
        <v>6056</v>
      </c>
      <c r="AE306" t="s">
        <v>6056</v>
      </c>
      <c r="AF306" t="s">
        <v>74</v>
      </c>
      <c r="AG306">
        <v>4</v>
      </c>
      <c r="AH306">
        <v>0</v>
      </c>
      <c r="AI306">
        <v>0</v>
      </c>
      <c r="AJ306">
        <v>0</v>
      </c>
      <c r="AK306">
        <v>0</v>
      </c>
      <c r="AL306" t="s">
        <v>443</v>
      </c>
      <c r="AM306" t="s">
        <v>245</v>
      </c>
      <c r="AN306" t="s">
        <v>444</v>
      </c>
      <c r="AO306" t="s">
        <v>74</v>
      </c>
      <c r="AP306" t="s">
        <v>5483</v>
      </c>
      <c r="AQ306" t="s">
        <v>74</v>
      </c>
      <c r="AR306" t="s">
        <v>5474</v>
      </c>
      <c r="AS306" t="s">
        <v>5484</v>
      </c>
      <c r="AT306" t="s">
        <v>6057</v>
      </c>
      <c r="AU306">
        <v>2023</v>
      </c>
      <c r="AV306">
        <v>24</v>
      </c>
      <c r="AW306">
        <v>1</v>
      </c>
      <c r="AX306" t="s">
        <v>74</v>
      </c>
      <c r="AY306" t="s">
        <v>74</v>
      </c>
      <c r="AZ306" t="s">
        <v>74</v>
      </c>
      <c r="BA306" t="s">
        <v>74</v>
      </c>
      <c r="BB306" t="s">
        <v>74</v>
      </c>
      <c r="BC306" t="s">
        <v>74</v>
      </c>
      <c r="BD306">
        <v>574</v>
      </c>
      <c r="BE306" t="s">
        <v>6058</v>
      </c>
      <c r="BF306" t="str">
        <f>HYPERLINK("http://dx.doi.org/10.1186/s13063-023-07597-2","http://dx.doi.org/10.1186/s13063-023-07597-2")</f>
        <v>http://dx.doi.org/10.1186/s13063-023-07597-2</v>
      </c>
      <c r="BG306" t="s">
        <v>74</v>
      </c>
      <c r="BH306" t="s">
        <v>74</v>
      </c>
      <c r="BI306">
        <v>3</v>
      </c>
      <c r="BJ306" t="s">
        <v>3415</v>
      </c>
      <c r="BK306" t="s">
        <v>126</v>
      </c>
      <c r="BL306" t="s">
        <v>3416</v>
      </c>
      <c r="BM306" t="s">
        <v>6059</v>
      </c>
      <c r="BN306">
        <v>37684685</v>
      </c>
      <c r="BO306" t="s">
        <v>74</v>
      </c>
      <c r="BP306" t="s">
        <v>74</v>
      </c>
      <c r="BQ306" t="s">
        <v>74</v>
      </c>
      <c r="BR306" t="s">
        <v>99</v>
      </c>
      <c r="BS306" t="s">
        <v>6060</v>
      </c>
      <c r="BT306" t="str">
        <f>HYPERLINK("https%3A%2F%2Fwww.webofscience.com%2Fwos%2Fwoscc%2Ffull-record%2FWOS:001064374100002","View Full Record in Web of Science")</f>
        <v>View Full Record in Web of Science</v>
      </c>
    </row>
    <row r="307" spans="1:72" x14ac:dyDescent="0.15">
      <c r="A307" t="s">
        <v>72</v>
      </c>
      <c r="B307" t="s">
        <v>6061</v>
      </c>
      <c r="C307" t="s">
        <v>74</v>
      </c>
      <c r="D307" t="s">
        <v>74</v>
      </c>
      <c r="E307" t="s">
        <v>74</v>
      </c>
      <c r="F307" t="s">
        <v>6062</v>
      </c>
      <c r="G307" t="s">
        <v>74</v>
      </c>
      <c r="H307" t="s">
        <v>74</v>
      </c>
      <c r="I307" t="s">
        <v>6063</v>
      </c>
      <c r="J307" t="s">
        <v>6064</v>
      </c>
      <c r="K307" t="s">
        <v>74</v>
      </c>
      <c r="L307" t="s">
        <v>74</v>
      </c>
      <c r="M307" t="s">
        <v>78</v>
      </c>
      <c r="N307" t="s">
        <v>79</v>
      </c>
      <c r="O307" t="s">
        <v>74</v>
      </c>
      <c r="P307" t="s">
        <v>74</v>
      </c>
      <c r="Q307" t="s">
        <v>74</v>
      </c>
      <c r="R307" t="s">
        <v>74</v>
      </c>
      <c r="S307" t="s">
        <v>74</v>
      </c>
      <c r="T307" t="s">
        <v>6065</v>
      </c>
      <c r="U307" t="s">
        <v>6066</v>
      </c>
      <c r="V307" t="s">
        <v>6067</v>
      </c>
      <c r="W307" t="s">
        <v>6068</v>
      </c>
      <c r="X307" t="s">
        <v>2814</v>
      </c>
      <c r="Y307" t="s">
        <v>6069</v>
      </c>
      <c r="Z307" t="s">
        <v>6070</v>
      </c>
      <c r="AA307" t="s">
        <v>74</v>
      </c>
      <c r="AB307" t="s">
        <v>74</v>
      </c>
      <c r="AC307" t="s">
        <v>74</v>
      </c>
      <c r="AD307" t="s">
        <v>74</v>
      </c>
      <c r="AE307" t="s">
        <v>74</v>
      </c>
      <c r="AF307" t="s">
        <v>74</v>
      </c>
      <c r="AG307">
        <v>35</v>
      </c>
      <c r="AH307">
        <v>0</v>
      </c>
      <c r="AI307">
        <v>0</v>
      </c>
      <c r="AJ307">
        <v>1</v>
      </c>
      <c r="AK307">
        <v>1</v>
      </c>
      <c r="AL307" t="s">
        <v>87</v>
      </c>
      <c r="AM307" t="s">
        <v>88</v>
      </c>
      <c r="AN307" t="s">
        <v>89</v>
      </c>
      <c r="AO307" t="s">
        <v>6071</v>
      </c>
      <c r="AP307" t="s">
        <v>6072</v>
      </c>
      <c r="AQ307" t="s">
        <v>74</v>
      </c>
      <c r="AR307" t="s">
        <v>6073</v>
      </c>
      <c r="AS307" t="s">
        <v>6074</v>
      </c>
      <c r="AT307" t="s">
        <v>6057</v>
      </c>
      <c r="AU307">
        <v>2023</v>
      </c>
      <c r="AV307">
        <v>48</v>
      </c>
      <c r="AW307">
        <v>4</v>
      </c>
      <c r="AX307" t="s">
        <v>74</v>
      </c>
      <c r="AY307" t="s">
        <v>74</v>
      </c>
      <c r="AZ307" t="s">
        <v>74</v>
      </c>
      <c r="BA307" t="s">
        <v>74</v>
      </c>
      <c r="BB307" t="s">
        <v>74</v>
      </c>
      <c r="BC307" t="s">
        <v>74</v>
      </c>
      <c r="BD307">
        <v>191</v>
      </c>
      <c r="BE307" t="s">
        <v>6075</v>
      </c>
      <c r="BF307" t="str">
        <f>HYPERLINK("http://dx.doi.org/10.1007/s12046-023-02239-4","http://dx.doi.org/10.1007/s12046-023-02239-4")</f>
        <v>http://dx.doi.org/10.1007/s12046-023-02239-4</v>
      </c>
      <c r="BG307" t="s">
        <v>74</v>
      </c>
      <c r="BH307" t="s">
        <v>74</v>
      </c>
      <c r="BI307">
        <v>13</v>
      </c>
      <c r="BJ307" t="s">
        <v>5647</v>
      </c>
      <c r="BK307" t="s">
        <v>126</v>
      </c>
      <c r="BL307" t="s">
        <v>277</v>
      </c>
      <c r="BM307" t="s">
        <v>6076</v>
      </c>
      <c r="BN307" t="s">
        <v>74</v>
      </c>
      <c r="BO307" t="s">
        <v>74</v>
      </c>
      <c r="BP307" t="s">
        <v>74</v>
      </c>
      <c r="BQ307" t="s">
        <v>74</v>
      </c>
      <c r="BR307" t="s">
        <v>99</v>
      </c>
      <c r="BS307" t="s">
        <v>6077</v>
      </c>
      <c r="BT307" t="str">
        <f>HYPERLINK("https%3A%2F%2Fwww.webofscience.com%2Fwos%2Fwoscc%2Ffull-record%2FWOS:001064470600001","View Full Record in Web of Science")</f>
        <v>View Full Record in Web of Science</v>
      </c>
    </row>
    <row r="308" spans="1:72" x14ac:dyDescent="0.15">
      <c r="A308" t="s">
        <v>72</v>
      </c>
      <c r="B308" t="s">
        <v>6078</v>
      </c>
      <c r="C308" t="s">
        <v>74</v>
      </c>
      <c r="D308" t="s">
        <v>74</v>
      </c>
      <c r="E308" t="s">
        <v>74</v>
      </c>
      <c r="F308" t="s">
        <v>6079</v>
      </c>
      <c r="G308" t="s">
        <v>74</v>
      </c>
      <c r="H308" t="s">
        <v>74</v>
      </c>
      <c r="I308" t="s">
        <v>6080</v>
      </c>
      <c r="J308" t="s">
        <v>6081</v>
      </c>
      <c r="K308" t="s">
        <v>74</v>
      </c>
      <c r="L308" t="s">
        <v>74</v>
      </c>
      <c r="M308" t="s">
        <v>78</v>
      </c>
      <c r="N308" t="s">
        <v>79</v>
      </c>
      <c r="O308" t="s">
        <v>74</v>
      </c>
      <c r="P308" t="s">
        <v>74</v>
      </c>
      <c r="Q308" t="s">
        <v>74</v>
      </c>
      <c r="R308" t="s">
        <v>74</v>
      </c>
      <c r="S308" t="s">
        <v>74</v>
      </c>
      <c r="T308" t="s">
        <v>6082</v>
      </c>
      <c r="U308" t="s">
        <v>6083</v>
      </c>
      <c r="V308" t="s">
        <v>6084</v>
      </c>
      <c r="W308" t="s">
        <v>6085</v>
      </c>
      <c r="X308" t="s">
        <v>6086</v>
      </c>
      <c r="Y308" t="s">
        <v>6087</v>
      </c>
      <c r="Z308" t="s">
        <v>6088</v>
      </c>
      <c r="AA308" t="s">
        <v>74</v>
      </c>
      <c r="AB308" t="s">
        <v>6089</v>
      </c>
      <c r="AC308" t="s">
        <v>6090</v>
      </c>
      <c r="AD308" t="s">
        <v>6091</v>
      </c>
      <c r="AE308" t="s">
        <v>6092</v>
      </c>
      <c r="AF308" t="s">
        <v>74</v>
      </c>
      <c r="AG308">
        <v>42</v>
      </c>
      <c r="AH308">
        <v>0</v>
      </c>
      <c r="AI308">
        <v>0</v>
      </c>
      <c r="AJ308">
        <v>1</v>
      </c>
      <c r="AK308">
        <v>1</v>
      </c>
      <c r="AL308" t="s">
        <v>443</v>
      </c>
      <c r="AM308" t="s">
        <v>245</v>
      </c>
      <c r="AN308" t="s">
        <v>444</v>
      </c>
      <c r="AO308" t="s">
        <v>74</v>
      </c>
      <c r="AP308" t="s">
        <v>6093</v>
      </c>
      <c r="AQ308" t="s">
        <v>74</v>
      </c>
      <c r="AR308" t="s">
        <v>6094</v>
      </c>
      <c r="AS308" t="s">
        <v>6095</v>
      </c>
      <c r="AT308" t="s">
        <v>6057</v>
      </c>
      <c r="AU308">
        <v>2023</v>
      </c>
      <c r="AV308">
        <v>24</v>
      </c>
      <c r="AW308">
        <v>1</v>
      </c>
      <c r="AX308" t="s">
        <v>74</v>
      </c>
      <c r="AY308" t="s">
        <v>74</v>
      </c>
      <c r="AZ308" t="s">
        <v>74</v>
      </c>
      <c r="BA308" t="s">
        <v>74</v>
      </c>
      <c r="BB308" t="s">
        <v>74</v>
      </c>
      <c r="BC308" t="s">
        <v>74</v>
      </c>
      <c r="BD308">
        <v>714</v>
      </c>
      <c r="BE308" t="s">
        <v>6096</v>
      </c>
      <c r="BF308" t="str">
        <f>HYPERLINK("http://dx.doi.org/10.1186/s12891-023-06831-x","http://dx.doi.org/10.1186/s12891-023-06831-x")</f>
        <v>http://dx.doi.org/10.1186/s12891-023-06831-x</v>
      </c>
      <c r="BG308" t="s">
        <v>74</v>
      </c>
      <c r="BH308" t="s">
        <v>74</v>
      </c>
      <c r="BI308">
        <v>12</v>
      </c>
      <c r="BJ308" t="s">
        <v>6097</v>
      </c>
      <c r="BK308" t="s">
        <v>126</v>
      </c>
      <c r="BL308" t="s">
        <v>6097</v>
      </c>
      <c r="BM308" t="s">
        <v>6098</v>
      </c>
      <c r="BN308">
        <v>37684597</v>
      </c>
      <c r="BO308" t="s">
        <v>74</v>
      </c>
      <c r="BP308" t="s">
        <v>74</v>
      </c>
      <c r="BQ308" t="s">
        <v>74</v>
      </c>
      <c r="BR308" t="s">
        <v>99</v>
      </c>
      <c r="BS308" t="s">
        <v>6099</v>
      </c>
      <c r="BT308" t="str">
        <f>HYPERLINK("https%3A%2F%2Fwww.webofscience.com%2Fwos%2Fwoscc%2Ffull-record%2FWOS:001062310200002","View Full Record in Web of Science")</f>
        <v>View Full Record in Web of Science</v>
      </c>
    </row>
    <row r="309" spans="1:72" x14ac:dyDescent="0.15">
      <c r="A309" t="s">
        <v>72</v>
      </c>
      <c r="B309" t="s">
        <v>6100</v>
      </c>
      <c r="C309" t="s">
        <v>74</v>
      </c>
      <c r="D309" t="s">
        <v>74</v>
      </c>
      <c r="E309" t="s">
        <v>74</v>
      </c>
      <c r="F309" t="s">
        <v>6101</v>
      </c>
      <c r="G309" t="s">
        <v>74</v>
      </c>
      <c r="H309" t="s">
        <v>74</v>
      </c>
      <c r="I309" t="s">
        <v>6102</v>
      </c>
      <c r="J309" t="s">
        <v>6103</v>
      </c>
      <c r="K309" t="s">
        <v>74</v>
      </c>
      <c r="L309" t="s">
        <v>74</v>
      </c>
      <c r="M309" t="s">
        <v>78</v>
      </c>
      <c r="N309" t="s">
        <v>1246</v>
      </c>
      <c r="O309" t="s">
        <v>74</v>
      </c>
      <c r="P309" t="s">
        <v>74</v>
      </c>
      <c r="Q309" t="s">
        <v>74</v>
      </c>
      <c r="R309" t="s">
        <v>74</v>
      </c>
      <c r="S309" t="s">
        <v>74</v>
      </c>
      <c r="T309" t="s">
        <v>6104</v>
      </c>
      <c r="U309" t="s">
        <v>6105</v>
      </c>
      <c r="V309" t="s">
        <v>6106</v>
      </c>
      <c r="W309" t="s">
        <v>6107</v>
      </c>
      <c r="X309" t="s">
        <v>6108</v>
      </c>
      <c r="Y309" t="s">
        <v>6109</v>
      </c>
      <c r="Z309" t="s">
        <v>6110</v>
      </c>
      <c r="AA309" t="s">
        <v>74</v>
      </c>
      <c r="AB309" t="s">
        <v>74</v>
      </c>
      <c r="AC309" t="s">
        <v>74</v>
      </c>
      <c r="AD309" t="s">
        <v>74</v>
      </c>
      <c r="AE309" t="s">
        <v>74</v>
      </c>
      <c r="AF309" t="s">
        <v>74</v>
      </c>
      <c r="AG309">
        <v>42</v>
      </c>
      <c r="AH309">
        <v>0</v>
      </c>
      <c r="AI309">
        <v>0</v>
      </c>
      <c r="AJ309">
        <v>0</v>
      </c>
      <c r="AK309">
        <v>0</v>
      </c>
      <c r="AL309" t="s">
        <v>172</v>
      </c>
      <c r="AM309" t="s">
        <v>173</v>
      </c>
      <c r="AN309" t="s">
        <v>174</v>
      </c>
      <c r="AO309" t="s">
        <v>6111</v>
      </c>
      <c r="AP309" t="s">
        <v>6112</v>
      </c>
      <c r="AQ309" t="s">
        <v>74</v>
      </c>
      <c r="AR309" t="s">
        <v>6103</v>
      </c>
      <c r="AS309" t="s">
        <v>6113</v>
      </c>
      <c r="AT309" t="s">
        <v>5991</v>
      </c>
      <c r="AU309">
        <v>2023</v>
      </c>
      <c r="AV309" t="s">
        <v>74</v>
      </c>
      <c r="AW309" t="s">
        <v>74</v>
      </c>
      <c r="AX309" t="s">
        <v>74</v>
      </c>
      <c r="AY309" t="s">
        <v>74</v>
      </c>
      <c r="AZ309" t="s">
        <v>74</v>
      </c>
      <c r="BA309" t="s">
        <v>74</v>
      </c>
      <c r="BB309" t="s">
        <v>74</v>
      </c>
      <c r="BC309" t="s">
        <v>74</v>
      </c>
      <c r="BD309" t="s">
        <v>74</v>
      </c>
      <c r="BE309" t="s">
        <v>6114</v>
      </c>
      <c r="BF309" t="str">
        <f>HYPERLINK("http://dx.doi.org/10.1007/s11581-023-05196-4","http://dx.doi.org/10.1007/s11581-023-05196-4")</f>
        <v>http://dx.doi.org/10.1007/s11581-023-05196-4</v>
      </c>
      <c r="BG309" t="s">
        <v>74</v>
      </c>
      <c r="BH309" t="s">
        <v>2079</v>
      </c>
      <c r="BI309">
        <v>13</v>
      </c>
      <c r="BJ309" t="s">
        <v>6115</v>
      </c>
      <c r="BK309" t="s">
        <v>126</v>
      </c>
      <c r="BL309" t="s">
        <v>6116</v>
      </c>
      <c r="BM309" t="s">
        <v>6117</v>
      </c>
      <c r="BN309" t="s">
        <v>74</v>
      </c>
      <c r="BO309" t="s">
        <v>327</v>
      </c>
      <c r="BP309" t="s">
        <v>74</v>
      </c>
      <c r="BQ309" t="s">
        <v>74</v>
      </c>
      <c r="BR309" t="s">
        <v>99</v>
      </c>
      <c r="BS309" t="s">
        <v>6118</v>
      </c>
      <c r="BT309" t="str">
        <f>HYPERLINK("https%3A%2F%2Fwww.webofscience.com%2Fwos%2Fwoscc%2Ffull-record%2FWOS:001064459200001","View Full Record in Web of Science")</f>
        <v>View Full Record in Web of Science</v>
      </c>
    </row>
    <row r="310" spans="1:72" x14ac:dyDescent="0.15">
      <c r="A310" t="s">
        <v>72</v>
      </c>
      <c r="B310" t="s">
        <v>6119</v>
      </c>
      <c r="C310" t="s">
        <v>74</v>
      </c>
      <c r="D310" t="s">
        <v>74</v>
      </c>
      <c r="E310" t="s">
        <v>74</v>
      </c>
      <c r="F310" t="s">
        <v>6120</v>
      </c>
      <c r="G310" t="s">
        <v>74</v>
      </c>
      <c r="H310" t="s">
        <v>74</v>
      </c>
      <c r="I310" t="s">
        <v>6121</v>
      </c>
      <c r="J310" t="s">
        <v>6122</v>
      </c>
      <c r="K310" t="s">
        <v>74</v>
      </c>
      <c r="L310" t="s">
        <v>74</v>
      </c>
      <c r="M310" t="s">
        <v>78</v>
      </c>
      <c r="N310" t="s">
        <v>2174</v>
      </c>
      <c r="O310" t="s">
        <v>74</v>
      </c>
      <c r="P310" t="s">
        <v>74</v>
      </c>
      <c r="Q310" t="s">
        <v>74</v>
      </c>
      <c r="R310" t="s">
        <v>74</v>
      </c>
      <c r="S310" t="s">
        <v>74</v>
      </c>
      <c r="T310" t="s">
        <v>6123</v>
      </c>
      <c r="U310" t="s">
        <v>6124</v>
      </c>
      <c r="V310" t="s">
        <v>6125</v>
      </c>
      <c r="W310" t="s">
        <v>6126</v>
      </c>
      <c r="X310" t="s">
        <v>74</v>
      </c>
      <c r="Y310" t="s">
        <v>6127</v>
      </c>
      <c r="Z310" t="s">
        <v>6128</v>
      </c>
      <c r="AA310" t="s">
        <v>74</v>
      </c>
      <c r="AB310" t="s">
        <v>74</v>
      </c>
      <c r="AC310" t="s">
        <v>74</v>
      </c>
      <c r="AD310" t="s">
        <v>74</v>
      </c>
      <c r="AE310" t="s">
        <v>74</v>
      </c>
      <c r="AF310" t="s">
        <v>74</v>
      </c>
      <c r="AG310">
        <v>94</v>
      </c>
      <c r="AH310">
        <v>0</v>
      </c>
      <c r="AI310">
        <v>0</v>
      </c>
      <c r="AJ310">
        <v>0</v>
      </c>
      <c r="AK310">
        <v>0</v>
      </c>
      <c r="AL310" t="s">
        <v>87</v>
      </c>
      <c r="AM310" t="s">
        <v>88</v>
      </c>
      <c r="AN310" t="s">
        <v>89</v>
      </c>
      <c r="AO310" t="s">
        <v>6129</v>
      </c>
      <c r="AP310" t="s">
        <v>6130</v>
      </c>
      <c r="AQ310" t="s">
        <v>74</v>
      </c>
      <c r="AR310" t="s">
        <v>6131</v>
      </c>
      <c r="AS310" t="s">
        <v>6132</v>
      </c>
      <c r="AT310" t="s">
        <v>5991</v>
      </c>
      <c r="AU310">
        <v>2023</v>
      </c>
      <c r="AV310" t="s">
        <v>74</v>
      </c>
      <c r="AW310" t="s">
        <v>74</v>
      </c>
      <c r="AX310" t="s">
        <v>74</v>
      </c>
      <c r="AY310" t="s">
        <v>74</v>
      </c>
      <c r="AZ310" t="s">
        <v>74</v>
      </c>
      <c r="BA310" t="s">
        <v>74</v>
      </c>
      <c r="BB310" t="s">
        <v>74</v>
      </c>
      <c r="BC310" t="s">
        <v>74</v>
      </c>
      <c r="BD310" t="s">
        <v>74</v>
      </c>
      <c r="BE310" t="s">
        <v>6133</v>
      </c>
      <c r="BF310" t="str">
        <f>HYPERLINK("http://dx.doi.org/10.1007/s12666-023-03086","http://dx.doi.org/10.1007/s12666-023-03086")</f>
        <v>http://dx.doi.org/10.1007/s12666-023-03086</v>
      </c>
      <c r="BG310" t="s">
        <v>74</v>
      </c>
      <c r="BH310" t="s">
        <v>2079</v>
      </c>
      <c r="BI310">
        <v>9</v>
      </c>
      <c r="BJ310" t="s">
        <v>6134</v>
      </c>
      <c r="BK310" t="s">
        <v>126</v>
      </c>
      <c r="BL310" t="s">
        <v>6134</v>
      </c>
      <c r="BM310" t="s">
        <v>6135</v>
      </c>
      <c r="BN310" t="s">
        <v>74</v>
      </c>
      <c r="BO310" t="s">
        <v>74</v>
      </c>
      <c r="BP310" t="s">
        <v>74</v>
      </c>
      <c r="BQ310" t="s">
        <v>74</v>
      </c>
      <c r="BR310" t="s">
        <v>99</v>
      </c>
      <c r="BS310" t="s">
        <v>6136</v>
      </c>
      <c r="BT310" t="str">
        <f>HYPERLINK("https%3A%2F%2Fwww.webofscience.com%2Fwos%2Fwoscc%2Ffull-record%2FWOS:001061568900001","View Full Record in Web of Science")</f>
        <v>View Full Record in Web of Science</v>
      </c>
    </row>
    <row r="311" spans="1:72" x14ac:dyDescent="0.15">
      <c r="A311" t="s">
        <v>72</v>
      </c>
      <c r="B311" t="s">
        <v>6137</v>
      </c>
      <c r="C311" t="s">
        <v>74</v>
      </c>
      <c r="D311" t="s">
        <v>74</v>
      </c>
      <c r="E311" t="s">
        <v>74</v>
      </c>
      <c r="F311" t="s">
        <v>6138</v>
      </c>
      <c r="G311" t="s">
        <v>74</v>
      </c>
      <c r="H311" t="s">
        <v>74</v>
      </c>
      <c r="I311" t="s">
        <v>6139</v>
      </c>
      <c r="J311" t="s">
        <v>6140</v>
      </c>
      <c r="K311" t="s">
        <v>74</v>
      </c>
      <c r="L311" t="s">
        <v>74</v>
      </c>
      <c r="M311" t="s">
        <v>78</v>
      </c>
      <c r="N311" t="s">
        <v>79</v>
      </c>
      <c r="O311" t="s">
        <v>74</v>
      </c>
      <c r="P311" t="s">
        <v>74</v>
      </c>
      <c r="Q311" t="s">
        <v>74</v>
      </c>
      <c r="R311" t="s">
        <v>74</v>
      </c>
      <c r="S311" t="s">
        <v>74</v>
      </c>
      <c r="T311" t="s">
        <v>6141</v>
      </c>
      <c r="U311" t="s">
        <v>74</v>
      </c>
      <c r="V311" t="s">
        <v>6142</v>
      </c>
      <c r="W311" t="s">
        <v>6143</v>
      </c>
      <c r="X311" t="s">
        <v>6144</v>
      </c>
      <c r="Y311" t="s">
        <v>6145</v>
      </c>
      <c r="Z311" t="s">
        <v>6146</v>
      </c>
      <c r="AA311" t="s">
        <v>74</v>
      </c>
      <c r="AB311" t="s">
        <v>74</v>
      </c>
      <c r="AC311" t="s">
        <v>932</v>
      </c>
      <c r="AD311" t="s">
        <v>932</v>
      </c>
      <c r="AE311" t="s">
        <v>932</v>
      </c>
      <c r="AF311" t="s">
        <v>74</v>
      </c>
      <c r="AG311">
        <v>11</v>
      </c>
      <c r="AH311">
        <v>0</v>
      </c>
      <c r="AI311">
        <v>0</v>
      </c>
      <c r="AJ311">
        <v>1</v>
      </c>
      <c r="AK311">
        <v>1</v>
      </c>
      <c r="AL311" t="s">
        <v>443</v>
      </c>
      <c r="AM311" t="s">
        <v>245</v>
      </c>
      <c r="AN311" t="s">
        <v>444</v>
      </c>
      <c r="AO311" t="s">
        <v>74</v>
      </c>
      <c r="AP311" t="s">
        <v>6147</v>
      </c>
      <c r="AQ311" t="s">
        <v>74</v>
      </c>
      <c r="AR311" t="s">
        <v>6148</v>
      </c>
      <c r="AS311" t="s">
        <v>6149</v>
      </c>
      <c r="AT311" t="s">
        <v>6057</v>
      </c>
      <c r="AU311">
        <v>2023</v>
      </c>
      <c r="AV311">
        <v>17</v>
      </c>
      <c r="AW311">
        <v>1</v>
      </c>
      <c r="AX311" t="s">
        <v>74</v>
      </c>
      <c r="AY311" t="s">
        <v>74</v>
      </c>
      <c r="AZ311" t="s">
        <v>74</v>
      </c>
      <c r="BA311" t="s">
        <v>74</v>
      </c>
      <c r="BB311" t="s">
        <v>74</v>
      </c>
      <c r="BC311" t="s">
        <v>74</v>
      </c>
      <c r="BD311">
        <v>383</v>
      </c>
      <c r="BE311" t="s">
        <v>6150</v>
      </c>
      <c r="BF311" t="str">
        <f>HYPERLINK("http://dx.doi.org/10.1186/s13256-023-04086-7","http://dx.doi.org/10.1186/s13256-023-04086-7")</f>
        <v>http://dx.doi.org/10.1186/s13256-023-04086-7</v>
      </c>
      <c r="BG311" t="s">
        <v>74</v>
      </c>
      <c r="BH311" t="s">
        <v>74</v>
      </c>
      <c r="BI311">
        <v>5</v>
      </c>
      <c r="BJ311" t="s">
        <v>1238</v>
      </c>
      <c r="BK311" t="s">
        <v>97</v>
      </c>
      <c r="BL311" t="s">
        <v>1239</v>
      </c>
      <c r="BM311" t="s">
        <v>6151</v>
      </c>
      <c r="BN311">
        <v>37679815</v>
      </c>
      <c r="BO311" t="s">
        <v>302</v>
      </c>
      <c r="BP311" t="s">
        <v>74</v>
      </c>
      <c r="BQ311" t="s">
        <v>74</v>
      </c>
      <c r="BR311" t="s">
        <v>99</v>
      </c>
      <c r="BS311" t="s">
        <v>6152</v>
      </c>
      <c r="BT311" t="str">
        <f>HYPERLINK("https%3A%2F%2Fwww.webofscience.com%2Fwos%2Fwoscc%2Ffull-record%2FWOS:001060343500002","View Full Record in Web of Science")</f>
        <v>View Full Record in Web of Science</v>
      </c>
    </row>
    <row r="312" spans="1:72" x14ac:dyDescent="0.15">
      <c r="A312" t="s">
        <v>72</v>
      </c>
      <c r="B312" t="s">
        <v>6153</v>
      </c>
      <c r="C312" t="s">
        <v>74</v>
      </c>
      <c r="D312" t="s">
        <v>74</v>
      </c>
      <c r="E312" t="s">
        <v>74</v>
      </c>
      <c r="F312" t="s">
        <v>6154</v>
      </c>
      <c r="G312" t="s">
        <v>74</v>
      </c>
      <c r="H312" t="s">
        <v>74</v>
      </c>
      <c r="I312" t="s">
        <v>6155</v>
      </c>
      <c r="J312" t="s">
        <v>6156</v>
      </c>
      <c r="K312" t="s">
        <v>74</v>
      </c>
      <c r="L312" t="s">
        <v>74</v>
      </c>
      <c r="M312" t="s">
        <v>78</v>
      </c>
      <c r="N312" t="s">
        <v>79</v>
      </c>
      <c r="O312" t="s">
        <v>74</v>
      </c>
      <c r="P312" t="s">
        <v>74</v>
      </c>
      <c r="Q312" t="s">
        <v>74</v>
      </c>
      <c r="R312" t="s">
        <v>74</v>
      </c>
      <c r="S312" t="s">
        <v>74</v>
      </c>
      <c r="T312" t="s">
        <v>6157</v>
      </c>
      <c r="U312" t="s">
        <v>6158</v>
      </c>
      <c r="V312" t="s">
        <v>6159</v>
      </c>
      <c r="W312" t="s">
        <v>6160</v>
      </c>
      <c r="X312" t="s">
        <v>6161</v>
      </c>
      <c r="Y312" t="s">
        <v>6162</v>
      </c>
      <c r="Z312" t="s">
        <v>6163</v>
      </c>
      <c r="AA312" t="s">
        <v>74</v>
      </c>
      <c r="AB312" t="s">
        <v>74</v>
      </c>
      <c r="AC312" t="s">
        <v>6164</v>
      </c>
      <c r="AD312" t="s">
        <v>6164</v>
      </c>
      <c r="AE312" t="s">
        <v>6164</v>
      </c>
      <c r="AF312" t="s">
        <v>74</v>
      </c>
      <c r="AG312">
        <v>55</v>
      </c>
      <c r="AH312">
        <v>0</v>
      </c>
      <c r="AI312">
        <v>0</v>
      </c>
      <c r="AJ312">
        <v>1</v>
      </c>
      <c r="AK312">
        <v>1</v>
      </c>
      <c r="AL312" t="s">
        <v>443</v>
      </c>
      <c r="AM312" t="s">
        <v>245</v>
      </c>
      <c r="AN312" t="s">
        <v>444</v>
      </c>
      <c r="AO312" t="s">
        <v>74</v>
      </c>
      <c r="AP312" t="s">
        <v>6165</v>
      </c>
      <c r="AQ312" t="s">
        <v>74</v>
      </c>
      <c r="AR312" t="s">
        <v>6166</v>
      </c>
      <c r="AS312" t="s">
        <v>6167</v>
      </c>
      <c r="AT312" t="s">
        <v>6057</v>
      </c>
      <c r="AU312">
        <v>2023</v>
      </c>
      <c r="AV312">
        <v>16</v>
      </c>
      <c r="AW312">
        <v>1</v>
      </c>
      <c r="AX312" t="s">
        <v>74</v>
      </c>
      <c r="AY312" t="s">
        <v>74</v>
      </c>
      <c r="AZ312" t="s">
        <v>74</v>
      </c>
      <c r="BA312" t="s">
        <v>74</v>
      </c>
      <c r="BB312" t="s">
        <v>74</v>
      </c>
      <c r="BC312" t="s">
        <v>74</v>
      </c>
      <c r="BD312">
        <v>187</v>
      </c>
      <c r="BE312" t="s">
        <v>6168</v>
      </c>
      <c r="BF312" t="str">
        <f>HYPERLINK("http://dx.doi.org/10.1186/s13048-023-01262-7","http://dx.doi.org/10.1186/s13048-023-01262-7")</f>
        <v>http://dx.doi.org/10.1186/s13048-023-01262-7</v>
      </c>
      <c r="BG312" t="s">
        <v>74</v>
      </c>
      <c r="BH312" t="s">
        <v>74</v>
      </c>
      <c r="BI312">
        <v>16</v>
      </c>
      <c r="BJ312" t="s">
        <v>6169</v>
      </c>
      <c r="BK312" t="s">
        <v>126</v>
      </c>
      <c r="BL312" t="s">
        <v>6169</v>
      </c>
      <c r="BM312" t="s">
        <v>6170</v>
      </c>
      <c r="BN312">
        <v>37684671</v>
      </c>
      <c r="BO312" t="s">
        <v>302</v>
      </c>
      <c r="BP312" t="s">
        <v>74</v>
      </c>
      <c r="BQ312" t="s">
        <v>74</v>
      </c>
      <c r="BR312" t="s">
        <v>99</v>
      </c>
      <c r="BS312" t="s">
        <v>6171</v>
      </c>
      <c r="BT312" t="str">
        <f>HYPERLINK("https%3A%2F%2Fwww.webofscience.com%2Fwos%2Fwoscc%2Ffull-record%2FWOS:001065357000001","View Full Record in Web of Science")</f>
        <v>View Full Record in Web of Science</v>
      </c>
    </row>
    <row r="313" spans="1:72" x14ac:dyDescent="0.15">
      <c r="A313" t="s">
        <v>72</v>
      </c>
      <c r="B313" t="s">
        <v>6172</v>
      </c>
      <c r="C313" t="s">
        <v>74</v>
      </c>
      <c r="D313" t="s">
        <v>74</v>
      </c>
      <c r="E313" t="s">
        <v>74</v>
      </c>
      <c r="F313" t="s">
        <v>6173</v>
      </c>
      <c r="G313" t="s">
        <v>74</v>
      </c>
      <c r="H313" t="s">
        <v>74</v>
      </c>
      <c r="I313" t="s">
        <v>6174</v>
      </c>
      <c r="J313" t="s">
        <v>6175</v>
      </c>
      <c r="K313" t="s">
        <v>74</v>
      </c>
      <c r="L313" t="s">
        <v>74</v>
      </c>
      <c r="M313" t="s">
        <v>78</v>
      </c>
      <c r="N313" t="s">
        <v>2174</v>
      </c>
      <c r="O313" t="s">
        <v>74</v>
      </c>
      <c r="P313" t="s">
        <v>74</v>
      </c>
      <c r="Q313" t="s">
        <v>74</v>
      </c>
      <c r="R313" t="s">
        <v>74</v>
      </c>
      <c r="S313" t="s">
        <v>74</v>
      </c>
      <c r="T313" t="s">
        <v>74</v>
      </c>
      <c r="U313" t="s">
        <v>6176</v>
      </c>
      <c r="V313" t="s">
        <v>6177</v>
      </c>
      <c r="W313" t="s">
        <v>6178</v>
      </c>
      <c r="X313" t="s">
        <v>6179</v>
      </c>
      <c r="Y313" t="s">
        <v>6180</v>
      </c>
      <c r="Z313" t="s">
        <v>6181</v>
      </c>
      <c r="AA313" t="s">
        <v>74</v>
      </c>
      <c r="AB313" t="s">
        <v>6182</v>
      </c>
      <c r="AC313" t="s">
        <v>74</v>
      </c>
      <c r="AD313" t="s">
        <v>74</v>
      </c>
      <c r="AE313" t="s">
        <v>74</v>
      </c>
      <c r="AF313" t="s">
        <v>74</v>
      </c>
      <c r="AG313">
        <v>74</v>
      </c>
      <c r="AH313">
        <v>0</v>
      </c>
      <c r="AI313">
        <v>0</v>
      </c>
      <c r="AJ313">
        <v>0</v>
      </c>
      <c r="AK313">
        <v>0</v>
      </c>
      <c r="AL313" t="s">
        <v>317</v>
      </c>
      <c r="AM313" t="s">
        <v>245</v>
      </c>
      <c r="AN313" t="s">
        <v>318</v>
      </c>
      <c r="AO313" t="s">
        <v>6183</v>
      </c>
      <c r="AP313" t="s">
        <v>6184</v>
      </c>
      <c r="AQ313" t="s">
        <v>74</v>
      </c>
      <c r="AR313" t="s">
        <v>6185</v>
      </c>
      <c r="AS313" t="s">
        <v>6186</v>
      </c>
      <c r="AT313" t="s">
        <v>5991</v>
      </c>
      <c r="AU313">
        <v>2023</v>
      </c>
      <c r="AV313" t="s">
        <v>74</v>
      </c>
      <c r="AW313" t="s">
        <v>74</v>
      </c>
      <c r="AX313" t="s">
        <v>74</v>
      </c>
      <c r="AY313" t="s">
        <v>74</v>
      </c>
      <c r="AZ313" t="s">
        <v>74</v>
      </c>
      <c r="BA313" t="s">
        <v>74</v>
      </c>
      <c r="BB313" t="s">
        <v>74</v>
      </c>
      <c r="BC313" t="s">
        <v>74</v>
      </c>
      <c r="BD313" t="s">
        <v>74</v>
      </c>
      <c r="BE313" t="s">
        <v>6187</v>
      </c>
      <c r="BF313" t="str">
        <f>HYPERLINK("http://dx.doi.org/10.1038/s41372-023-01767-5","http://dx.doi.org/10.1038/s41372-023-01767-5")</f>
        <v>http://dx.doi.org/10.1038/s41372-023-01767-5</v>
      </c>
      <c r="BG313" t="s">
        <v>74</v>
      </c>
      <c r="BH313" t="s">
        <v>2079</v>
      </c>
      <c r="BI313">
        <v>7</v>
      </c>
      <c r="BJ313" t="s">
        <v>6188</v>
      </c>
      <c r="BK313" t="s">
        <v>126</v>
      </c>
      <c r="BL313" t="s">
        <v>6188</v>
      </c>
      <c r="BM313" t="s">
        <v>6189</v>
      </c>
      <c r="BN313">
        <v>37684547</v>
      </c>
      <c r="BO313" t="s">
        <v>74</v>
      </c>
      <c r="BP313" t="s">
        <v>74</v>
      </c>
      <c r="BQ313" t="s">
        <v>74</v>
      </c>
      <c r="BR313" t="s">
        <v>99</v>
      </c>
      <c r="BS313" t="s">
        <v>6190</v>
      </c>
      <c r="BT313" t="str">
        <f>HYPERLINK("https%3A%2F%2Fwww.webofscience.com%2Fwos%2Fwoscc%2Ffull-record%2FWOS:001061573600001","View Full Record in Web of Science")</f>
        <v>View Full Record in Web of Science</v>
      </c>
    </row>
    <row r="314" spans="1:72" x14ac:dyDescent="0.15">
      <c r="A314" t="s">
        <v>72</v>
      </c>
      <c r="B314" t="s">
        <v>6191</v>
      </c>
      <c r="C314" t="s">
        <v>74</v>
      </c>
      <c r="D314" t="s">
        <v>74</v>
      </c>
      <c r="E314" t="s">
        <v>74</v>
      </c>
      <c r="F314" t="s">
        <v>6192</v>
      </c>
      <c r="G314" t="s">
        <v>74</v>
      </c>
      <c r="H314" t="s">
        <v>74</v>
      </c>
      <c r="I314" t="s">
        <v>6193</v>
      </c>
      <c r="J314" t="s">
        <v>6194</v>
      </c>
      <c r="K314" t="s">
        <v>74</v>
      </c>
      <c r="L314" t="s">
        <v>74</v>
      </c>
      <c r="M314" t="s">
        <v>78</v>
      </c>
      <c r="N314" t="s">
        <v>1246</v>
      </c>
      <c r="O314" t="s">
        <v>74</v>
      </c>
      <c r="P314" t="s">
        <v>74</v>
      </c>
      <c r="Q314" t="s">
        <v>74</v>
      </c>
      <c r="R314" t="s">
        <v>74</v>
      </c>
      <c r="S314" t="s">
        <v>74</v>
      </c>
      <c r="T314" t="s">
        <v>6195</v>
      </c>
      <c r="U314" t="s">
        <v>6196</v>
      </c>
      <c r="V314" t="s">
        <v>6197</v>
      </c>
      <c r="W314" t="s">
        <v>6198</v>
      </c>
      <c r="X314" t="s">
        <v>1474</v>
      </c>
      <c r="Y314" t="s">
        <v>6199</v>
      </c>
      <c r="Z314" t="s">
        <v>6200</v>
      </c>
      <c r="AA314" t="s">
        <v>6201</v>
      </c>
      <c r="AB314" t="s">
        <v>6202</v>
      </c>
      <c r="AC314" t="s">
        <v>6203</v>
      </c>
      <c r="AD314" t="s">
        <v>4976</v>
      </c>
      <c r="AE314" t="s">
        <v>6204</v>
      </c>
      <c r="AF314" t="s">
        <v>74</v>
      </c>
      <c r="AG314">
        <v>30</v>
      </c>
      <c r="AH314">
        <v>0</v>
      </c>
      <c r="AI314">
        <v>0</v>
      </c>
      <c r="AJ314">
        <v>2</v>
      </c>
      <c r="AK314">
        <v>2</v>
      </c>
      <c r="AL314" t="s">
        <v>87</v>
      </c>
      <c r="AM314" t="s">
        <v>88</v>
      </c>
      <c r="AN314" t="s">
        <v>89</v>
      </c>
      <c r="AO314" t="s">
        <v>6205</v>
      </c>
      <c r="AP314" t="s">
        <v>6206</v>
      </c>
      <c r="AQ314" t="s">
        <v>74</v>
      </c>
      <c r="AR314" t="s">
        <v>6207</v>
      </c>
      <c r="AS314" t="s">
        <v>6208</v>
      </c>
      <c r="AT314" t="s">
        <v>5991</v>
      </c>
      <c r="AU314">
        <v>2023</v>
      </c>
      <c r="AV314" t="s">
        <v>74</v>
      </c>
      <c r="AW314" t="s">
        <v>74</v>
      </c>
      <c r="AX314" t="s">
        <v>74</v>
      </c>
      <c r="AY314" t="s">
        <v>74</v>
      </c>
      <c r="AZ314" t="s">
        <v>74</v>
      </c>
      <c r="BA314" t="s">
        <v>74</v>
      </c>
      <c r="BB314" t="s">
        <v>74</v>
      </c>
      <c r="BC314" t="s">
        <v>74</v>
      </c>
      <c r="BD314" t="s">
        <v>74</v>
      </c>
      <c r="BE314" t="s">
        <v>6209</v>
      </c>
      <c r="BF314" t="str">
        <f>HYPERLINK("http://dx.doi.org/10.1007/s13410-023-01236","http://dx.doi.org/10.1007/s13410-023-01236")</f>
        <v>http://dx.doi.org/10.1007/s13410-023-01236</v>
      </c>
      <c r="BG314" t="s">
        <v>74</v>
      </c>
      <c r="BH314" t="s">
        <v>2079</v>
      </c>
      <c r="BI314">
        <v>8</v>
      </c>
      <c r="BJ314" t="s">
        <v>5606</v>
      </c>
      <c r="BK314" t="s">
        <v>126</v>
      </c>
      <c r="BL314" t="s">
        <v>5606</v>
      </c>
      <c r="BM314" t="s">
        <v>6210</v>
      </c>
      <c r="BN314" t="s">
        <v>74</v>
      </c>
      <c r="BO314" t="s">
        <v>74</v>
      </c>
      <c r="BP314" t="s">
        <v>74</v>
      </c>
      <c r="BQ314" t="s">
        <v>74</v>
      </c>
      <c r="BR314" t="s">
        <v>99</v>
      </c>
      <c r="BS314" t="s">
        <v>6211</v>
      </c>
      <c r="BT314" t="str">
        <f>HYPERLINK("https%3A%2F%2Fwww.webofscience.com%2Fwos%2Fwoscc%2Ffull-record%2FWOS:001061564600001","View Full Record in Web of Science")</f>
        <v>View Full Record in Web of Science</v>
      </c>
    </row>
    <row r="315" spans="1:72" x14ac:dyDescent="0.15">
      <c r="A315" t="s">
        <v>72</v>
      </c>
      <c r="B315" t="s">
        <v>6212</v>
      </c>
      <c r="C315" t="s">
        <v>74</v>
      </c>
      <c r="D315" t="s">
        <v>74</v>
      </c>
      <c r="E315" t="s">
        <v>74</v>
      </c>
      <c r="F315" t="s">
        <v>6213</v>
      </c>
      <c r="G315" t="s">
        <v>74</v>
      </c>
      <c r="H315" t="s">
        <v>74</v>
      </c>
      <c r="I315" t="s">
        <v>6214</v>
      </c>
      <c r="J315" t="s">
        <v>6215</v>
      </c>
      <c r="K315" t="s">
        <v>74</v>
      </c>
      <c r="L315" t="s">
        <v>74</v>
      </c>
      <c r="M315" t="s">
        <v>78</v>
      </c>
      <c r="N315" t="s">
        <v>1246</v>
      </c>
      <c r="O315" t="s">
        <v>74</v>
      </c>
      <c r="P315" t="s">
        <v>74</v>
      </c>
      <c r="Q315" t="s">
        <v>74</v>
      </c>
      <c r="R315" t="s">
        <v>74</v>
      </c>
      <c r="S315" t="s">
        <v>74</v>
      </c>
      <c r="T315" t="s">
        <v>6216</v>
      </c>
      <c r="U315" t="s">
        <v>6217</v>
      </c>
      <c r="V315" t="s">
        <v>6218</v>
      </c>
      <c r="W315" t="s">
        <v>6219</v>
      </c>
      <c r="X315" t="s">
        <v>6220</v>
      </c>
      <c r="Y315" t="s">
        <v>6221</v>
      </c>
      <c r="Z315" t="s">
        <v>6222</v>
      </c>
      <c r="AA315" t="s">
        <v>74</v>
      </c>
      <c r="AB315" t="s">
        <v>74</v>
      </c>
      <c r="AC315" t="s">
        <v>6223</v>
      </c>
      <c r="AD315" t="s">
        <v>6223</v>
      </c>
      <c r="AE315" t="s">
        <v>6223</v>
      </c>
      <c r="AF315" t="s">
        <v>74</v>
      </c>
      <c r="AG315">
        <v>24</v>
      </c>
      <c r="AH315">
        <v>0</v>
      </c>
      <c r="AI315">
        <v>0</v>
      </c>
      <c r="AJ315">
        <v>0</v>
      </c>
      <c r="AK315">
        <v>0</v>
      </c>
      <c r="AL315" t="s">
        <v>117</v>
      </c>
      <c r="AM315" t="s">
        <v>118</v>
      </c>
      <c r="AN315" t="s">
        <v>119</v>
      </c>
      <c r="AO315" t="s">
        <v>6224</v>
      </c>
      <c r="AP315" t="s">
        <v>6225</v>
      </c>
      <c r="AQ315" t="s">
        <v>74</v>
      </c>
      <c r="AR315" t="s">
        <v>6226</v>
      </c>
      <c r="AS315" t="s">
        <v>6227</v>
      </c>
      <c r="AT315" t="s">
        <v>5991</v>
      </c>
      <c r="AU315">
        <v>2023</v>
      </c>
      <c r="AV315" t="s">
        <v>74</v>
      </c>
      <c r="AW315" t="s">
        <v>74</v>
      </c>
      <c r="AX315" t="s">
        <v>74</v>
      </c>
      <c r="AY315" t="s">
        <v>74</v>
      </c>
      <c r="AZ315" t="s">
        <v>74</v>
      </c>
      <c r="BA315" t="s">
        <v>74</v>
      </c>
      <c r="BB315" t="s">
        <v>74</v>
      </c>
      <c r="BC315" t="s">
        <v>74</v>
      </c>
      <c r="BD315" t="s">
        <v>74</v>
      </c>
      <c r="BE315" t="s">
        <v>6228</v>
      </c>
      <c r="BF315" t="str">
        <f>HYPERLINK("http://dx.doi.org/10.1007/s00256-023-04435","http://dx.doi.org/10.1007/s00256-023-04435")</f>
        <v>http://dx.doi.org/10.1007/s00256-023-04435</v>
      </c>
      <c r="BG315" t="s">
        <v>74</v>
      </c>
      <c r="BH315" t="s">
        <v>2079</v>
      </c>
      <c r="BI315">
        <v>8</v>
      </c>
      <c r="BJ315" t="s">
        <v>6229</v>
      </c>
      <c r="BK315" t="s">
        <v>126</v>
      </c>
      <c r="BL315" t="s">
        <v>6229</v>
      </c>
      <c r="BM315" t="s">
        <v>6230</v>
      </c>
      <c r="BN315" t="s">
        <v>74</v>
      </c>
      <c r="BO315" t="s">
        <v>74</v>
      </c>
      <c r="BP315" t="s">
        <v>74</v>
      </c>
      <c r="BQ315" t="s">
        <v>74</v>
      </c>
      <c r="BR315" t="s">
        <v>99</v>
      </c>
      <c r="BS315" t="s">
        <v>6231</v>
      </c>
      <c r="BT315" t="str">
        <f>HYPERLINK("https%3A%2F%2Fwww.webofscience.com%2Fwos%2Fwoscc%2Ffull-record%2FWOS:001060950800001","View Full Record in Web of Science")</f>
        <v>View Full Record in Web of Science</v>
      </c>
    </row>
    <row r="316" spans="1:72" x14ac:dyDescent="0.15">
      <c r="A316" t="s">
        <v>72</v>
      </c>
      <c r="B316" t="s">
        <v>6232</v>
      </c>
      <c r="C316" t="s">
        <v>74</v>
      </c>
      <c r="D316" t="s">
        <v>74</v>
      </c>
      <c r="E316" t="s">
        <v>74</v>
      </c>
      <c r="F316" t="s">
        <v>6233</v>
      </c>
      <c r="G316" t="s">
        <v>74</v>
      </c>
      <c r="H316" t="s">
        <v>74</v>
      </c>
      <c r="I316" t="s">
        <v>6234</v>
      </c>
      <c r="J316" t="s">
        <v>6235</v>
      </c>
      <c r="K316" t="s">
        <v>74</v>
      </c>
      <c r="L316" t="s">
        <v>74</v>
      </c>
      <c r="M316" t="s">
        <v>78</v>
      </c>
      <c r="N316" t="s">
        <v>3055</v>
      </c>
      <c r="O316" t="s">
        <v>74</v>
      </c>
      <c r="P316" t="s">
        <v>74</v>
      </c>
      <c r="Q316" t="s">
        <v>74</v>
      </c>
      <c r="R316" t="s">
        <v>74</v>
      </c>
      <c r="S316" t="s">
        <v>74</v>
      </c>
      <c r="T316" t="s">
        <v>6236</v>
      </c>
      <c r="U316" t="s">
        <v>6237</v>
      </c>
      <c r="V316" t="s">
        <v>74</v>
      </c>
      <c r="W316" t="s">
        <v>6238</v>
      </c>
      <c r="X316" t="s">
        <v>6239</v>
      </c>
      <c r="Y316" t="s">
        <v>6240</v>
      </c>
      <c r="Z316" t="s">
        <v>6241</v>
      </c>
      <c r="AA316" t="s">
        <v>74</v>
      </c>
      <c r="AB316" t="s">
        <v>6242</v>
      </c>
      <c r="AC316" t="s">
        <v>74</v>
      </c>
      <c r="AD316" t="s">
        <v>74</v>
      </c>
      <c r="AE316" t="s">
        <v>74</v>
      </c>
      <c r="AF316" t="s">
        <v>74</v>
      </c>
      <c r="AG316">
        <v>5</v>
      </c>
      <c r="AH316">
        <v>0</v>
      </c>
      <c r="AI316">
        <v>0</v>
      </c>
      <c r="AJ316">
        <v>0</v>
      </c>
      <c r="AK316">
        <v>0</v>
      </c>
      <c r="AL316" t="s">
        <v>317</v>
      </c>
      <c r="AM316" t="s">
        <v>245</v>
      </c>
      <c r="AN316" t="s">
        <v>318</v>
      </c>
      <c r="AO316" t="s">
        <v>6243</v>
      </c>
      <c r="AP316" t="s">
        <v>6244</v>
      </c>
      <c r="AQ316" t="s">
        <v>74</v>
      </c>
      <c r="AR316" t="s">
        <v>6245</v>
      </c>
      <c r="AS316" t="s">
        <v>6246</v>
      </c>
      <c r="AT316" t="s">
        <v>5991</v>
      </c>
      <c r="AU316">
        <v>2023</v>
      </c>
      <c r="AV316" t="s">
        <v>74</v>
      </c>
      <c r="AW316" t="s">
        <v>74</v>
      </c>
      <c r="AX316" t="s">
        <v>74</v>
      </c>
      <c r="AY316" t="s">
        <v>74</v>
      </c>
      <c r="AZ316" t="s">
        <v>74</v>
      </c>
      <c r="BA316" t="s">
        <v>74</v>
      </c>
      <c r="BB316" t="s">
        <v>74</v>
      </c>
      <c r="BC316" t="s">
        <v>74</v>
      </c>
      <c r="BD316" t="s">
        <v>74</v>
      </c>
      <c r="BE316" t="s">
        <v>6247</v>
      </c>
      <c r="BF316" t="str">
        <f>HYPERLINK("http://dx.doi.org/10.1038/s41440-023-01426-4","http://dx.doi.org/10.1038/s41440-023-01426-4")</f>
        <v>http://dx.doi.org/10.1038/s41440-023-01426-4</v>
      </c>
      <c r="BG316" t="s">
        <v>74</v>
      </c>
      <c r="BH316" t="s">
        <v>2079</v>
      </c>
      <c r="BI316">
        <v>2</v>
      </c>
      <c r="BJ316" t="s">
        <v>6248</v>
      </c>
      <c r="BK316" t="s">
        <v>126</v>
      </c>
      <c r="BL316" t="s">
        <v>6249</v>
      </c>
      <c r="BM316" t="s">
        <v>6250</v>
      </c>
      <c r="BN316">
        <v>37684339</v>
      </c>
      <c r="BO316" t="s">
        <v>74</v>
      </c>
      <c r="BP316" t="s">
        <v>74</v>
      </c>
      <c r="BQ316" t="s">
        <v>74</v>
      </c>
      <c r="BR316" t="s">
        <v>99</v>
      </c>
      <c r="BS316" t="s">
        <v>6251</v>
      </c>
      <c r="BT316" t="str">
        <f>HYPERLINK("https%3A%2F%2Fwww.webofscience.com%2Fwos%2Fwoscc%2Ffull-record%2FWOS:001064457500001","View Full Record in Web of Science")</f>
        <v>View Full Record in Web of Science</v>
      </c>
    </row>
    <row r="317" spans="1:72" x14ac:dyDescent="0.15">
      <c r="A317" t="s">
        <v>72</v>
      </c>
      <c r="B317" t="s">
        <v>6252</v>
      </c>
      <c r="C317" t="s">
        <v>74</v>
      </c>
      <c r="D317" t="s">
        <v>74</v>
      </c>
      <c r="E317" t="s">
        <v>74</v>
      </c>
      <c r="F317" t="s">
        <v>6253</v>
      </c>
      <c r="G317" t="s">
        <v>74</v>
      </c>
      <c r="H317" t="s">
        <v>74</v>
      </c>
      <c r="I317" t="s">
        <v>6254</v>
      </c>
      <c r="J317" t="s">
        <v>6255</v>
      </c>
      <c r="K317" t="s">
        <v>74</v>
      </c>
      <c r="L317" t="s">
        <v>74</v>
      </c>
      <c r="M317" t="s">
        <v>78</v>
      </c>
      <c r="N317" t="s">
        <v>1246</v>
      </c>
      <c r="O317" t="s">
        <v>74</v>
      </c>
      <c r="P317" t="s">
        <v>74</v>
      </c>
      <c r="Q317" t="s">
        <v>74</v>
      </c>
      <c r="R317" t="s">
        <v>74</v>
      </c>
      <c r="S317" t="s">
        <v>74</v>
      </c>
      <c r="T317" t="s">
        <v>6256</v>
      </c>
      <c r="U317" t="s">
        <v>6257</v>
      </c>
      <c r="V317" t="s">
        <v>6258</v>
      </c>
      <c r="W317" t="s">
        <v>6259</v>
      </c>
      <c r="X317" t="s">
        <v>6260</v>
      </c>
      <c r="Y317" t="s">
        <v>6261</v>
      </c>
      <c r="Z317" t="s">
        <v>6262</v>
      </c>
      <c r="AA317" t="s">
        <v>74</v>
      </c>
      <c r="AB317" t="s">
        <v>74</v>
      </c>
      <c r="AC317" t="s">
        <v>74</v>
      </c>
      <c r="AD317" t="s">
        <v>74</v>
      </c>
      <c r="AE317" t="s">
        <v>74</v>
      </c>
      <c r="AF317" t="s">
        <v>74</v>
      </c>
      <c r="AG317">
        <v>96</v>
      </c>
      <c r="AH317">
        <v>0</v>
      </c>
      <c r="AI317">
        <v>0</v>
      </c>
      <c r="AJ317">
        <v>5</v>
      </c>
      <c r="AK317">
        <v>5</v>
      </c>
      <c r="AL317" t="s">
        <v>117</v>
      </c>
      <c r="AM317" t="s">
        <v>627</v>
      </c>
      <c r="AN317" t="s">
        <v>628</v>
      </c>
      <c r="AO317" t="s">
        <v>6263</v>
      </c>
      <c r="AP317" t="s">
        <v>6264</v>
      </c>
      <c r="AQ317" t="s">
        <v>74</v>
      </c>
      <c r="AR317" t="s">
        <v>6265</v>
      </c>
      <c r="AS317" t="s">
        <v>6266</v>
      </c>
      <c r="AT317" t="s">
        <v>5991</v>
      </c>
      <c r="AU317">
        <v>2023</v>
      </c>
      <c r="AV317" t="s">
        <v>74</v>
      </c>
      <c r="AW317" t="s">
        <v>74</v>
      </c>
      <c r="AX317" t="s">
        <v>74</v>
      </c>
      <c r="AY317" t="s">
        <v>74</v>
      </c>
      <c r="AZ317" t="s">
        <v>74</v>
      </c>
      <c r="BA317" t="s">
        <v>74</v>
      </c>
      <c r="BB317" t="s">
        <v>74</v>
      </c>
      <c r="BC317" t="s">
        <v>74</v>
      </c>
      <c r="BD317" t="s">
        <v>74</v>
      </c>
      <c r="BE317" t="s">
        <v>6267</v>
      </c>
      <c r="BF317" t="str">
        <f>HYPERLINK("http://dx.doi.org/10.1007/s10775-023-09625-8","http://dx.doi.org/10.1007/s10775-023-09625-8")</f>
        <v>http://dx.doi.org/10.1007/s10775-023-09625-8</v>
      </c>
      <c r="BG317" t="s">
        <v>74</v>
      </c>
      <c r="BH317" t="s">
        <v>2079</v>
      </c>
      <c r="BI317">
        <v>28</v>
      </c>
      <c r="BJ317" t="s">
        <v>6268</v>
      </c>
      <c r="BK317" t="s">
        <v>425</v>
      </c>
      <c r="BL317" t="s">
        <v>2533</v>
      </c>
      <c r="BM317" t="s">
        <v>6269</v>
      </c>
      <c r="BN317" t="s">
        <v>74</v>
      </c>
      <c r="BO317" t="s">
        <v>74</v>
      </c>
      <c r="BP317" t="s">
        <v>74</v>
      </c>
      <c r="BQ317" t="s">
        <v>74</v>
      </c>
      <c r="BR317" t="s">
        <v>99</v>
      </c>
      <c r="BS317" t="s">
        <v>6270</v>
      </c>
      <c r="BT317" t="str">
        <f>HYPERLINK("https%3A%2F%2Fwww.webofscience.com%2Fwos%2Fwoscc%2Ffull-record%2FWOS:001061515600001","View Full Record in Web of Science")</f>
        <v>View Full Record in Web of Science</v>
      </c>
    </row>
    <row r="318" spans="1:72" x14ac:dyDescent="0.15">
      <c r="A318" t="s">
        <v>72</v>
      </c>
      <c r="B318" t="s">
        <v>6271</v>
      </c>
      <c r="C318" t="s">
        <v>74</v>
      </c>
      <c r="D318" t="s">
        <v>74</v>
      </c>
      <c r="E318" t="s">
        <v>74</v>
      </c>
      <c r="F318" t="s">
        <v>6272</v>
      </c>
      <c r="G318" t="s">
        <v>74</v>
      </c>
      <c r="H318" t="s">
        <v>74</v>
      </c>
      <c r="I318" t="s">
        <v>6273</v>
      </c>
      <c r="J318" t="s">
        <v>6274</v>
      </c>
      <c r="K318" t="s">
        <v>74</v>
      </c>
      <c r="L318" t="s">
        <v>74</v>
      </c>
      <c r="M318" t="s">
        <v>78</v>
      </c>
      <c r="N318" t="s">
        <v>79</v>
      </c>
      <c r="O318" t="s">
        <v>74</v>
      </c>
      <c r="P318" t="s">
        <v>74</v>
      </c>
      <c r="Q318" t="s">
        <v>74</v>
      </c>
      <c r="R318" t="s">
        <v>74</v>
      </c>
      <c r="S318" t="s">
        <v>74</v>
      </c>
      <c r="T318" t="s">
        <v>6275</v>
      </c>
      <c r="U318" t="s">
        <v>6276</v>
      </c>
      <c r="V318" t="s">
        <v>6277</v>
      </c>
      <c r="W318" t="s">
        <v>6278</v>
      </c>
      <c r="X318" t="s">
        <v>6279</v>
      </c>
      <c r="Y318" t="s">
        <v>6280</v>
      </c>
      <c r="Z318" t="s">
        <v>6281</v>
      </c>
      <c r="AA318" t="s">
        <v>74</v>
      </c>
      <c r="AB318" t="s">
        <v>6282</v>
      </c>
      <c r="AC318" t="s">
        <v>6283</v>
      </c>
      <c r="AD318" t="s">
        <v>6283</v>
      </c>
      <c r="AE318" t="s">
        <v>6284</v>
      </c>
      <c r="AF318" t="s">
        <v>74</v>
      </c>
      <c r="AG318">
        <v>29</v>
      </c>
      <c r="AH318">
        <v>0</v>
      </c>
      <c r="AI318">
        <v>0</v>
      </c>
      <c r="AJ318">
        <v>0</v>
      </c>
      <c r="AK318">
        <v>0</v>
      </c>
      <c r="AL318" t="s">
        <v>443</v>
      </c>
      <c r="AM318" t="s">
        <v>245</v>
      </c>
      <c r="AN318" t="s">
        <v>444</v>
      </c>
      <c r="AO318" t="s">
        <v>74</v>
      </c>
      <c r="AP318" t="s">
        <v>6285</v>
      </c>
      <c r="AQ318" t="s">
        <v>74</v>
      </c>
      <c r="AR318" t="s">
        <v>6274</v>
      </c>
      <c r="AS318" t="s">
        <v>6286</v>
      </c>
      <c r="AT318" t="s">
        <v>6287</v>
      </c>
      <c r="AU318">
        <v>2023</v>
      </c>
      <c r="AV318">
        <v>23</v>
      </c>
      <c r="AW318">
        <v>1</v>
      </c>
      <c r="AX318" t="s">
        <v>74</v>
      </c>
      <c r="AY318" t="s">
        <v>74</v>
      </c>
      <c r="AZ318" t="s">
        <v>74</v>
      </c>
      <c r="BA318" t="s">
        <v>74</v>
      </c>
      <c r="BB318" t="s">
        <v>74</v>
      </c>
      <c r="BC318" t="s">
        <v>74</v>
      </c>
      <c r="BD318">
        <v>839</v>
      </c>
      <c r="BE318" t="s">
        <v>6288</v>
      </c>
      <c r="BF318" t="str">
        <f>HYPERLINK("http://dx.doi.org/10.1186/s12885-023-11329-9","http://dx.doi.org/10.1186/s12885-023-11329-9")</f>
        <v>http://dx.doi.org/10.1186/s12885-023-11329-9</v>
      </c>
      <c r="BG318" t="s">
        <v>74</v>
      </c>
      <c r="BH318" t="s">
        <v>74</v>
      </c>
      <c r="BI318">
        <v>10</v>
      </c>
      <c r="BJ318" t="s">
        <v>1951</v>
      </c>
      <c r="BK318" t="s">
        <v>126</v>
      </c>
      <c r="BL318" t="s">
        <v>1951</v>
      </c>
      <c r="BM318" t="s">
        <v>6289</v>
      </c>
      <c r="BN318">
        <v>37679679</v>
      </c>
      <c r="BO318" t="s">
        <v>74</v>
      </c>
      <c r="BP318" t="s">
        <v>74</v>
      </c>
      <c r="BQ318" t="s">
        <v>74</v>
      </c>
      <c r="BR318" t="s">
        <v>99</v>
      </c>
      <c r="BS318" t="s">
        <v>6290</v>
      </c>
      <c r="BT318" t="str">
        <f>HYPERLINK("https%3A%2F%2Fwww.webofscience.com%2Fwos%2Fwoscc%2Ffull-record%2FWOS:001064004000003","View Full Record in Web of Science")</f>
        <v>View Full Record in Web of Science</v>
      </c>
    </row>
    <row r="319" spans="1:72" x14ac:dyDescent="0.15">
      <c r="A319" t="s">
        <v>72</v>
      </c>
      <c r="B319" t="s">
        <v>6291</v>
      </c>
      <c r="C319" t="s">
        <v>74</v>
      </c>
      <c r="D319" t="s">
        <v>74</v>
      </c>
      <c r="E319" t="s">
        <v>74</v>
      </c>
      <c r="F319" t="s">
        <v>6292</v>
      </c>
      <c r="G319" t="s">
        <v>74</v>
      </c>
      <c r="H319" t="s">
        <v>74</v>
      </c>
      <c r="I319" t="s">
        <v>6293</v>
      </c>
      <c r="J319" t="s">
        <v>6294</v>
      </c>
      <c r="K319" t="s">
        <v>74</v>
      </c>
      <c r="L319" t="s">
        <v>74</v>
      </c>
      <c r="M319" t="s">
        <v>78</v>
      </c>
      <c r="N319" t="s">
        <v>2174</v>
      </c>
      <c r="O319" t="s">
        <v>74</v>
      </c>
      <c r="P319" t="s">
        <v>74</v>
      </c>
      <c r="Q319" t="s">
        <v>74</v>
      </c>
      <c r="R319" t="s">
        <v>74</v>
      </c>
      <c r="S319" t="s">
        <v>74</v>
      </c>
      <c r="T319" t="s">
        <v>6295</v>
      </c>
      <c r="U319" t="s">
        <v>6296</v>
      </c>
      <c r="V319" t="s">
        <v>6297</v>
      </c>
      <c r="W319" t="s">
        <v>6298</v>
      </c>
      <c r="X319" t="s">
        <v>6299</v>
      </c>
      <c r="Y319" t="s">
        <v>6300</v>
      </c>
      <c r="Z319" t="s">
        <v>6301</v>
      </c>
      <c r="AA319" t="s">
        <v>74</v>
      </c>
      <c r="AB319" t="s">
        <v>6302</v>
      </c>
      <c r="AC319" t="s">
        <v>74</v>
      </c>
      <c r="AD319" t="s">
        <v>74</v>
      </c>
      <c r="AE319" t="s">
        <v>74</v>
      </c>
      <c r="AF319" t="s">
        <v>74</v>
      </c>
      <c r="AG319">
        <v>109</v>
      </c>
      <c r="AH319">
        <v>0</v>
      </c>
      <c r="AI319">
        <v>0</v>
      </c>
      <c r="AJ319">
        <v>0</v>
      </c>
      <c r="AK319">
        <v>0</v>
      </c>
      <c r="AL319" t="s">
        <v>117</v>
      </c>
      <c r="AM319" t="s">
        <v>118</v>
      </c>
      <c r="AN319" t="s">
        <v>119</v>
      </c>
      <c r="AO319" t="s">
        <v>74</v>
      </c>
      <c r="AP319" t="s">
        <v>6303</v>
      </c>
      <c r="AQ319" t="s">
        <v>74</v>
      </c>
      <c r="AR319" t="s">
        <v>6304</v>
      </c>
      <c r="AS319" t="s">
        <v>6305</v>
      </c>
      <c r="AT319" t="s">
        <v>6306</v>
      </c>
      <c r="AU319">
        <v>2023</v>
      </c>
      <c r="AV319" t="s">
        <v>74</v>
      </c>
      <c r="AW319" t="s">
        <v>74</v>
      </c>
      <c r="AX319" t="s">
        <v>74</v>
      </c>
      <c r="AY319" t="s">
        <v>74</v>
      </c>
      <c r="AZ319" t="s">
        <v>74</v>
      </c>
      <c r="BA319" t="s">
        <v>74</v>
      </c>
      <c r="BB319" t="s">
        <v>74</v>
      </c>
      <c r="BC319" t="s">
        <v>74</v>
      </c>
      <c r="BD319" t="s">
        <v>74</v>
      </c>
      <c r="BE319" t="s">
        <v>6307</v>
      </c>
      <c r="BF319" t="str">
        <f>HYPERLINK("http://dx.doi.org/10.1007/s13665-023-00326-9","http://dx.doi.org/10.1007/s13665-023-00326-9")</f>
        <v>http://dx.doi.org/10.1007/s13665-023-00326-9</v>
      </c>
      <c r="BG319" t="s">
        <v>74</v>
      </c>
      <c r="BH319" t="s">
        <v>2079</v>
      </c>
      <c r="BI319">
        <v>12</v>
      </c>
      <c r="BJ319" t="s">
        <v>3972</v>
      </c>
      <c r="BK319" t="s">
        <v>97</v>
      </c>
      <c r="BL319" t="s">
        <v>3972</v>
      </c>
      <c r="BM319" t="s">
        <v>6308</v>
      </c>
      <c r="BN319" t="s">
        <v>74</v>
      </c>
      <c r="BO319" t="s">
        <v>74</v>
      </c>
      <c r="BP319" t="s">
        <v>74</v>
      </c>
      <c r="BQ319" t="s">
        <v>74</v>
      </c>
      <c r="BR319" t="s">
        <v>99</v>
      </c>
      <c r="BS319" t="s">
        <v>6309</v>
      </c>
      <c r="BT319" t="str">
        <f>HYPERLINK("https%3A%2F%2Fwww.webofscience.com%2Fwos%2Fwoscc%2Ffull-record%2FWOS:001060709600001","View Full Record in Web of Science")</f>
        <v>View Full Record in Web of Science</v>
      </c>
    </row>
    <row r="320" spans="1:72" x14ac:dyDescent="0.15">
      <c r="A320" t="s">
        <v>72</v>
      </c>
      <c r="B320" t="s">
        <v>6310</v>
      </c>
      <c r="C320" t="s">
        <v>74</v>
      </c>
      <c r="D320" t="s">
        <v>74</v>
      </c>
      <c r="E320" t="s">
        <v>74</v>
      </c>
      <c r="F320" t="s">
        <v>6311</v>
      </c>
      <c r="G320" t="s">
        <v>74</v>
      </c>
      <c r="H320" t="s">
        <v>74</v>
      </c>
      <c r="I320" t="s">
        <v>6312</v>
      </c>
      <c r="J320" t="s">
        <v>6313</v>
      </c>
      <c r="K320" t="s">
        <v>74</v>
      </c>
      <c r="L320" t="s">
        <v>74</v>
      </c>
      <c r="M320" t="s">
        <v>78</v>
      </c>
      <c r="N320" t="s">
        <v>79</v>
      </c>
      <c r="O320" t="s">
        <v>74</v>
      </c>
      <c r="P320" t="s">
        <v>74</v>
      </c>
      <c r="Q320" t="s">
        <v>74</v>
      </c>
      <c r="R320" t="s">
        <v>74</v>
      </c>
      <c r="S320" t="s">
        <v>74</v>
      </c>
      <c r="T320" t="s">
        <v>6314</v>
      </c>
      <c r="U320" t="s">
        <v>6315</v>
      </c>
      <c r="V320" t="s">
        <v>6316</v>
      </c>
      <c r="W320" t="s">
        <v>6317</v>
      </c>
      <c r="X320" t="s">
        <v>6318</v>
      </c>
      <c r="Y320" t="s">
        <v>6319</v>
      </c>
      <c r="Z320" t="s">
        <v>6320</v>
      </c>
      <c r="AA320" t="s">
        <v>74</v>
      </c>
      <c r="AB320" t="s">
        <v>74</v>
      </c>
      <c r="AC320" t="s">
        <v>6321</v>
      </c>
      <c r="AD320" t="s">
        <v>6322</v>
      </c>
      <c r="AE320" t="s">
        <v>6323</v>
      </c>
      <c r="AF320" t="s">
        <v>74</v>
      </c>
      <c r="AG320">
        <v>99</v>
      </c>
      <c r="AH320">
        <v>0</v>
      </c>
      <c r="AI320">
        <v>0</v>
      </c>
      <c r="AJ320">
        <v>0</v>
      </c>
      <c r="AK320">
        <v>0</v>
      </c>
      <c r="AL320" t="s">
        <v>443</v>
      </c>
      <c r="AM320" t="s">
        <v>245</v>
      </c>
      <c r="AN320" t="s">
        <v>444</v>
      </c>
      <c r="AO320" t="s">
        <v>74</v>
      </c>
      <c r="AP320" t="s">
        <v>6324</v>
      </c>
      <c r="AQ320" t="s">
        <v>74</v>
      </c>
      <c r="AR320" t="s">
        <v>6325</v>
      </c>
      <c r="AS320" t="s">
        <v>6326</v>
      </c>
      <c r="AT320" t="s">
        <v>6287</v>
      </c>
      <c r="AU320">
        <v>2023</v>
      </c>
      <c r="AV320">
        <v>21</v>
      </c>
      <c r="AW320">
        <v>1</v>
      </c>
      <c r="AX320" t="s">
        <v>74</v>
      </c>
      <c r="AY320" t="s">
        <v>74</v>
      </c>
      <c r="AZ320" t="s">
        <v>74</v>
      </c>
      <c r="BA320" t="s">
        <v>74</v>
      </c>
      <c r="BB320" t="s">
        <v>74</v>
      </c>
      <c r="BC320" t="s">
        <v>74</v>
      </c>
      <c r="BD320">
        <v>322</v>
      </c>
      <c r="BE320" t="s">
        <v>6327</v>
      </c>
      <c r="BF320" t="str">
        <f>HYPERLINK("http://dx.doi.org/10.1186/s12951-023-02049-0","http://dx.doi.org/10.1186/s12951-023-02049-0")</f>
        <v>http://dx.doi.org/10.1186/s12951-023-02049-0</v>
      </c>
      <c r="BG320" t="s">
        <v>74</v>
      </c>
      <c r="BH320" t="s">
        <v>74</v>
      </c>
      <c r="BI320">
        <v>18</v>
      </c>
      <c r="BJ320" t="s">
        <v>6328</v>
      </c>
      <c r="BK320" t="s">
        <v>126</v>
      </c>
      <c r="BL320" t="s">
        <v>6329</v>
      </c>
      <c r="BM320" t="s">
        <v>6330</v>
      </c>
      <c r="BN320">
        <v>37679803</v>
      </c>
      <c r="BO320" t="s">
        <v>74</v>
      </c>
      <c r="BP320" t="s">
        <v>74</v>
      </c>
      <c r="BQ320" t="s">
        <v>74</v>
      </c>
      <c r="BR320" t="s">
        <v>99</v>
      </c>
      <c r="BS320" t="s">
        <v>6331</v>
      </c>
      <c r="BT320" t="str">
        <f>HYPERLINK("https%3A%2F%2Fwww.webofscience.com%2Fwos%2Fwoscc%2Ffull-record%2FWOS:001062553000002","View Full Record in Web of Science")</f>
        <v>View Full Record in Web of Science</v>
      </c>
    </row>
    <row r="321" spans="1:72" x14ac:dyDescent="0.15">
      <c r="A321" t="s">
        <v>72</v>
      </c>
      <c r="B321" t="s">
        <v>6332</v>
      </c>
      <c r="C321" t="s">
        <v>74</v>
      </c>
      <c r="D321" t="s">
        <v>74</v>
      </c>
      <c r="E321" t="s">
        <v>74</v>
      </c>
      <c r="F321" t="s">
        <v>6333</v>
      </c>
      <c r="G321" t="s">
        <v>74</v>
      </c>
      <c r="H321" t="s">
        <v>74</v>
      </c>
      <c r="I321" t="s">
        <v>6334</v>
      </c>
      <c r="J321" t="s">
        <v>6335</v>
      </c>
      <c r="K321" t="s">
        <v>74</v>
      </c>
      <c r="L321" t="s">
        <v>74</v>
      </c>
      <c r="M321" t="s">
        <v>78</v>
      </c>
      <c r="N321" t="s">
        <v>1246</v>
      </c>
      <c r="O321" t="s">
        <v>74</v>
      </c>
      <c r="P321" t="s">
        <v>74</v>
      </c>
      <c r="Q321" t="s">
        <v>74</v>
      </c>
      <c r="R321" t="s">
        <v>74</v>
      </c>
      <c r="S321" t="s">
        <v>74</v>
      </c>
      <c r="T321" t="s">
        <v>6336</v>
      </c>
      <c r="U321" t="s">
        <v>6337</v>
      </c>
      <c r="V321" t="s">
        <v>6338</v>
      </c>
      <c r="W321" t="s">
        <v>6339</v>
      </c>
      <c r="X321" t="s">
        <v>6340</v>
      </c>
      <c r="Y321" t="s">
        <v>6341</v>
      </c>
      <c r="Z321" t="s">
        <v>6342</v>
      </c>
      <c r="AA321" t="s">
        <v>74</v>
      </c>
      <c r="AB321" t="s">
        <v>74</v>
      </c>
      <c r="AC321" t="s">
        <v>6343</v>
      </c>
      <c r="AD321" t="s">
        <v>6344</v>
      </c>
      <c r="AE321" t="s">
        <v>6345</v>
      </c>
      <c r="AF321" t="s">
        <v>74</v>
      </c>
      <c r="AG321">
        <v>15</v>
      </c>
      <c r="AH321">
        <v>0</v>
      </c>
      <c r="AI321">
        <v>0</v>
      </c>
      <c r="AJ321">
        <v>0</v>
      </c>
      <c r="AK321">
        <v>0</v>
      </c>
      <c r="AL321" t="s">
        <v>117</v>
      </c>
      <c r="AM321" t="s">
        <v>118</v>
      </c>
      <c r="AN321" t="s">
        <v>119</v>
      </c>
      <c r="AO321" t="s">
        <v>6346</v>
      </c>
      <c r="AP321" t="s">
        <v>6347</v>
      </c>
      <c r="AQ321" t="s">
        <v>74</v>
      </c>
      <c r="AR321" t="s">
        <v>6348</v>
      </c>
      <c r="AS321" t="s">
        <v>6349</v>
      </c>
      <c r="AT321" t="s">
        <v>6306</v>
      </c>
      <c r="AU321">
        <v>2023</v>
      </c>
      <c r="AV321" t="s">
        <v>74</v>
      </c>
      <c r="AW321" t="s">
        <v>74</v>
      </c>
      <c r="AX321" t="s">
        <v>74</v>
      </c>
      <c r="AY321" t="s">
        <v>74</v>
      </c>
      <c r="AZ321" t="s">
        <v>74</v>
      </c>
      <c r="BA321" t="s">
        <v>74</v>
      </c>
      <c r="BB321" t="s">
        <v>74</v>
      </c>
      <c r="BC321" t="s">
        <v>74</v>
      </c>
      <c r="BD321" t="s">
        <v>6350</v>
      </c>
      <c r="BE321" t="s">
        <v>6351</v>
      </c>
      <c r="BF321" t="str">
        <f>HYPERLINK("http://dx.doi.org/10.1007/s00454-023-00499-9","http://dx.doi.org/10.1007/s00454-023-00499-9")</f>
        <v>http://dx.doi.org/10.1007/s00454-023-00499-9</v>
      </c>
      <c r="BG321" t="s">
        <v>74</v>
      </c>
      <c r="BH321" t="s">
        <v>2079</v>
      </c>
      <c r="BI321">
        <v>55</v>
      </c>
      <c r="BJ321" t="s">
        <v>3008</v>
      </c>
      <c r="BK321" t="s">
        <v>126</v>
      </c>
      <c r="BL321" t="s">
        <v>1709</v>
      </c>
      <c r="BM321" t="s">
        <v>6352</v>
      </c>
      <c r="BN321" t="s">
        <v>74</v>
      </c>
      <c r="BO321" t="s">
        <v>74</v>
      </c>
      <c r="BP321" t="s">
        <v>74</v>
      </c>
      <c r="BQ321" t="s">
        <v>74</v>
      </c>
      <c r="BR321" t="s">
        <v>99</v>
      </c>
      <c r="BS321" t="s">
        <v>6353</v>
      </c>
      <c r="BT321" t="str">
        <f>HYPERLINK("https%3A%2F%2Fwww.webofscience.com%2Fwos%2Fwoscc%2Ffull-record%2FWOS:001060727600001","View Full Record in Web of Science")</f>
        <v>View Full Record in Web of Science</v>
      </c>
    </row>
    <row r="322" spans="1:72" x14ac:dyDescent="0.15">
      <c r="A322" t="s">
        <v>72</v>
      </c>
      <c r="B322" t="s">
        <v>6354</v>
      </c>
      <c r="C322" t="s">
        <v>74</v>
      </c>
      <c r="D322" t="s">
        <v>74</v>
      </c>
      <c r="E322" t="s">
        <v>74</v>
      </c>
      <c r="F322" t="s">
        <v>6355</v>
      </c>
      <c r="G322" t="s">
        <v>74</v>
      </c>
      <c r="H322" t="s">
        <v>74</v>
      </c>
      <c r="I322" t="s">
        <v>6356</v>
      </c>
      <c r="J322" t="s">
        <v>6357</v>
      </c>
      <c r="K322" t="s">
        <v>74</v>
      </c>
      <c r="L322" t="s">
        <v>74</v>
      </c>
      <c r="M322" t="s">
        <v>78</v>
      </c>
      <c r="N322" t="s">
        <v>79</v>
      </c>
      <c r="O322" t="s">
        <v>74</v>
      </c>
      <c r="P322" t="s">
        <v>74</v>
      </c>
      <c r="Q322" t="s">
        <v>74</v>
      </c>
      <c r="R322" t="s">
        <v>74</v>
      </c>
      <c r="S322" t="s">
        <v>74</v>
      </c>
      <c r="T322" t="s">
        <v>6358</v>
      </c>
      <c r="U322" t="s">
        <v>6359</v>
      </c>
      <c r="V322" t="s">
        <v>6360</v>
      </c>
      <c r="W322" t="s">
        <v>6361</v>
      </c>
      <c r="X322" t="s">
        <v>6362</v>
      </c>
      <c r="Y322" t="s">
        <v>6363</v>
      </c>
      <c r="Z322" t="s">
        <v>6364</v>
      </c>
      <c r="AA322" t="s">
        <v>74</v>
      </c>
      <c r="AB322" t="s">
        <v>74</v>
      </c>
      <c r="AC322" t="s">
        <v>6365</v>
      </c>
      <c r="AD322" t="s">
        <v>6365</v>
      </c>
      <c r="AE322" t="s">
        <v>6365</v>
      </c>
      <c r="AF322" t="s">
        <v>74</v>
      </c>
      <c r="AG322">
        <v>44</v>
      </c>
      <c r="AH322">
        <v>0</v>
      </c>
      <c r="AI322">
        <v>0</v>
      </c>
      <c r="AJ322">
        <v>1</v>
      </c>
      <c r="AK322">
        <v>1</v>
      </c>
      <c r="AL322" t="s">
        <v>443</v>
      </c>
      <c r="AM322" t="s">
        <v>245</v>
      </c>
      <c r="AN322" t="s">
        <v>444</v>
      </c>
      <c r="AO322" t="s">
        <v>74</v>
      </c>
      <c r="AP322" t="s">
        <v>6366</v>
      </c>
      <c r="AQ322" t="s">
        <v>74</v>
      </c>
      <c r="AR322" t="s">
        <v>6367</v>
      </c>
      <c r="AS322" t="s">
        <v>6368</v>
      </c>
      <c r="AT322" t="s">
        <v>6287</v>
      </c>
      <c r="AU322">
        <v>2023</v>
      </c>
      <c r="AV322">
        <v>20</v>
      </c>
      <c r="AW322">
        <v>1</v>
      </c>
      <c r="AX322" t="s">
        <v>74</v>
      </c>
      <c r="AY322" t="s">
        <v>74</v>
      </c>
      <c r="AZ322" t="s">
        <v>74</v>
      </c>
      <c r="BA322" t="s">
        <v>74</v>
      </c>
      <c r="BB322" t="s">
        <v>74</v>
      </c>
      <c r="BC322" t="s">
        <v>74</v>
      </c>
      <c r="BD322">
        <v>126</v>
      </c>
      <c r="BE322" t="s">
        <v>6369</v>
      </c>
      <c r="BF322" t="str">
        <f>HYPERLINK("http://dx.doi.org/10.1186/s12954-023-00862-2","http://dx.doi.org/10.1186/s12954-023-00862-2")</f>
        <v>http://dx.doi.org/10.1186/s12954-023-00862-2</v>
      </c>
      <c r="BG322" t="s">
        <v>74</v>
      </c>
      <c r="BH322" t="s">
        <v>74</v>
      </c>
      <c r="BI322">
        <v>10</v>
      </c>
      <c r="BJ322" t="s">
        <v>6370</v>
      </c>
      <c r="BK322" t="s">
        <v>425</v>
      </c>
      <c r="BL322" t="s">
        <v>6370</v>
      </c>
      <c r="BM322" t="s">
        <v>6371</v>
      </c>
      <c r="BN322">
        <v>37679789</v>
      </c>
      <c r="BO322" t="s">
        <v>74</v>
      </c>
      <c r="BP322" t="s">
        <v>74</v>
      </c>
      <c r="BQ322" t="s">
        <v>74</v>
      </c>
      <c r="BR322" t="s">
        <v>99</v>
      </c>
      <c r="BS322" t="s">
        <v>6372</v>
      </c>
      <c r="BT322" t="str">
        <f>HYPERLINK("https%3A%2F%2Fwww.webofscience.com%2Fwos%2Fwoscc%2Ffull-record%2FWOS:001061804400002","View Full Record in Web of Science")</f>
        <v>View Full Record in Web of Science</v>
      </c>
    </row>
    <row r="323" spans="1:72" x14ac:dyDescent="0.15">
      <c r="A323" t="s">
        <v>72</v>
      </c>
      <c r="B323" t="s">
        <v>6373</v>
      </c>
      <c r="C323" t="s">
        <v>74</v>
      </c>
      <c r="D323" t="s">
        <v>74</v>
      </c>
      <c r="E323" t="s">
        <v>74</v>
      </c>
      <c r="F323" t="s">
        <v>6374</v>
      </c>
      <c r="G323" t="s">
        <v>74</v>
      </c>
      <c r="H323" t="s">
        <v>74</v>
      </c>
      <c r="I323" t="s">
        <v>6375</v>
      </c>
      <c r="J323" t="s">
        <v>6376</v>
      </c>
      <c r="K323" t="s">
        <v>74</v>
      </c>
      <c r="L323" t="s">
        <v>74</v>
      </c>
      <c r="M323" t="s">
        <v>78</v>
      </c>
      <c r="N323" t="s">
        <v>3055</v>
      </c>
      <c r="O323" t="s">
        <v>74</v>
      </c>
      <c r="P323" t="s">
        <v>74</v>
      </c>
      <c r="Q323" t="s">
        <v>74</v>
      </c>
      <c r="R323" t="s">
        <v>74</v>
      </c>
      <c r="S323" t="s">
        <v>74</v>
      </c>
      <c r="T323" t="s">
        <v>74</v>
      </c>
      <c r="U323" t="s">
        <v>74</v>
      </c>
      <c r="V323" t="s">
        <v>74</v>
      </c>
      <c r="W323" t="s">
        <v>6377</v>
      </c>
      <c r="X323" t="s">
        <v>6378</v>
      </c>
      <c r="Y323" t="s">
        <v>6379</v>
      </c>
      <c r="Z323" t="s">
        <v>6380</v>
      </c>
      <c r="AA323" t="s">
        <v>6381</v>
      </c>
      <c r="AB323" t="s">
        <v>6382</v>
      </c>
      <c r="AC323" t="s">
        <v>6383</v>
      </c>
      <c r="AD323" t="s">
        <v>6383</v>
      </c>
      <c r="AE323" t="s">
        <v>6384</v>
      </c>
      <c r="AF323" t="s">
        <v>74</v>
      </c>
      <c r="AG323">
        <v>14</v>
      </c>
      <c r="AH323">
        <v>0</v>
      </c>
      <c r="AI323">
        <v>0</v>
      </c>
      <c r="AJ323">
        <v>0</v>
      </c>
      <c r="AK323">
        <v>0</v>
      </c>
      <c r="AL323" t="s">
        <v>317</v>
      </c>
      <c r="AM323" t="s">
        <v>245</v>
      </c>
      <c r="AN323" t="s">
        <v>318</v>
      </c>
      <c r="AO323" t="s">
        <v>6385</v>
      </c>
      <c r="AP323" t="s">
        <v>6386</v>
      </c>
      <c r="AQ323" t="s">
        <v>74</v>
      </c>
      <c r="AR323" t="s">
        <v>6376</v>
      </c>
      <c r="AS323" t="s">
        <v>6387</v>
      </c>
      <c r="AT323" t="s">
        <v>6306</v>
      </c>
      <c r="AU323">
        <v>2023</v>
      </c>
      <c r="AV323" t="s">
        <v>74</v>
      </c>
      <c r="AW323" t="s">
        <v>74</v>
      </c>
      <c r="AX323" t="s">
        <v>74</v>
      </c>
      <c r="AY323" t="s">
        <v>74</v>
      </c>
      <c r="AZ323" t="s">
        <v>74</v>
      </c>
      <c r="BA323" t="s">
        <v>74</v>
      </c>
      <c r="BB323" t="s">
        <v>74</v>
      </c>
      <c r="BC323" t="s">
        <v>74</v>
      </c>
      <c r="BD323" t="s">
        <v>74</v>
      </c>
      <c r="BE323" t="s">
        <v>6388</v>
      </c>
      <c r="BF323" t="str">
        <f>HYPERLINK("http://dx.doi.org/10.1038/s41375-023-02016-6","http://dx.doi.org/10.1038/s41375-023-02016-6")</f>
        <v>http://dx.doi.org/10.1038/s41375-023-02016-6</v>
      </c>
      <c r="BG323" t="s">
        <v>74</v>
      </c>
      <c r="BH323" t="s">
        <v>2079</v>
      </c>
      <c r="BI323">
        <v>4</v>
      </c>
      <c r="BJ323" t="s">
        <v>4616</v>
      </c>
      <c r="BK323" t="s">
        <v>126</v>
      </c>
      <c r="BL323" t="s">
        <v>4616</v>
      </c>
      <c r="BM323" t="s">
        <v>6389</v>
      </c>
      <c r="BN323">
        <v>37679502</v>
      </c>
      <c r="BO323" t="s">
        <v>183</v>
      </c>
      <c r="BP323" t="s">
        <v>74</v>
      </c>
      <c r="BQ323" t="s">
        <v>74</v>
      </c>
      <c r="BR323" t="s">
        <v>99</v>
      </c>
      <c r="BS323" t="s">
        <v>6390</v>
      </c>
      <c r="BT323" t="str">
        <f>HYPERLINK("https%3A%2F%2Fwww.webofscience.com%2Fwos%2Fwoscc%2Ffull-record%2FWOS:001063960000001","View Full Record in Web of Science")</f>
        <v>View Full Record in Web of Science</v>
      </c>
    </row>
    <row r="324" spans="1:72" x14ac:dyDescent="0.15">
      <c r="A324" t="s">
        <v>72</v>
      </c>
      <c r="B324" t="s">
        <v>6391</v>
      </c>
      <c r="C324" t="s">
        <v>74</v>
      </c>
      <c r="D324" t="s">
        <v>74</v>
      </c>
      <c r="E324" t="s">
        <v>74</v>
      </c>
      <c r="F324" t="s">
        <v>6392</v>
      </c>
      <c r="G324" t="s">
        <v>74</v>
      </c>
      <c r="H324" t="s">
        <v>74</v>
      </c>
      <c r="I324" t="s">
        <v>6393</v>
      </c>
      <c r="J324" t="s">
        <v>6394</v>
      </c>
      <c r="K324" t="s">
        <v>74</v>
      </c>
      <c r="L324" t="s">
        <v>74</v>
      </c>
      <c r="M324" t="s">
        <v>78</v>
      </c>
      <c r="N324" t="s">
        <v>1246</v>
      </c>
      <c r="O324" t="s">
        <v>74</v>
      </c>
      <c r="P324" t="s">
        <v>74</v>
      </c>
      <c r="Q324" t="s">
        <v>74</v>
      </c>
      <c r="R324" t="s">
        <v>74</v>
      </c>
      <c r="S324" t="s">
        <v>74</v>
      </c>
      <c r="T324" t="s">
        <v>6395</v>
      </c>
      <c r="U324" t="s">
        <v>6396</v>
      </c>
      <c r="V324" t="s">
        <v>6397</v>
      </c>
      <c r="W324" t="s">
        <v>6398</v>
      </c>
      <c r="X324" t="s">
        <v>6399</v>
      </c>
      <c r="Y324" t="s">
        <v>6400</v>
      </c>
      <c r="Z324" t="s">
        <v>6401</v>
      </c>
      <c r="AA324" t="s">
        <v>74</v>
      </c>
      <c r="AB324" t="s">
        <v>74</v>
      </c>
      <c r="AC324" t="s">
        <v>6402</v>
      </c>
      <c r="AD324" t="s">
        <v>6402</v>
      </c>
      <c r="AE324" t="s">
        <v>6402</v>
      </c>
      <c r="AF324" t="s">
        <v>74</v>
      </c>
      <c r="AG324">
        <v>47</v>
      </c>
      <c r="AH324">
        <v>0</v>
      </c>
      <c r="AI324">
        <v>0</v>
      </c>
      <c r="AJ324">
        <v>0</v>
      </c>
      <c r="AK324">
        <v>0</v>
      </c>
      <c r="AL324" t="s">
        <v>244</v>
      </c>
      <c r="AM324" t="s">
        <v>245</v>
      </c>
      <c r="AN324" t="s">
        <v>246</v>
      </c>
      <c r="AO324" t="s">
        <v>6403</v>
      </c>
      <c r="AP324" t="s">
        <v>6404</v>
      </c>
      <c r="AQ324" t="s">
        <v>74</v>
      </c>
      <c r="AR324" t="s">
        <v>6405</v>
      </c>
      <c r="AS324" t="s">
        <v>6406</v>
      </c>
      <c r="AT324" t="s">
        <v>6306</v>
      </c>
      <c r="AU324">
        <v>2023</v>
      </c>
      <c r="AV324" t="s">
        <v>74</v>
      </c>
      <c r="AW324" t="s">
        <v>74</v>
      </c>
      <c r="AX324" t="s">
        <v>74</v>
      </c>
      <c r="AY324" t="s">
        <v>74</v>
      </c>
      <c r="AZ324" t="s">
        <v>74</v>
      </c>
      <c r="BA324" t="s">
        <v>74</v>
      </c>
      <c r="BB324" t="s">
        <v>74</v>
      </c>
      <c r="BC324" t="s">
        <v>74</v>
      </c>
      <c r="BD324" t="s">
        <v>74</v>
      </c>
      <c r="BE324" t="s">
        <v>6407</v>
      </c>
      <c r="BF324" t="str">
        <f>HYPERLINK("http://dx.doi.org/10.1007/s00170-023-12279","http://dx.doi.org/10.1007/s00170-023-12279")</f>
        <v>http://dx.doi.org/10.1007/s00170-023-12279</v>
      </c>
      <c r="BG324" t="s">
        <v>74</v>
      </c>
      <c r="BH324" t="s">
        <v>2079</v>
      </c>
      <c r="BI324">
        <v>13</v>
      </c>
      <c r="BJ324" t="s">
        <v>6408</v>
      </c>
      <c r="BK324" t="s">
        <v>126</v>
      </c>
      <c r="BL324" t="s">
        <v>6409</v>
      </c>
      <c r="BM324" t="s">
        <v>6410</v>
      </c>
      <c r="BN324" t="s">
        <v>74</v>
      </c>
      <c r="BO324" t="s">
        <v>74</v>
      </c>
      <c r="BP324" t="s">
        <v>74</v>
      </c>
      <c r="BQ324" t="s">
        <v>74</v>
      </c>
      <c r="BR324" t="s">
        <v>99</v>
      </c>
      <c r="BS324" t="s">
        <v>6411</v>
      </c>
      <c r="BT324" t="str">
        <f>HYPERLINK("https%3A%2F%2Fwww.webofscience.com%2Fwos%2Fwoscc%2Ffull-record%2FWOS:001063966000006","View Full Record in Web of Science")</f>
        <v>View Full Record in Web of Science</v>
      </c>
    </row>
    <row r="325" spans="1:72" x14ac:dyDescent="0.15">
      <c r="A325" t="s">
        <v>72</v>
      </c>
      <c r="B325" t="s">
        <v>6412</v>
      </c>
      <c r="C325" t="s">
        <v>74</v>
      </c>
      <c r="D325" t="s">
        <v>74</v>
      </c>
      <c r="E325" t="s">
        <v>74</v>
      </c>
      <c r="F325" t="s">
        <v>6413</v>
      </c>
      <c r="G325" t="s">
        <v>74</v>
      </c>
      <c r="H325" t="s">
        <v>74</v>
      </c>
      <c r="I325" t="s">
        <v>6414</v>
      </c>
      <c r="J325" t="s">
        <v>6415</v>
      </c>
      <c r="K325" t="s">
        <v>74</v>
      </c>
      <c r="L325" t="s">
        <v>74</v>
      </c>
      <c r="M325" t="s">
        <v>78</v>
      </c>
      <c r="N325" t="s">
        <v>1246</v>
      </c>
      <c r="O325" t="s">
        <v>74</v>
      </c>
      <c r="P325" t="s">
        <v>74</v>
      </c>
      <c r="Q325" t="s">
        <v>74</v>
      </c>
      <c r="R325" t="s">
        <v>74</v>
      </c>
      <c r="S325" t="s">
        <v>74</v>
      </c>
      <c r="T325" t="s">
        <v>6416</v>
      </c>
      <c r="U325" t="s">
        <v>6417</v>
      </c>
      <c r="V325" t="s">
        <v>6418</v>
      </c>
      <c r="W325" t="s">
        <v>6419</v>
      </c>
      <c r="X325" t="s">
        <v>6420</v>
      </c>
      <c r="Y325" t="s">
        <v>6421</v>
      </c>
      <c r="Z325" t="s">
        <v>6422</v>
      </c>
      <c r="AA325" t="s">
        <v>6423</v>
      </c>
      <c r="AB325" t="s">
        <v>6424</v>
      </c>
      <c r="AC325" t="s">
        <v>6425</v>
      </c>
      <c r="AD325" t="s">
        <v>6426</v>
      </c>
      <c r="AE325" t="s">
        <v>6427</v>
      </c>
      <c r="AF325" t="s">
        <v>74</v>
      </c>
      <c r="AG325">
        <v>64</v>
      </c>
      <c r="AH325">
        <v>1</v>
      </c>
      <c r="AI325">
        <v>1</v>
      </c>
      <c r="AJ325">
        <v>1</v>
      </c>
      <c r="AK325">
        <v>1</v>
      </c>
      <c r="AL325" t="s">
        <v>117</v>
      </c>
      <c r="AM325" t="s">
        <v>627</v>
      </c>
      <c r="AN325" t="s">
        <v>628</v>
      </c>
      <c r="AO325" t="s">
        <v>6428</v>
      </c>
      <c r="AP325" t="s">
        <v>6429</v>
      </c>
      <c r="AQ325" t="s">
        <v>74</v>
      </c>
      <c r="AR325" t="s">
        <v>6415</v>
      </c>
      <c r="AS325" t="s">
        <v>6430</v>
      </c>
      <c r="AT325" t="s">
        <v>6306</v>
      </c>
      <c r="AU325">
        <v>2023</v>
      </c>
      <c r="AV325" t="s">
        <v>74</v>
      </c>
      <c r="AW325" t="s">
        <v>74</v>
      </c>
      <c r="AX325" t="s">
        <v>74</v>
      </c>
      <c r="AY325" t="s">
        <v>74</v>
      </c>
      <c r="AZ325" t="s">
        <v>74</v>
      </c>
      <c r="BA325" t="s">
        <v>74</v>
      </c>
      <c r="BB325" t="s">
        <v>74</v>
      </c>
      <c r="BC325" t="s">
        <v>74</v>
      </c>
      <c r="BD325" t="s">
        <v>74</v>
      </c>
      <c r="BE325" t="s">
        <v>6431</v>
      </c>
      <c r="BF325" t="str">
        <f>HYPERLINK("http://dx.doi.org/10.1007/s13280-023-01910-8","http://dx.doi.org/10.1007/s13280-023-01910-8")</f>
        <v>http://dx.doi.org/10.1007/s13280-023-01910-8</v>
      </c>
      <c r="BG325" t="s">
        <v>74</v>
      </c>
      <c r="BH325" t="s">
        <v>2079</v>
      </c>
      <c r="BI325">
        <v>19</v>
      </c>
      <c r="BJ325" t="s">
        <v>6432</v>
      </c>
      <c r="BK325" t="s">
        <v>126</v>
      </c>
      <c r="BL325" t="s">
        <v>6433</v>
      </c>
      <c r="BM325" t="s">
        <v>6434</v>
      </c>
      <c r="BN325">
        <v>37679659</v>
      </c>
      <c r="BO325" t="s">
        <v>183</v>
      </c>
      <c r="BP325" t="s">
        <v>74</v>
      </c>
      <c r="BQ325" t="s">
        <v>74</v>
      </c>
      <c r="BR325" t="s">
        <v>99</v>
      </c>
      <c r="BS325" t="s">
        <v>6435</v>
      </c>
      <c r="BT325" t="str">
        <f>HYPERLINK("https%3A%2F%2Fwww.webofscience.com%2Fwos%2Fwoscc%2Ffull-record%2FWOS:001060259000001","View Full Record in Web of Science")</f>
        <v>View Full Record in Web of Science</v>
      </c>
    </row>
    <row r="326" spans="1:72" x14ac:dyDescent="0.15">
      <c r="A326" t="s">
        <v>72</v>
      </c>
      <c r="B326" t="s">
        <v>6436</v>
      </c>
      <c r="C326" t="s">
        <v>74</v>
      </c>
      <c r="D326" t="s">
        <v>74</v>
      </c>
      <c r="E326" t="s">
        <v>74</v>
      </c>
      <c r="F326" t="s">
        <v>6437</v>
      </c>
      <c r="G326" t="s">
        <v>74</v>
      </c>
      <c r="H326" t="s">
        <v>74</v>
      </c>
      <c r="I326" t="s">
        <v>6438</v>
      </c>
      <c r="J326" t="s">
        <v>6439</v>
      </c>
      <c r="K326" t="s">
        <v>74</v>
      </c>
      <c r="L326" t="s">
        <v>74</v>
      </c>
      <c r="M326" t="s">
        <v>78</v>
      </c>
      <c r="N326" t="s">
        <v>1246</v>
      </c>
      <c r="O326" t="s">
        <v>74</v>
      </c>
      <c r="P326" t="s">
        <v>74</v>
      </c>
      <c r="Q326" t="s">
        <v>74</v>
      </c>
      <c r="R326" t="s">
        <v>74</v>
      </c>
      <c r="S326" t="s">
        <v>74</v>
      </c>
      <c r="T326" t="s">
        <v>6440</v>
      </c>
      <c r="U326" t="s">
        <v>74</v>
      </c>
      <c r="V326" t="s">
        <v>6441</v>
      </c>
      <c r="W326" t="s">
        <v>6442</v>
      </c>
      <c r="X326" t="s">
        <v>6443</v>
      </c>
      <c r="Y326" t="s">
        <v>6444</v>
      </c>
      <c r="Z326" t="s">
        <v>6445</v>
      </c>
      <c r="AA326" t="s">
        <v>74</v>
      </c>
      <c r="AB326" t="s">
        <v>74</v>
      </c>
      <c r="AC326" t="s">
        <v>74</v>
      </c>
      <c r="AD326" t="s">
        <v>74</v>
      </c>
      <c r="AE326" t="s">
        <v>74</v>
      </c>
      <c r="AF326" t="s">
        <v>74</v>
      </c>
      <c r="AG326">
        <v>6</v>
      </c>
      <c r="AH326">
        <v>0</v>
      </c>
      <c r="AI326">
        <v>0</v>
      </c>
      <c r="AJ326">
        <v>0</v>
      </c>
      <c r="AK326">
        <v>0</v>
      </c>
      <c r="AL326" t="s">
        <v>317</v>
      </c>
      <c r="AM326" t="s">
        <v>245</v>
      </c>
      <c r="AN326" t="s">
        <v>318</v>
      </c>
      <c r="AO326" t="s">
        <v>74</v>
      </c>
      <c r="AP326" t="s">
        <v>6446</v>
      </c>
      <c r="AQ326" t="s">
        <v>74</v>
      </c>
      <c r="AR326" t="s">
        <v>6447</v>
      </c>
      <c r="AS326" t="s">
        <v>6448</v>
      </c>
      <c r="AT326" t="s">
        <v>6306</v>
      </c>
      <c r="AU326">
        <v>2023</v>
      </c>
      <c r="AV326" t="s">
        <v>74</v>
      </c>
      <c r="AW326" t="s">
        <v>74</v>
      </c>
      <c r="AX326" t="s">
        <v>74</v>
      </c>
      <c r="AY326" t="s">
        <v>74</v>
      </c>
      <c r="AZ326" t="s">
        <v>74</v>
      </c>
      <c r="BA326" t="s">
        <v>74</v>
      </c>
      <c r="BB326" t="s">
        <v>74</v>
      </c>
      <c r="BC326" t="s">
        <v>74</v>
      </c>
      <c r="BD326" t="s">
        <v>74</v>
      </c>
      <c r="BE326" t="s">
        <v>6449</v>
      </c>
      <c r="BF326" t="str">
        <f>HYPERLINK("http://dx.doi.org/10.1007/s40670-023-01881-1","http://dx.doi.org/10.1007/s40670-023-01881-1")</f>
        <v>http://dx.doi.org/10.1007/s40670-023-01881-1</v>
      </c>
      <c r="BG326" t="s">
        <v>74</v>
      </c>
      <c r="BH326" t="s">
        <v>2079</v>
      </c>
      <c r="BI326">
        <v>3</v>
      </c>
      <c r="BJ326" t="s">
        <v>6450</v>
      </c>
      <c r="BK326" t="s">
        <v>97</v>
      </c>
      <c r="BL326" t="s">
        <v>3226</v>
      </c>
      <c r="BM326" t="s">
        <v>6451</v>
      </c>
      <c r="BN326" t="s">
        <v>74</v>
      </c>
      <c r="BO326" t="s">
        <v>74</v>
      </c>
      <c r="BP326" t="s">
        <v>74</v>
      </c>
      <c r="BQ326" t="s">
        <v>74</v>
      </c>
      <c r="BR326" t="s">
        <v>99</v>
      </c>
      <c r="BS326" t="s">
        <v>6452</v>
      </c>
      <c r="BT326" t="str">
        <f>HYPERLINK("https%3A%2F%2Fwww.webofscience.com%2Fwos%2Fwoscc%2Ffull-record%2FWOS:001060723000001","View Full Record in Web of Science")</f>
        <v>View Full Record in Web of Science</v>
      </c>
    </row>
    <row r="327" spans="1:72" x14ac:dyDescent="0.15">
      <c r="A327" t="s">
        <v>72</v>
      </c>
      <c r="B327" t="s">
        <v>6453</v>
      </c>
      <c r="C327" t="s">
        <v>74</v>
      </c>
      <c r="D327" t="s">
        <v>74</v>
      </c>
      <c r="E327" t="s">
        <v>74</v>
      </c>
      <c r="F327" t="s">
        <v>6454</v>
      </c>
      <c r="G327" t="s">
        <v>74</v>
      </c>
      <c r="H327" t="s">
        <v>74</v>
      </c>
      <c r="I327" t="s">
        <v>6455</v>
      </c>
      <c r="J327" t="s">
        <v>6456</v>
      </c>
      <c r="K327" t="s">
        <v>74</v>
      </c>
      <c r="L327" t="s">
        <v>74</v>
      </c>
      <c r="M327" t="s">
        <v>78</v>
      </c>
      <c r="N327" t="s">
        <v>79</v>
      </c>
      <c r="O327" t="s">
        <v>74</v>
      </c>
      <c r="P327" t="s">
        <v>74</v>
      </c>
      <c r="Q327" t="s">
        <v>74</v>
      </c>
      <c r="R327" t="s">
        <v>74</v>
      </c>
      <c r="S327" t="s">
        <v>74</v>
      </c>
      <c r="T327" t="s">
        <v>6457</v>
      </c>
      <c r="U327" t="s">
        <v>6458</v>
      </c>
      <c r="V327" t="s">
        <v>6459</v>
      </c>
      <c r="W327" t="s">
        <v>6460</v>
      </c>
      <c r="X327" t="s">
        <v>6461</v>
      </c>
      <c r="Y327" t="s">
        <v>6462</v>
      </c>
      <c r="Z327" t="s">
        <v>6463</v>
      </c>
      <c r="AA327" t="s">
        <v>74</v>
      </c>
      <c r="AB327" t="s">
        <v>74</v>
      </c>
      <c r="AC327" t="s">
        <v>6464</v>
      </c>
      <c r="AD327" t="s">
        <v>6464</v>
      </c>
      <c r="AE327" t="s">
        <v>6464</v>
      </c>
      <c r="AF327" t="s">
        <v>74</v>
      </c>
      <c r="AG327">
        <v>39</v>
      </c>
      <c r="AH327">
        <v>0</v>
      </c>
      <c r="AI327">
        <v>0</v>
      </c>
      <c r="AJ327">
        <v>0</v>
      </c>
      <c r="AK327">
        <v>0</v>
      </c>
      <c r="AL327" t="s">
        <v>443</v>
      </c>
      <c r="AM327" t="s">
        <v>245</v>
      </c>
      <c r="AN327" t="s">
        <v>444</v>
      </c>
      <c r="AO327" t="s">
        <v>6465</v>
      </c>
      <c r="AP327" t="s">
        <v>6466</v>
      </c>
      <c r="AQ327" t="s">
        <v>74</v>
      </c>
      <c r="AR327" t="s">
        <v>6467</v>
      </c>
      <c r="AS327" t="s">
        <v>6468</v>
      </c>
      <c r="AT327" t="s">
        <v>6287</v>
      </c>
      <c r="AU327">
        <v>2023</v>
      </c>
      <c r="AV327">
        <v>27</v>
      </c>
      <c r="AW327">
        <v>1</v>
      </c>
      <c r="AX327" t="s">
        <v>74</v>
      </c>
      <c r="AY327" t="s">
        <v>74</v>
      </c>
      <c r="AZ327" t="s">
        <v>74</v>
      </c>
      <c r="BA327" t="s">
        <v>74</v>
      </c>
      <c r="BB327" t="s">
        <v>74</v>
      </c>
      <c r="BC327" t="s">
        <v>74</v>
      </c>
      <c r="BD327">
        <v>349</v>
      </c>
      <c r="BE327" t="s">
        <v>6469</v>
      </c>
      <c r="BF327" t="str">
        <f>HYPERLINK("http://dx.doi.org/10.1186/s13054-023-04630-3","http://dx.doi.org/10.1186/s13054-023-04630-3")</f>
        <v>http://dx.doi.org/10.1186/s13054-023-04630-3</v>
      </c>
      <c r="BG327" t="s">
        <v>74</v>
      </c>
      <c r="BH327" t="s">
        <v>74</v>
      </c>
      <c r="BI327">
        <v>13</v>
      </c>
      <c r="BJ327" t="s">
        <v>2251</v>
      </c>
      <c r="BK327" t="s">
        <v>126</v>
      </c>
      <c r="BL327" t="s">
        <v>1239</v>
      </c>
      <c r="BM327" t="s">
        <v>6470</v>
      </c>
      <c r="BN327">
        <v>37679812</v>
      </c>
      <c r="BO327" t="s">
        <v>74</v>
      </c>
      <c r="BP327" t="s">
        <v>74</v>
      </c>
      <c r="BQ327" t="s">
        <v>74</v>
      </c>
      <c r="BR327" t="s">
        <v>99</v>
      </c>
      <c r="BS327" t="s">
        <v>6471</v>
      </c>
      <c r="BT327" t="str">
        <f>HYPERLINK("https%3A%2F%2Fwww.webofscience.com%2Fwos%2Fwoscc%2Ffull-record%2FWOS:001064006000001","View Full Record in Web of Science")</f>
        <v>View Full Record in Web of Science</v>
      </c>
    </row>
    <row r="328" spans="1:72" x14ac:dyDescent="0.15">
      <c r="A328" t="s">
        <v>72</v>
      </c>
      <c r="B328" t="s">
        <v>6472</v>
      </c>
      <c r="C328" t="s">
        <v>74</v>
      </c>
      <c r="D328" t="s">
        <v>74</v>
      </c>
      <c r="E328" t="s">
        <v>74</v>
      </c>
      <c r="F328" t="s">
        <v>6473</v>
      </c>
      <c r="G328" t="s">
        <v>74</v>
      </c>
      <c r="H328" t="s">
        <v>74</v>
      </c>
      <c r="I328" t="s">
        <v>6474</v>
      </c>
      <c r="J328" t="s">
        <v>6475</v>
      </c>
      <c r="K328" t="s">
        <v>74</v>
      </c>
      <c r="L328" t="s">
        <v>74</v>
      </c>
      <c r="M328" t="s">
        <v>78</v>
      </c>
      <c r="N328" t="s">
        <v>105</v>
      </c>
      <c r="O328" t="s">
        <v>74</v>
      </c>
      <c r="P328" t="s">
        <v>74</v>
      </c>
      <c r="Q328" t="s">
        <v>74</v>
      </c>
      <c r="R328" t="s">
        <v>74</v>
      </c>
      <c r="S328" t="s">
        <v>74</v>
      </c>
      <c r="T328" t="s">
        <v>6476</v>
      </c>
      <c r="U328" t="s">
        <v>6477</v>
      </c>
      <c r="V328" t="s">
        <v>6478</v>
      </c>
      <c r="W328" t="s">
        <v>6479</v>
      </c>
      <c r="X328" t="s">
        <v>6480</v>
      </c>
      <c r="Y328" t="s">
        <v>6481</v>
      </c>
      <c r="Z328" t="s">
        <v>6482</v>
      </c>
      <c r="AA328" t="s">
        <v>74</v>
      </c>
      <c r="AB328" t="s">
        <v>74</v>
      </c>
      <c r="AC328" t="s">
        <v>2755</v>
      </c>
      <c r="AD328" t="s">
        <v>2755</v>
      </c>
      <c r="AE328" t="s">
        <v>2755</v>
      </c>
      <c r="AF328" t="s">
        <v>74</v>
      </c>
      <c r="AG328">
        <v>59</v>
      </c>
      <c r="AH328">
        <v>0</v>
      </c>
      <c r="AI328">
        <v>0</v>
      </c>
      <c r="AJ328">
        <v>0</v>
      </c>
      <c r="AK328">
        <v>0</v>
      </c>
      <c r="AL328" t="s">
        <v>443</v>
      </c>
      <c r="AM328" t="s">
        <v>245</v>
      </c>
      <c r="AN328" t="s">
        <v>444</v>
      </c>
      <c r="AO328" t="s">
        <v>74</v>
      </c>
      <c r="AP328" t="s">
        <v>6483</v>
      </c>
      <c r="AQ328" t="s">
        <v>74</v>
      </c>
      <c r="AR328" t="s">
        <v>6484</v>
      </c>
      <c r="AS328" t="s">
        <v>6485</v>
      </c>
      <c r="AT328" t="s">
        <v>6287</v>
      </c>
      <c r="AU328">
        <v>2023</v>
      </c>
      <c r="AV328">
        <v>22</v>
      </c>
      <c r="AW328">
        <v>1</v>
      </c>
      <c r="AX328" t="s">
        <v>74</v>
      </c>
      <c r="AY328" t="s">
        <v>74</v>
      </c>
      <c r="AZ328" t="s">
        <v>74</v>
      </c>
      <c r="BA328" t="s">
        <v>74</v>
      </c>
      <c r="BB328" t="s">
        <v>74</v>
      </c>
      <c r="BC328" t="s">
        <v>74</v>
      </c>
      <c r="BD328">
        <v>244</v>
      </c>
      <c r="BE328" t="s">
        <v>6486</v>
      </c>
      <c r="BF328" t="str">
        <f>HYPERLINK("http://dx.doi.org/10.1186/s12933-023-01973-7","http://dx.doi.org/10.1186/s12933-023-01973-7")</f>
        <v>http://dx.doi.org/10.1186/s12933-023-01973-7</v>
      </c>
      <c r="BG328" t="s">
        <v>74</v>
      </c>
      <c r="BH328" t="s">
        <v>74</v>
      </c>
      <c r="BI328">
        <v>16</v>
      </c>
      <c r="BJ328" t="s">
        <v>6487</v>
      </c>
      <c r="BK328" t="s">
        <v>126</v>
      </c>
      <c r="BL328" t="s">
        <v>6488</v>
      </c>
      <c r="BM328" t="s">
        <v>6489</v>
      </c>
      <c r="BN328">
        <v>37679763</v>
      </c>
      <c r="BO328" t="s">
        <v>74</v>
      </c>
      <c r="BP328" t="s">
        <v>74</v>
      </c>
      <c r="BQ328" t="s">
        <v>74</v>
      </c>
      <c r="BR328" t="s">
        <v>99</v>
      </c>
      <c r="BS328" t="s">
        <v>6490</v>
      </c>
      <c r="BT328" t="str">
        <f>HYPERLINK("https%3A%2F%2Fwww.webofscience.com%2Fwos%2Fwoscc%2Ffull-record%2FWOS:001064990700003","View Full Record in Web of Science")</f>
        <v>View Full Record in Web of Science</v>
      </c>
    </row>
    <row r="329" spans="1:72" x14ac:dyDescent="0.15">
      <c r="A329" t="s">
        <v>72</v>
      </c>
      <c r="B329" t="s">
        <v>6491</v>
      </c>
      <c r="C329" t="s">
        <v>74</v>
      </c>
      <c r="D329" t="s">
        <v>74</v>
      </c>
      <c r="E329" t="s">
        <v>74</v>
      </c>
      <c r="F329" t="s">
        <v>6492</v>
      </c>
      <c r="G329" t="s">
        <v>74</v>
      </c>
      <c r="H329" t="s">
        <v>74</v>
      </c>
      <c r="I329" t="s">
        <v>6493</v>
      </c>
      <c r="J329" t="s">
        <v>2339</v>
      </c>
      <c r="K329" t="s">
        <v>74</v>
      </c>
      <c r="L329" t="s">
        <v>74</v>
      </c>
      <c r="M329" t="s">
        <v>78</v>
      </c>
      <c r="N329" t="s">
        <v>1246</v>
      </c>
      <c r="O329" t="s">
        <v>74</v>
      </c>
      <c r="P329" t="s">
        <v>74</v>
      </c>
      <c r="Q329" t="s">
        <v>74</v>
      </c>
      <c r="R329" t="s">
        <v>74</v>
      </c>
      <c r="S329" t="s">
        <v>74</v>
      </c>
      <c r="T329" t="s">
        <v>6494</v>
      </c>
      <c r="U329" t="s">
        <v>6495</v>
      </c>
      <c r="V329" t="s">
        <v>6496</v>
      </c>
      <c r="W329" t="s">
        <v>6497</v>
      </c>
      <c r="X329" t="s">
        <v>6498</v>
      </c>
      <c r="Y329" t="s">
        <v>6499</v>
      </c>
      <c r="Z329" t="s">
        <v>6500</v>
      </c>
      <c r="AA329" t="s">
        <v>74</v>
      </c>
      <c r="AB329" t="s">
        <v>74</v>
      </c>
      <c r="AC329" t="s">
        <v>6501</v>
      </c>
      <c r="AD329" t="s">
        <v>6502</v>
      </c>
      <c r="AE329" t="s">
        <v>6503</v>
      </c>
      <c r="AF329" t="s">
        <v>74</v>
      </c>
      <c r="AG329">
        <v>49</v>
      </c>
      <c r="AH329">
        <v>0</v>
      </c>
      <c r="AI329">
        <v>0</v>
      </c>
      <c r="AJ329">
        <v>0</v>
      </c>
      <c r="AK329">
        <v>0</v>
      </c>
      <c r="AL329" t="s">
        <v>117</v>
      </c>
      <c r="AM329" t="s">
        <v>118</v>
      </c>
      <c r="AN329" t="s">
        <v>119</v>
      </c>
      <c r="AO329" t="s">
        <v>2349</v>
      </c>
      <c r="AP329" t="s">
        <v>2350</v>
      </c>
      <c r="AQ329" t="s">
        <v>74</v>
      </c>
      <c r="AR329" t="s">
        <v>2339</v>
      </c>
      <c r="AS329" t="s">
        <v>2351</v>
      </c>
      <c r="AT329" t="s">
        <v>6306</v>
      </c>
      <c r="AU329">
        <v>2023</v>
      </c>
      <c r="AV329" t="s">
        <v>74</v>
      </c>
      <c r="AW329" t="s">
        <v>74</v>
      </c>
      <c r="AX329" t="s">
        <v>74</v>
      </c>
      <c r="AY329" t="s">
        <v>74</v>
      </c>
      <c r="AZ329" t="s">
        <v>74</v>
      </c>
      <c r="BA329" t="s">
        <v>74</v>
      </c>
      <c r="BB329" t="s">
        <v>74</v>
      </c>
      <c r="BC329" t="s">
        <v>74</v>
      </c>
      <c r="BD329" t="s">
        <v>74</v>
      </c>
      <c r="BE329" t="s">
        <v>6504</v>
      </c>
      <c r="BF329" t="str">
        <f>HYPERLINK("http://dx.doi.org/10.1007/s00213-023-06455","http://dx.doi.org/10.1007/s00213-023-06455")</f>
        <v>http://dx.doi.org/10.1007/s00213-023-06455</v>
      </c>
      <c r="BG329" t="s">
        <v>74</v>
      </c>
      <c r="BH329" t="s">
        <v>2079</v>
      </c>
      <c r="BI329">
        <v>9</v>
      </c>
      <c r="BJ329" t="s">
        <v>2353</v>
      </c>
      <c r="BK329" t="s">
        <v>126</v>
      </c>
      <c r="BL329" t="s">
        <v>2354</v>
      </c>
      <c r="BM329" t="s">
        <v>6505</v>
      </c>
      <c r="BN329" t="s">
        <v>74</v>
      </c>
      <c r="BO329" t="s">
        <v>74</v>
      </c>
      <c r="BP329" t="s">
        <v>74</v>
      </c>
      <c r="BQ329" t="s">
        <v>74</v>
      </c>
      <c r="BR329" t="s">
        <v>99</v>
      </c>
      <c r="BS329" t="s">
        <v>6506</v>
      </c>
      <c r="BT329" t="str">
        <f>HYPERLINK("https%3A%2F%2Fwww.webofscience.com%2Fwos%2Fwoscc%2Ffull-record%2FWOS:001060736400001","View Full Record in Web of Science")</f>
        <v>View Full Record in Web of Science</v>
      </c>
    </row>
    <row r="330" spans="1:72" x14ac:dyDescent="0.15">
      <c r="A330" t="s">
        <v>72</v>
      </c>
      <c r="B330" t="s">
        <v>6507</v>
      </c>
      <c r="C330" t="s">
        <v>74</v>
      </c>
      <c r="D330" t="s">
        <v>74</v>
      </c>
      <c r="E330" t="s">
        <v>74</v>
      </c>
      <c r="F330" t="s">
        <v>6508</v>
      </c>
      <c r="G330" t="s">
        <v>74</v>
      </c>
      <c r="H330" t="s">
        <v>74</v>
      </c>
      <c r="I330" t="s">
        <v>6509</v>
      </c>
      <c r="J330" t="s">
        <v>6510</v>
      </c>
      <c r="K330" t="s">
        <v>74</v>
      </c>
      <c r="L330" t="s">
        <v>74</v>
      </c>
      <c r="M330" t="s">
        <v>78</v>
      </c>
      <c r="N330" t="s">
        <v>1246</v>
      </c>
      <c r="O330" t="s">
        <v>74</v>
      </c>
      <c r="P330" t="s">
        <v>74</v>
      </c>
      <c r="Q330" t="s">
        <v>74</v>
      </c>
      <c r="R330" t="s">
        <v>74</v>
      </c>
      <c r="S330" t="s">
        <v>74</v>
      </c>
      <c r="T330" t="s">
        <v>6511</v>
      </c>
      <c r="U330" t="s">
        <v>74</v>
      </c>
      <c r="V330" t="s">
        <v>6512</v>
      </c>
      <c r="W330" t="s">
        <v>6513</v>
      </c>
      <c r="X330" t="s">
        <v>6514</v>
      </c>
      <c r="Y330" t="s">
        <v>6515</v>
      </c>
      <c r="Z330" t="s">
        <v>6516</v>
      </c>
      <c r="AA330" t="s">
        <v>74</v>
      </c>
      <c r="AB330" t="s">
        <v>74</v>
      </c>
      <c r="AC330" t="s">
        <v>6517</v>
      </c>
      <c r="AD330" t="s">
        <v>6518</v>
      </c>
      <c r="AE330" t="s">
        <v>6519</v>
      </c>
      <c r="AF330" t="s">
        <v>74</v>
      </c>
      <c r="AG330">
        <v>38</v>
      </c>
      <c r="AH330">
        <v>0</v>
      </c>
      <c r="AI330">
        <v>0</v>
      </c>
      <c r="AJ330">
        <v>1</v>
      </c>
      <c r="AK330">
        <v>1</v>
      </c>
      <c r="AL330" t="s">
        <v>117</v>
      </c>
      <c r="AM330" t="s">
        <v>118</v>
      </c>
      <c r="AN330" t="s">
        <v>119</v>
      </c>
      <c r="AO330" t="s">
        <v>6520</v>
      </c>
      <c r="AP330" t="s">
        <v>6521</v>
      </c>
      <c r="AQ330" t="s">
        <v>74</v>
      </c>
      <c r="AR330" t="s">
        <v>6522</v>
      </c>
      <c r="AS330" t="s">
        <v>6523</v>
      </c>
      <c r="AT330" t="s">
        <v>6306</v>
      </c>
      <c r="AU330">
        <v>2023</v>
      </c>
      <c r="AV330" t="s">
        <v>74</v>
      </c>
      <c r="AW330" t="s">
        <v>74</v>
      </c>
      <c r="AX330" t="s">
        <v>74</v>
      </c>
      <c r="AY330" t="s">
        <v>74</v>
      </c>
      <c r="AZ330" t="s">
        <v>74</v>
      </c>
      <c r="BA330" t="s">
        <v>74</v>
      </c>
      <c r="BB330" t="s">
        <v>74</v>
      </c>
      <c r="BC330" t="s">
        <v>74</v>
      </c>
      <c r="BD330" t="s">
        <v>74</v>
      </c>
      <c r="BE330" t="s">
        <v>6524</v>
      </c>
      <c r="BF330" t="str">
        <f>HYPERLINK("http://dx.doi.org/10.1007/s00366-023-01871-2","http://dx.doi.org/10.1007/s00366-023-01871-2")</f>
        <v>http://dx.doi.org/10.1007/s00366-023-01871-2</v>
      </c>
      <c r="BG330" t="s">
        <v>74</v>
      </c>
      <c r="BH330" t="s">
        <v>2079</v>
      </c>
      <c r="BI330">
        <v>23</v>
      </c>
      <c r="BJ330" t="s">
        <v>6525</v>
      </c>
      <c r="BK330" t="s">
        <v>126</v>
      </c>
      <c r="BL330" t="s">
        <v>2493</v>
      </c>
      <c r="BM330" t="s">
        <v>6526</v>
      </c>
      <c r="BN330" t="s">
        <v>74</v>
      </c>
      <c r="BO330" t="s">
        <v>74</v>
      </c>
      <c r="BP330" t="s">
        <v>74</v>
      </c>
      <c r="BQ330" t="s">
        <v>74</v>
      </c>
      <c r="BR330" t="s">
        <v>99</v>
      </c>
      <c r="BS330" t="s">
        <v>6527</v>
      </c>
      <c r="BT330" t="str">
        <f>HYPERLINK("https%3A%2F%2Fwww.webofscience.com%2Fwos%2Fwoscc%2Ffull-record%2FWOS:001060253200001","View Full Record in Web of Science")</f>
        <v>View Full Record in Web of Science</v>
      </c>
    </row>
    <row r="331" spans="1:72" x14ac:dyDescent="0.15">
      <c r="A331" t="s">
        <v>72</v>
      </c>
      <c r="B331" t="s">
        <v>6528</v>
      </c>
      <c r="C331" t="s">
        <v>74</v>
      </c>
      <c r="D331" t="s">
        <v>74</v>
      </c>
      <c r="E331" t="s">
        <v>74</v>
      </c>
      <c r="F331" t="s">
        <v>6529</v>
      </c>
      <c r="G331" t="s">
        <v>74</v>
      </c>
      <c r="H331" t="s">
        <v>74</v>
      </c>
      <c r="I331" t="s">
        <v>6530</v>
      </c>
      <c r="J331" t="s">
        <v>6531</v>
      </c>
      <c r="K331" t="s">
        <v>74</v>
      </c>
      <c r="L331" t="s">
        <v>74</v>
      </c>
      <c r="M331" t="s">
        <v>78</v>
      </c>
      <c r="N331" t="s">
        <v>1246</v>
      </c>
      <c r="O331" t="s">
        <v>74</v>
      </c>
      <c r="P331" t="s">
        <v>74</v>
      </c>
      <c r="Q331" t="s">
        <v>74</v>
      </c>
      <c r="R331" t="s">
        <v>74</v>
      </c>
      <c r="S331" t="s">
        <v>74</v>
      </c>
      <c r="T331" t="s">
        <v>6532</v>
      </c>
      <c r="U331" t="s">
        <v>6533</v>
      </c>
      <c r="V331" t="s">
        <v>6534</v>
      </c>
      <c r="W331" t="s">
        <v>6535</v>
      </c>
      <c r="X331" t="s">
        <v>74</v>
      </c>
      <c r="Y331" t="s">
        <v>6536</v>
      </c>
      <c r="Z331" t="s">
        <v>6537</v>
      </c>
      <c r="AA331" t="s">
        <v>74</v>
      </c>
      <c r="AB331" t="s">
        <v>74</v>
      </c>
      <c r="AC331" t="s">
        <v>74</v>
      </c>
      <c r="AD331" t="s">
        <v>74</v>
      </c>
      <c r="AE331" t="s">
        <v>74</v>
      </c>
      <c r="AF331" t="s">
        <v>74</v>
      </c>
      <c r="AG331">
        <v>10</v>
      </c>
      <c r="AH331">
        <v>0</v>
      </c>
      <c r="AI331">
        <v>0</v>
      </c>
      <c r="AJ331">
        <v>0</v>
      </c>
      <c r="AK331">
        <v>0</v>
      </c>
      <c r="AL331" t="s">
        <v>146</v>
      </c>
      <c r="AM331" t="s">
        <v>147</v>
      </c>
      <c r="AN331" t="s">
        <v>148</v>
      </c>
      <c r="AO331" t="s">
        <v>6538</v>
      </c>
      <c r="AP331" t="s">
        <v>6539</v>
      </c>
      <c r="AQ331" t="s">
        <v>74</v>
      </c>
      <c r="AR331" t="s">
        <v>6540</v>
      </c>
      <c r="AS331" t="s">
        <v>6541</v>
      </c>
      <c r="AT331" t="s">
        <v>6306</v>
      </c>
      <c r="AU331">
        <v>2023</v>
      </c>
      <c r="AV331" t="s">
        <v>74</v>
      </c>
      <c r="AW331" t="s">
        <v>74</v>
      </c>
      <c r="AX331" t="s">
        <v>74</v>
      </c>
      <c r="AY331" t="s">
        <v>74</v>
      </c>
      <c r="AZ331" t="s">
        <v>74</v>
      </c>
      <c r="BA331" t="s">
        <v>74</v>
      </c>
      <c r="BB331" t="s">
        <v>74</v>
      </c>
      <c r="BC331" t="s">
        <v>74</v>
      </c>
      <c r="BD331" t="s">
        <v>74</v>
      </c>
      <c r="BE331" t="s">
        <v>6542</v>
      </c>
      <c r="BF331" t="str">
        <f>HYPERLINK("http://dx.doi.org/10.1007/s00701-023-05760","http://dx.doi.org/10.1007/s00701-023-05760")</f>
        <v>http://dx.doi.org/10.1007/s00701-023-05760</v>
      </c>
      <c r="BG331" t="s">
        <v>74</v>
      </c>
      <c r="BH331" t="s">
        <v>2079</v>
      </c>
      <c r="BI331">
        <v>5</v>
      </c>
      <c r="BJ331" t="s">
        <v>6543</v>
      </c>
      <c r="BK331" t="s">
        <v>126</v>
      </c>
      <c r="BL331" t="s">
        <v>6544</v>
      </c>
      <c r="BM331" t="s">
        <v>6545</v>
      </c>
      <c r="BN331" t="s">
        <v>74</v>
      </c>
      <c r="BO331" t="s">
        <v>74</v>
      </c>
      <c r="BP331" t="s">
        <v>74</v>
      </c>
      <c r="BQ331" t="s">
        <v>74</v>
      </c>
      <c r="BR331" t="s">
        <v>99</v>
      </c>
      <c r="BS331" t="s">
        <v>6546</v>
      </c>
      <c r="BT331" t="str">
        <f>HYPERLINK("https%3A%2F%2Fwww.webofscience.com%2Fwos%2Fwoscc%2Ffull-record%2FWOS:001060742400002","View Full Record in Web of Science")</f>
        <v>View Full Record in Web of Science</v>
      </c>
    </row>
    <row r="332" spans="1:72" x14ac:dyDescent="0.15">
      <c r="A332" t="s">
        <v>72</v>
      </c>
      <c r="B332" t="s">
        <v>6547</v>
      </c>
      <c r="C332" t="s">
        <v>74</v>
      </c>
      <c r="D332" t="s">
        <v>74</v>
      </c>
      <c r="E332" t="s">
        <v>74</v>
      </c>
      <c r="F332" t="s">
        <v>6548</v>
      </c>
      <c r="G332" t="s">
        <v>74</v>
      </c>
      <c r="H332" t="s">
        <v>74</v>
      </c>
      <c r="I332" t="s">
        <v>6549</v>
      </c>
      <c r="J332" t="s">
        <v>6550</v>
      </c>
      <c r="K332" t="s">
        <v>74</v>
      </c>
      <c r="L332" t="s">
        <v>74</v>
      </c>
      <c r="M332" t="s">
        <v>78</v>
      </c>
      <c r="N332" t="s">
        <v>1246</v>
      </c>
      <c r="O332" t="s">
        <v>74</v>
      </c>
      <c r="P332" t="s">
        <v>74</v>
      </c>
      <c r="Q332" t="s">
        <v>74</v>
      </c>
      <c r="R332" t="s">
        <v>74</v>
      </c>
      <c r="S332" t="s">
        <v>74</v>
      </c>
      <c r="T332" t="s">
        <v>6551</v>
      </c>
      <c r="U332" t="s">
        <v>6552</v>
      </c>
      <c r="V332" t="s">
        <v>6553</v>
      </c>
      <c r="W332" t="s">
        <v>6554</v>
      </c>
      <c r="X332" t="s">
        <v>6555</v>
      </c>
      <c r="Y332" t="s">
        <v>6556</v>
      </c>
      <c r="Z332" t="s">
        <v>6557</v>
      </c>
      <c r="AA332" t="s">
        <v>74</v>
      </c>
      <c r="AB332" t="s">
        <v>74</v>
      </c>
      <c r="AC332" t="s">
        <v>6558</v>
      </c>
      <c r="AD332" t="s">
        <v>6559</v>
      </c>
      <c r="AE332" t="s">
        <v>6560</v>
      </c>
      <c r="AF332" t="s">
        <v>74</v>
      </c>
      <c r="AG332">
        <v>67</v>
      </c>
      <c r="AH332">
        <v>0</v>
      </c>
      <c r="AI332">
        <v>0</v>
      </c>
      <c r="AJ332">
        <v>0</v>
      </c>
      <c r="AK332">
        <v>0</v>
      </c>
      <c r="AL332" t="s">
        <v>117</v>
      </c>
      <c r="AM332" t="s">
        <v>118</v>
      </c>
      <c r="AN332" t="s">
        <v>119</v>
      </c>
      <c r="AO332" t="s">
        <v>6561</v>
      </c>
      <c r="AP332" t="s">
        <v>6562</v>
      </c>
      <c r="AQ332" t="s">
        <v>74</v>
      </c>
      <c r="AR332" t="s">
        <v>6563</v>
      </c>
      <c r="AS332" t="s">
        <v>6564</v>
      </c>
      <c r="AT332" t="s">
        <v>6306</v>
      </c>
      <c r="AU332">
        <v>2023</v>
      </c>
      <c r="AV332" t="s">
        <v>74</v>
      </c>
      <c r="AW332" t="s">
        <v>74</v>
      </c>
      <c r="AX332" t="s">
        <v>74</v>
      </c>
      <c r="AY332" t="s">
        <v>74</v>
      </c>
      <c r="AZ332" t="s">
        <v>74</v>
      </c>
      <c r="BA332" t="s">
        <v>74</v>
      </c>
      <c r="BB332" t="s">
        <v>74</v>
      </c>
      <c r="BC332" t="s">
        <v>74</v>
      </c>
      <c r="BD332" t="s">
        <v>74</v>
      </c>
      <c r="BE332" t="s">
        <v>6565</v>
      </c>
      <c r="BF332" t="str">
        <f>HYPERLINK("http://dx.doi.org/10.1007/s00787-023-02289-3","http://dx.doi.org/10.1007/s00787-023-02289-3")</f>
        <v>http://dx.doi.org/10.1007/s00787-023-02289-3</v>
      </c>
      <c r="BG332" t="s">
        <v>74</v>
      </c>
      <c r="BH332" t="s">
        <v>2079</v>
      </c>
      <c r="BI332">
        <v>14</v>
      </c>
      <c r="BJ332" t="s">
        <v>6566</v>
      </c>
      <c r="BK332" t="s">
        <v>2431</v>
      </c>
      <c r="BL332" t="s">
        <v>6567</v>
      </c>
      <c r="BM332" t="s">
        <v>6568</v>
      </c>
      <c r="BN332">
        <v>37676493</v>
      </c>
      <c r="BO332" t="s">
        <v>183</v>
      </c>
      <c r="BP332" t="s">
        <v>74</v>
      </c>
      <c r="BQ332" t="s">
        <v>74</v>
      </c>
      <c r="BR332" t="s">
        <v>99</v>
      </c>
      <c r="BS332" t="s">
        <v>6569</v>
      </c>
      <c r="BT332" t="str">
        <f>HYPERLINK("https%3A%2F%2Fwww.webofscience.com%2Fwos%2Fwoscc%2Ffull-record%2FWOS:001060753800001","View Full Record in Web of Science")</f>
        <v>View Full Record in Web of Science</v>
      </c>
    </row>
    <row r="333" spans="1:72" x14ac:dyDescent="0.15">
      <c r="A333" t="s">
        <v>72</v>
      </c>
      <c r="B333" t="s">
        <v>6570</v>
      </c>
      <c r="C333" t="s">
        <v>74</v>
      </c>
      <c r="D333" t="s">
        <v>74</v>
      </c>
      <c r="E333" t="s">
        <v>74</v>
      </c>
      <c r="F333" t="s">
        <v>6571</v>
      </c>
      <c r="G333" t="s">
        <v>74</v>
      </c>
      <c r="H333" t="s">
        <v>74</v>
      </c>
      <c r="I333" t="s">
        <v>6572</v>
      </c>
      <c r="J333" t="s">
        <v>3509</v>
      </c>
      <c r="K333" t="s">
        <v>74</v>
      </c>
      <c r="L333" t="s">
        <v>74</v>
      </c>
      <c r="M333" t="s">
        <v>78</v>
      </c>
      <c r="N333" t="s">
        <v>2174</v>
      </c>
      <c r="O333" t="s">
        <v>74</v>
      </c>
      <c r="P333" t="s">
        <v>74</v>
      </c>
      <c r="Q333" t="s">
        <v>74</v>
      </c>
      <c r="R333" t="s">
        <v>74</v>
      </c>
      <c r="S333" t="s">
        <v>74</v>
      </c>
      <c r="T333" t="s">
        <v>6573</v>
      </c>
      <c r="U333" t="s">
        <v>6574</v>
      </c>
      <c r="V333" t="s">
        <v>6575</v>
      </c>
      <c r="W333" t="s">
        <v>6576</v>
      </c>
      <c r="X333" t="s">
        <v>6577</v>
      </c>
      <c r="Y333" t="s">
        <v>6578</v>
      </c>
      <c r="Z333" t="s">
        <v>6579</v>
      </c>
      <c r="AA333" t="s">
        <v>6580</v>
      </c>
      <c r="AB333" t="s">
        <v>6581</v>
      </c>
      <c r="AC333" t="s">
        <v>6582</v>
      </c>
      <c r="AD333" t="s">
        <v>6583</v>
      </c>
      <c r="AE333" t="s">
        <v>6584</v>
      </c>
      <c r="AF333" t="s">
        <v>74</v>
      </c>
      <c r="AG333">
        <v>70</v>
      </c>
      <c r="AH333">
        <v>0</v>
      </c>
      <c r="AI333">
        <v>0</v>
      </c>
      <c r="AJ333">
        <v>1</v>
      </c>
      <c r="AK333">
        <v>1</v>
      </c>
      <c r="AL333" t="s">
        <v>172</v>
      </c>
      <c r="AM333" t="s">
        <v>173</v>
      </c>
      <c r="AN333" t="s">
        <v>174</v>
      </c>
      <c r="AO333" t="s">
        <v>3519</v>
      </c>
      <c r="AP333" t="s">
        <v>3520</v>
      </c>
      <c r="AQ333" t="s">
        <v>74</v>
      </c>
      <c r="AR333" t="s">
        <v>3521</v>
      </c>
      <c r="AS333" t="s">
        <v>3522</v>
      </c>
      <c r="AT333" t="s">
        <v>6306</v>
      </c>
      <c r="AU333">
        <v>2023</v>
      </c>
      <c r="AV333" t="s">
        <v>74</v>
      </c>
      <c r="AW333" t="s">
        <v>74</v>
      </c>
      <c r="AX333" t="s">
        <v>74</v>
      </c>
      <c r="AY333" t="s">
        <v>74</v>
      </c>
      <c r="AZ333" t="s">
        <v>74</v>
      </c>
      <c r="BA333" t="s">
        <v>74</v>
      </c>
      <c r="BB333" t="s">
        <v>74</v>
      </c>
      <c r="BC333" t="s">
        <v>74</v>
      </c>
      <c r="BD333" t="s">
        <v>74</v>
      </c>
      <c r="BE333" t="s">
        <v>6585</v>
      </c>
      <c r="BF333" t="str">
        <f>HYPERLINK("http://dx.doi.org/10.1007/s43032-023-01339-0","http://dx.doi.org/10.1007/s43032-023-01339-0")</f>
        <v>http://dx.doi.org/10.1007/s43032-023-01339-0</v>
      </c>
      <c r="BG333" t="s">
        <v>74</v>
      </c>
      <c r="BH333" t="s">
        <v>2079</v>
      </c>
      <c r="BI333">
        <v>8</v>
      </c>
      <c r="BJ333" t="s">
        <v>3524</v>
      </c>
      <c r="BK333" t="s">
        <v>126</v>
      </c>
      <c r="BL333" t="s">
        <v>3524</v>
      </c>
      <c r="BM333" t="s">
        <v>6586</v>
      </c>
      <c r="BN333">
        <v>37679558</v>
      </c>
      <c r="BO333" t="s">
        <v>74</v>
      </c>
      <c r="BP333" t="s">
        <v>74</v>
      </c>
      <c r="BQ333" t="s">
        <v>74</v>
      </c>
      <c r="BR333" t="s">
        <v>99</v>
      </c>
      <c r="BS333" t="s">
        <v>6587</v>
      </c>
      <c r="BT333" t="str">
        <f>HYPERLINK("https%3A%2F%2Fwww.webofscience.com%2Fwos%2Fwoscc%2Ffull-record%2FWOS:001060741600003","View Full Record in Web of Science")</f>
        <v>View Full Record in Web of Science</v>
      </c>
    </row>
    <row r="334" spans="1:72" x14ac:dyDescent="0.15">
      <c r="A334" t="s">
        <v>72</v>
      </c>
      <c r="B334" t="s">
        <v>6588</v>
      </c>
      <c r="C334" t="s">
        <v>74</v>
      </c>
      <c r="D334" t="s">
        <v>74</v>
      </c>
      <c r="E334" t="s">
        <v>74</v>
      </c>
      <c r="F334" t="s">
        <v>6589</v>
      </c>
      <c r="G334" t="s">
        <v>74</v>
      </c>
      <c r="H334" t="s">
        <v>74</v>
      </c>
      <c r="I334" t="s">
        <v>6590</v>
      </c>
      <c r="J334" t="s">
        <v>6591</v>
      </c>
      <c r="K334" t="s">
        <v>74</v>
      </c>
      <c r="L334" t="s">
        <v>74</v>
      </c>
      <c r="M334" t="s">
        <v>78</v>
      </c>
      <c r="N334" t="s">
        <v>79</v>
      </c>
      <c r="O334" t="s">
        <v>74</v>
      </c>
      <c r="P334" t="s">
        <v>74</v>
      </c>
      <c r="Q334" t="s">
        <v>74</v>
      </c>
      <c r="R334" t="s">
        <v>74</v>
      </c>
      <c r="S334" t="s">
        <v>74</v>
      </c>
      <c r="T334" t="s">
        <v>6592</v>
      </c>
      <c r="U334" t="s">
        <v>6593</v>
      </c>
      <c r="V334" t="s">
        <v>6594</v>
      </c>
      <c r="W334" t="s">
        <v>6595</v>
      </c>
      <c r="X334" t="s">
        <v>6596</v>
      </c>
      <c r="Y334" t="s">
        <v>6597</v>
      </c>
      <c r="Z334" t="s">
        <v>6598</v>
      </c>
      <c r="AA334" t="s">
        <v>74</v>
      </c>
      <c r="AB334" t="s">
        <v>74</v>
      </c>
      <c r="AC334" t="s">
        <v>6599</v>
      </c>
      <c r="AD334" t="s">
        <v>6599</v>
      </c>
      <c r="AE334" t="s">
        <v>6600</v>
      </c>
      <c r="AF334" t="s">
        <v>74</v>
      </c>
      <c r="AG334">
        <v>74</v>
      </c>
      <c r="AH334">
        <v>0</v>
      </c>
      <c r="AI334">
        <v>0</v>
      </c>
      <c r="AJ334">
        <v>0</v>
      </c>
      <c r="AK334">
        <v>0</v>
      </c>
      <c r="AL334" t="s">
        <v>117</v>
      </c>
      <c r="AM334" t="s">
        <v>118</v>
      </c>
      <c r="AN334" t="s">
        <v>119</v>
      </c>
      <c r="AO334" t="s">
        <v>6601</v>
      </c>
      <c r="AP334" t="s">
        <v>6602</v>
      </c>
      <c r="AQ334" t="s">
        <v>74</v>
      </c>
      <c r="AR334" t="s">
        <v>6603</v>
      </c>
      <c r="AS334" t="s">
        <v>6604</v>
      </c>
      <c r="AT334" t="s">
        <v>6287</v>
      </c>
      <c r="AU334">
        <v>2023</v>
      </c>
      <c r="AV334">
        <v>15</v>
      </c>
      <c r="AW334">
        <v>1</v>
      </c>
      <c r="AX334" t="s">
        <v>74</v>
      </c>
      <c r="AY334" t="s">
        <v>74</v>
      </c>
      <c r="AZ334" t="s">
        <v>74</v>
      </c>
      <c r="BA334" t="s">
        <v>74</v>
      </c>
      <c r="BB334" t="s">
        <v>74</v>
      </c>
      <c r="BC334" t="s">
        <v>74</v>
      </c>
      <c r="BD334">
        <v>30</v>
      </c>
      <c r="BE334" t="s">
        <v>6605</v>
      </c>
      <c r="BF334" t="str">
        <f>HYPERLINK("http://dx.doi.org/10.1186/s12544-023-00600-6","http://dx.doi.org/10.1186/s12544-023-00600-6")</f>
        <v>http://dx.doi.org/10.1186/s12544-023-00600-6</v>
      </c>
      <c r="BG334" t="s">
        <v>74</v>
      </c>
      <c r="BH334" t="s">
        <v>74</v>
      </c>
      <c r="BI334">
        <v>20</v>
      </c>
      <c r="BJ334" t="s">
        <v>6606</v>
      </c>
      <c r="BK334" t="s">
        <v>2431</v>
      </c>
      <c r="BL334" t="s">
        <v>6607</v>
      </c>
      <c r="BM334" t="s">
        <v>6608</v>
      </c>
      <c r="BN334" t="s">
        <v>74</v>
      </c>
      <c r="BO334" t="s">
        <v>302</v>
      </c>
      <c r="BP334" t="s">
        <v>74</v>
      </c>
      <c r="BQ334" t="s">
        <v>74</v>
      </c>
      <c r="BR334" t="s">
        <v>99</v>
      </c>
      <c r="BS334" t="s">
        <v>6609</v>
      </c>
      <c r="BT334" t="str">
        <f>HYPERLINK("https%3A%2F%2Fwww.webofscience.com%2Fwos%2Fwoscc%2Ffull-record%2FWOS:001060347300001","View Full Record in Web of Science")</f>
        <v>View Full Record in Web of Science</v>
      </c>
    </row>
    <row r="335" spans="1:72" x14ac:dyDescent="0.15">
      <c r="A335" t="s">
        <v>72</v>
      </c>
      <c r="B335" t="s">
        <v>6610</v>
      </c>
      <c r="C335" t="s">
        <v>74</v>
      </c>
      <c r="D335" t="s">
        <v>74</v>
      </c>
      <c r="E335" t="s">
        <v>74</v>
      </c>
      <c r="F335" t="s">
        <v>6611</v>
      </c>
      <c r="G335" t="s">
        <v>74</v>
      </c>
      <c r="H335" t="s">
        <v>74</v>
      </c>
      <c r="I335" t="s">
        <v>6612</v>
      </c>
      <c r="J335" t="s">
        <v>4227</v>
      </c>
      <c r="K335" t="s">
        <v>74</v>
      </c>
      <c r="L335" t="s">
        <v>74</v>
      </c>
      <c r="M335" t="s">
        <v>78</v>
      </c>
      <c r="N335" t="s">
        <v>1246</v>
      </c>
      <c r="O335" t="s">
        <v>74</v>
      </c>
      <c r="P335" t="s">
        <v>74</v>
      </c>
      <c r="Q335" t="s">
        <v>74</v>
      </c>
      <c r="R335" t="s">
        <v>74</v>
      </c>
      <c r="S335" t="s">
        <v>74</v>
      </c>
      <c r="T335" t="s">
        <v>6613</v>
      </c>
      <c r="U335" t="s">
        <v>6614</v>
      </c>
      <c r="V335" t="s">
        <v>6615</v>
      </c>
      <c r="W335" t="s">
        <v>6616</v>
      </c>
      <c r="X335" t="s">
        <v>6617</v>
      </c>
      <c r="Y335" t="s">
        <v>6618</v>
      </c>
      <c r="Z335" t="s">
        <v>6619</v>
      </c>
      <c r="AA335" t="s">
        <v>74</v>
      </c>
      <c r="AB335" t="s">
        <v>74</v>
      </c>
      <c r="AC335" t="s">
        <v>6620</v>
      </c>
      <c r="AD335" t="s">
        <v>6621</v>
      </c>
      <c r="AE335" t="s">
        <v>6622</v>
      </c>
      <c r="AF335" t="s">
        <v>74</v>
      </c>
      <c r="AG335">
        <v>51</v>
      </c>
      <c r="AH335">
        <v>0</v>
      </c>
      <c r="AI335">
        <v>0</v>
      </c>
      <c r="AJ335">
        <v>1</v>
      </c>
      <c r="AK335">
        <v>1</v>
      </c>
      <c r="AL335" t="s">
        <v>117</v>
      </c>
      <c r="AM335" t="s">
        <v>627</v>
      </c>
      <c r="AN335" t="s">
        <v>628</v>
      </c>
      <c r="AO335" t="s">
        <v>4238</v>
      </c>
      <c r="AP335" t="s">
        <v>4239</v>
      </c>
      <c r="AQ335" t="s">
        <v>74</v>
      </c>
      <c r="AR335" t="s">
        <v>4240</v>
      </c>
      <c r="AS335" t="s">
        <v>4241</v>
      </c>
      <c r="AT335" t="s">
        <v>6306</v>
      </c>
      <c r="AU335">
        <v>2023</v>
      </c>
      <c r="AV335" t="s">
        <v>74</v>
      </c>
      <c r="AW335" t="s">
        <v>74</v>
      </c>
      <c r="AX335" t="s">
        <v>74</v>
      </c>
      <c r="AY335" t="s">
        <v>74</v>
      </c>
      <c r="AZ335" t="s">
        <v>74</v>
      </c>
      <c r="BA335" t="s">
        <v>74</v>
      </c>
      <c r="BB335" t="s">
        <v>74</v>
      </c>
      <c r="BC335" t="s">
        <v>74</v>
      </c>
      <c r="BD335" t="s">
        <v>74</v>
      </c>
      <c r="BE335" t="s">
        <v>6623</v>
      </c>
      <c r="BF335" t="str">
        <f>HYPERLINK("http://dx.doi.org/10.1007/s12649-023-02261","http://dx.doi.org/10.1007/s12649-023-02261")</f>
        <v>http://dx.doi.org/10.1007/s12649-023-02261</v>
      </c>
      <c r="BG335" t="s">
        <v>74</v>
      </c>
      <c r="BH335" t="s">
        <v>2079</v>
      </c>
      <c r="BI335">
        <v>12</v>
      </c>
      <c r="BJ335" t="s">
        <v>1346</v>
      </c>
      <c r="BK335" t="s">
        <v>126</v>
      </c>
      <c r="BL335" t="s">
        <v>1347</v>
      </c>
      <c r="BM335" t="s">
        <v>6624</v>
      </c>
      <c r="BN335" t="s">
        <v>74</v>
      </c>
      <c r="BO335" t="s">
        <v>74</v>
      </c>
      <c r="BP335" t="s">
        <v>74</v>
      </c>
      <c r="BQ335" t="s">
        <v>74</v>
      </c>
      <c r="BR335" t="s">
        <v>99</v>
      </c>
      <c r="BS335" t="s">
        <v>6625</v>
      </c>
      <c r="BT335" t="str">
        <f>HYPERLINK("https%3A%2F%2Fwww.webofscience.com%2Fwos%2Fwoscc%2Ffull-record%2FWOS:001063946100001","View Full Record in Web of Science")</f>
        <v>View Full Record in Web of Science</v>
      </c>
    </row>
    <row r="336" spans="1:72" x14ac:dyDescent="0.15">
      <c r="A336" t="s">
        <v>72</v>
      </c>
      <c r="B336" t="s">
        <v>6626</v>
      </c>
      <c r="C336" t="s">
        <v>74</v>
      </c>
      <c r="D336" t="s">
        <v>74</v>
      </c>
      <c r="E336" t="s">
        <v>74</v>
      </c>
      <c r="F336" t="s">
        <v>6627</v>
      </c>
      <c r="G336" t="s">
        <v>74</v>
      </c>
      <c r="H336" t="s">
        <v>74</v>
      </c>
      <c r="I336" t="s">
        <v>6628</v>
      </c>
      <c r="J336" t="s">
        <v>6629</v>
      </c>
      <c r="K336" t="s">
        <v>74</v>
      </c>
      <c r="L336" t="s">
        <v>74</v>
      </c>
      <c r="M336" t="s">
        <v>78</v>
      </c>
      <c r="N336" t="s">
        <v>1246</v>
      </c>
      <c r="O336" t="s">
        <v>74</v>
      </c>
      <c r="P336" t="s">
        <v>74</v>
      </c>
      <c r="Q336" t="s">
        <v>74</v>
      </c>
      <c r="R336" t="s">
        <v>74</v>
      </c>
      <c r="S336" t="s">
        <v>74</v>
      </c>
      <c r="T336" t="s">
        <v>6630</v>
      </c>
      <c r="U336" t="s">
        <v>6631</v>
      </c>
      <c r="V336" t="s">
        <v>6632</v>
      </c>
      <c r="W336" t="s">
        <v>6633</v>
      </c>
      <c r="X336" t="s">
        <v>6634</v>
      </c>
      <c r="Y336" t="s">
        <v>6635</v>
      </c>
      <c r="Z336" t="s">
        <v>6636</v>
      </c>
      <c r="AA336" t="s">
        <v>74</v>
      </c>
      <c r="AB336" t="s">
        <v>74</v>
      </c>
      <c r="AC336" t="s">
        <v>74</v>
      </c>
      <c r="AD336" t="s">
        <v>74</v>
      </c>
      <c r="AE336" t="s">
        <v>74</v>
      </c>
      <c r="AF336" t="s">
        <v>74</v>
      </c>
      <c r="AG336">
        <v>34</v>
      </c>
      <c r="AH336">
        <v>0</v>
      </c>
      <c r="AI336">
        <v>0</v>
      </c>
      <c r="AJ336">
        <v>1</v>
      </c>
      <c r="AK336">
        <v>1</v>
      </c>
      <c r="AL336" t="s">
        <v>172</v>
      </c>
      <c r="AM336" t="s">
        <v>173</v>
      </c>
      <c r="AN336" t="s">
        <v>174</v>
      </c>
      <c r="AO336" t="s">
        <v>6637</v>
      </c>
      <c r="AP336" t="s">
        <v>6638</v>
      </c>
      <c r="AQ336" t="s">
        <v>74</v>
      </c>
      <c r="AR336" t="s">
        <v>6639</v>
      </c>
      <c r="AS336" t="s">
        <v>6640</v>
      </c>
      <c r="AT336" t="s">
        <v>6306</v>
      </c>
      <c r="AU336">
        <v>2023</v>
      </c>
      <c r="AV336" t="s">
        <v>74</v>
      </c>
      <c r="AW336" t="s">
        <v>74</v>
      </c>
      <c r="AX336" t="s">
        <v>74</v>
      </c>
      <c r="AY336" t="s">
        <v>74</v>
      </c>
      <c r="AZ336" t="s">
        <v>74</v>
      </c>
      <c r="BA336" t="s">
        <v>74</v>
      </c>
      <c r="BB336" t="s">
        <v>74</v>
      </c>
      <c r="BC336" t="s">
        <v>74</v>
      </c>
      <c r="BD336" t="s">
        <v>74</v>
      </c>
      <c r="BE336" t="s">
        <v>6641</v>
      </c>
      <c r="BF336" t="str">
        <f>HYPERLINK("http://dx.doi.org/10.1007/s00180-023-01397-7","http://dx.doi.org/10.1007/s00180-023-01397-7")</f>
        <v>http://dx.doi.org/10.1007/s00180-023-01397-7</v>
      </c>
      <c r="BG336" t="s">
        <v>74</v>
      </c>
      <c r="BH336" t="s">
        <v>2079</v>
      </c>
      <c r="BI336">
        <v>14</v>
      </c>
      <c r="BJ336" t="s">
        <v>4945</v>
      </c>
      <c r="BK336" t="s">
        <v>126</v>
      </c>
      <c r="BL336" t="s">
        <v>228</v>
      </c>
      <c r="BM336" t="s">
        <v>6642</v>
      </c>
      <c r="BN336" t="s">
        <v>74</v>
      </c>
      <c r="BO336" t="s">
        <v>74</v>
      </c>
      <c r="BP336" t="s">
        <v>74</v>
      </c>
      <c r="BQ336" t="s">
        <v>74</v>
      </c>
      <c r="BR336" t="s">
        <v>99</v>
      </c>
      <c r="BS336" t="s">
        <v>6643</v>
      </c>
      <c r="BT336" t="str">
        <f>HYPERLINK("https%3A%2F%2Fwww.webofscience.com%2Fwos%2Fwoscc%2Ffull-record%2FWOS:001060722600002","View Full Record in Web of Science")</f>
        <v>View Full Record in Web of Science</v>
      </c>
    </row>
    <row r="337" spans="1:72" x14ac:dyDescent="0.15">
      <c r="A337" t="s">
        <v>72</v>
      </c>
      <c r="B337" t="s">
        <v>6644</v>
      </c>
      <c r="C337" t="s">
        <v>74</v>
      </c>
      <c r="D337" t="s">
        <v>74</v>
      </c>
      <c r="E337" t="s">
        <v>74</v>
      </c>
      <c r="F337" t="s">
        <v>6645</v>
      </c>
      <c r="G337" t="s">
        <v>74</v>
      </c>
      <c r="H337" t="s">
        <v>74</v>
      </c>
      <c r="I337" t="s">
        <v>6646</v>
      </c>
      <c r="J337" t="s">
        <v>6647</v>
      </c>
      <c r="K337" t="s">
        <v>74</v>
      </c>
      <c r="L337" t="s">
        <v>74</v>
      </c>
      <c r="M337" t="s">
        <v>78</v>
      </c>
      <c r="N337" t="s">
        <v>1246</v>
      </c>
      <c r="O337" t="s">
        <v>74</v>
      </c>
      <c r="P337" t="s">
        <v>74</v>
      </c>
      <c r="Q337" t="s">
        <v>74</v>
      </c>
      <c r="R337" t="s">
        <v>74</v>
      </c>
      <c r="S337" t="s">
        <v>74</v>
      </c>
      <c r="T337" t="s">
        <v>6648</v>
      </c>
      <c r="U337" t="s">
        <v>6649</v>
      </c>
      <c r="V337" t="s">
        <v>6650</v>
      </c>
      <c r="W337" t="s">
        <v>6651</v>
      </c>
      <c r="X337" t="s">
        <v>6652</v>
      </c>
      <c r="Y337" t="s">
        <v>6653</v>
      </c>
      <c r="Z337" t="s">
        <v>6654</v>
      </c>
      <c r="AA337" t="s">
        <v>74</v>
      </c>
      <c r="AB337" t="s">
        <v>6655</v>
      </c>
      <c r="AC337" t="s">
        <v>6656</v>
      </c>
      <c r="AD337" t="s">
        <v>6657</v>
      </c>
      <c r="AE337" t="s">
        <v>6658</v>
      </c>
      <c r="AF337" t="s">
        <v>74</v>
      </c>
      <c r="AG337">
        <v>40</v>
      </c>
      <c r="AH337">
        <v>0</v>
      </c>
      <c r="AI337">
        <v>0</v>
      </c>
      <c r="AJ337">
        <v>1</v>
      </c>
      <c r="AK337">
        <v>1</v>
      </c>
      <c r="AL337" t="s">
        <v>117</v>
      </c>
      <c r="AM337" t="s">
        <v>118</v>
      </c>
      <c r="AN337" t="s">
        <v>119</v>
      </c>
      <c r="AO337" t="s">
        <v>6659</v>
      </c>
      <c r="AP337" t="s">
        <v>6660</v>
      </c>
      <c r="AQ337" t="s">
        <v>74</v>
      </c>
      <c r="AR337" t="s">
        <v>6661</v>
      </c>
      <c r="AS337" t="s">
        <v>6662</v>
      </c>
      <c r="AT337" t="s">
        <v>6306</v>
      </c>
      <c r="AU337">
        <v>2023</v>
      </c>
      <c r="AV337" t="s">
        <v>74</v>
      </c>
      <c r="AW337" t="s">
        <v>74</v>
      </c>
      <c r="AX337" t="s">
        <v>74</v>
      </c>
      <c r="AY337" t="s">
        <v>74</v>
      </c>
      <c r="AZ337" t="s">
        <v>74</v>
      </c>
      <c r="BA337" t="s">
        <v>74</v>
      </c>
      <c r="BB337" t="s">
        <v>74</v>
      </c>
      <c r="BC337" t="s">
        <v>74</v>
      </c>
      <c r="BD337" t="s">
        <v>74</v>
      </c>
      <c r="BE337" t="s">
        <v>6663</v>
      </c>
      <c r="BF337" t="str">
        <f>HYPERLINK("http://dx.doi.org/10.1007/s10639-023-12132-6","http://dx.doi.org/10.1007/s10639-023-12132-6")</f>
        <v>http://dx.doi.org/10.1007/s10639-023-12132-6</v>
      </c>
      <c r="BG337" t="s">
        <v>74</v>
      </c>
      <c r="BH337" t="s">
        <v>2079</v>
      </c>
      <c r="BI337">
        <v>41</v>
      </c>
      <c r="BJ337" t="s">
        <v>3226</v>
      </c>
      <c r="BK337" t="s">
        <v>425</v>
      </c>
      <c r="BL337" t="s">
        <v>3226</v>
      </c>
      <c r="BM337" t="s">
        <v>6664</v>
      </c>
      <c r="BN337" t="s">
        <v>74</v>
      </c>
      <c r="BO337" t="s">
        <v>183</v>
      </c>
      <c r="BP337" t="s">
        <v>74</v>
      </c>
      <c r="BQ337" t="s">
        <v>74</v>
      </c>
      <c r="BR337" t="s">
        <v>99</v>
      </c>
      <c r="BS337" t="s">
        <v>6665</v>
      </c>
      <c r="BT337" t="str">
        <f>HYPERLINK("https%3A%2F%2Fwww.webofscience.com%2Fwos%2Fwoscc%2Ffull-record%2FWOS:001060722700001","View Full Record in Web of Science")</f>
        <v>View Full Record in Web of Science</v>
      </c>
    </row>
    <row r="338" spans="1:72" x14ac:dyDescent="0.15">
      <c r="A338" t="s">
        <v>72</v>
      </c>
      <c r="B338" t="s">
        <v>6666</v>
      </c>
      <c r="C338" t="s">
        <v>74</v>
      </c>
      <c r="D338" t="s">
        <v>74</v>
      </c>
      <c r="E338" t="s">
        <v>74</v>
      </c>
      <c r="F338" t="s">
        <v>6667</v>
      </c>
      <c r="G338" t="s">
        <v>74</v>
      </c>
      <c r="H338" t="s">
        <v>74</v>
      </c>
      <c r="I338" t="s">
        <v>6668</v>
      </c>
      <c r="J338" t="s">
        <v>2913</v>
      </c>
      <c r="K338" t="s">
        <v>74</v>
      </c>
      <c r="L338" t="s">
        <v>74</v>
      </c>
      <c r="M338" t="s">
        <v>78</v>
      </c>
      <c r="N338" t="s">
        <v>1246</v>
      </c>
      <c r="O338" t="s">
        <v>74</v>
      </c>
      <c r="P338" t="s">
        <v>74</v>
      </c>
      <c r="Q338" t="s">
        <v>74</v>
      </c>
      <c r="R338" t="s">
        <v>74</v>
      </c>
      <c r="S338" t="s">
        <v>74</v>
      </c>
      <c r="T338" t="s">
        <v>6669</v>
      </c>
      <c r="U338" t="s">
        <v>6670</v>
      </c>
      <c r="V338" t="s">
        <v>6671</v>
      </c>
      <c r="W338" t="s">
        <v>6672</v>
      </c>
      <c r="X338" t="s">
        <v>74</v>
      </c>
      <c r="Y338" t="s">
        <v>6673</v>
      </c>
      <c r="Z338" t="s">
        <v>6674</v>
      </c>
      <c r="AA338" t="s">
        <v>74</v>
      </c>
      <c r="AB338" t="s">
        <v>74</v>
      </c>
      <c r="AC338" t="s">
        <v>74</v>
      </c>
      <c r="AD338" t="s">
        <v>74</v>
      </c>
      <c r="AE338" t="s">
        <v>74</v>
      </c>
      <c r="AF338" t="s">
        <v>74</v>
      </c>
      <c r="AG338">
        <v>55</v>
      </c>
      <c r="AH338">
        <v>0</v>
      </c>
      <c r="AI338">
        <v>0</v>
      </c>
      <c r="AJ338">
        <v>0</v>
      </c>
      <c r="AK338">
        <v>0</v>
      </c>
      <c r="AL338" t="s">
        <v>117</v>
      </c>
      <c r="AM338" t="s">
        <v>627</v>
      </c>
      <c r="AN338" t="s">
        <v>628</v>
      </c>
      <c r="AO338" t="s">
        <v>2921</v>
      </c>
      <c r="AP338" t="s">
        <v>2922</v>
      </c>
      <c r="AQ338" t="s">
        <v>74</v>
      </c>
      <c r="AR338" t="s">
        <v>2923</v>
      </c>
      <c r="AS338" t="s">
        <v>2924</v>
      </c>
      <c r="AT338" t="s">
        <v>6306</v>
      </c>
      <c r="AU338">
        <v>2023</v>
      </c>
      <c r="AV338" t="s">
        <v>74</v>
      </c>
      <c r="AW338" t="s">
        <v>74</v>
      </c>
      <c r="AX338" t="s">
        <v>74</v>
      </c>
      <c r="AY338" t="s">
        <v>74</v>
      </c>
      <c r="AZ338" t="s">
        <v>74</v>
      </c>
      <c r="BA338" t="s">
        <v>74</v>
      </c>
      <c r="BB338" t="s">
        <v>74</v>
      </c>
      <c r="BC338" t="s">
        <v>74</v>
      </c>
      <c r="BD338" t="s">
        <v>74</v>
      </c>
      <c r="BE338" t="s">
        <v>6675</v>
      </c>
      <c r="BF338" t="str">
        <f>HYPERLINK("http://dx.doi.org/10.1007/s11042-023-16683-1","http://dx.doi.org/10.1007/s11042-023-16683-1")</f>
        <v>http://dx.doi.org/10.1007/s11042-023-16683-1</v>
      </c>
      <c r="BG338" t="s">
        <v>74</v>
      </c>
      <c r="BH338" t="s">
        <v>2079</v>
      </c>
      <c r="BI338">
        <v>20</v>
      </c>
      <c r="BJ338" t="s">
        <v>2926</v>
      </c>
      <c r="BK338" t="s">
        <v>126</v>
      </c>
      <c r="BL338" t="s">
        <v>2493</v>
      </c>
      <c r="BM338" t="s">
        <v>6676</v>
      </c>
      <c r="BN338" t="s">
        <v>74</v>
      </c>
      <c r="BO338" t="s">
        <v>74</v>
      </c>
      <c r="BP338" t="s">
        <v>74</v>
      </c>
      <c r="BQ338" t="s">
        <v>74</v>
      </c>
      <c r="BR338" t="s">
        <v>99</v>
      </c>
      <c r="BS338" t="s">
        <v>6677</v>
      </c>
      <c r="BT338" t="str">
        <f>HYPERLINK("https%3A%2F%2Fwww.webofscience.com%2Fwos%2Fwoscc%2Ffull-record%2FWOS:001060763900002","View Full Record in Web of Science")</f>
        <v>View Full Record in Web of Science</v>
      </c>
    </row>
    <row r="339" spans="1:72" x14ac:dyDescent="0.15">
      <c r="A339" t="s">
        <v>72</v>
      </c>
      <c r="B339" t="s">
        <v>6678</v>
      </c>
      <c r="C339" t="s">
        <v>74</v>
      </c>
      <c r="D339" t="s">
        <v>74</v>
      </c>
      <c r="E339" t="s">
        <v>74</v>
      </c>
      <c r="F339" t="s">
        <v>6679</v>
      </c>
      <c r="G339" t="s">
        <v>74</v>
      </c>
      <c r="H339" t="s">
        <v>74</v>
      </c>
      <c r="I339" t="s">
        <v>6680</v>
      </c>
      <c r="J339" t="s">
        <v>6681</v>
      </c>
      <c r="K339" t="s">
        <v>74</v>
      </c>
      <c r="L339" t="s">
        <v>74</v>
      </c>
      <c r="M339" t="s">
        <v>78</v>
      </c>
      <c r="N339" t="s">
        <v>79</v>
      </c>
      <c r="O339" t="s">
        <v>74</v>
      </c>
      <c r="P339" t="s">
        <v>74</v>
      </c>
      <c r="Q339" t="s">
        <v>74</v>
      </c>
      <c r="R339" t="s">
        <v>74</v>
      </c>
      <c r="S339" t="s">
        <v>74</v>
      </c>
      <c r="T339" t="s">
        <v>6682</v>
      </c>
      <c r="U339" t="s">
        <v>6683</v>
      </c>
      <c r="V339" t="s">
        <v>6684</v>
      </c>
      <c r="W339" t="s">
        <v>6685</v>
      </c>
      <c r="X339" t="s">
        <v>6686</v>
      </c>
      <c r="Y339" t="s">
        <v>6687</v>
      </c>
      <c r="Z339" t="s">
        <v>6688</v>
      </c>
      <c r="AA339" t="s">
        <v>74</v>
      </c>
      <c r="AB339" t="s">
        <v>6689</v>
      </c>
      <c r="AC339" t="s">
        <v>6690</v>
      </c>
      <c r="AD339" t="s">
        <v>6690</v>
      </c>
      <c r="AE339" t="s">
        <v>6690</v>
      </c>
      <c r="AF339" t="s">
        <v>74</v>
      </c>
      <c r="AG339">
        <v>66</v>
      </c>
      <c r="AH339">
        <v>0</v>
      </c>
      <c r="AI339">
        <v>0</v>
      </c>
      <c r="AJ339">
        <v>0</v>
      </c>
      <c r="AK339">
        <v>0</v>
      </c>
      <c r="AL339" t="s">
        <v>443</v>
      </c>
      <c r="AM339" t="s">
        <v>245</v>
      </c>
      <c r="AN339" t="s">
        <v>444</v>
      </c>
      <c r="AO339" t="s">
        <v>74</v>
      </c>
      <c r="AP339" t="s">
        <v>6691</v>
      </c>
      <c r="AQ339" t="s">
        <v>74</v>
      </c>
      <c r="AR339" t="s">
        <v>6692</v>
      </c>
      <c r="AS339" t="s">
        <v>6693</v>
      </c>
      <c r="AT339" t="s">
        <v>6287</v>
      </c>
      <c r="AU339">
        <v>2023</v>
      </c>
      <c r="AV339">
        <v>14</v>
      </c>
      <c r="AW339">
        <v>1</v>
      </c>
      <c r="AX339" t="s">
        <v>74</v>
      </c>
      <c r="AY339" t="s">
        <v>74</v>
      </c>
      <c r="AZ339" t="s">
        <v>74</v>
      </c>
      <c r="BA339" t="s">
        <v>74</v>
      </c>
      <c r="BB339" t="s">
        <v>74</v>
      </c>
      <c r="BC339" t="s">
        <v>74</v>
      </c>
      <c r="BD339">
        <v>240</v>
      </c>
      <c r="BE339" t="s">
        <v>6694</v>
      </c>
      <c r="BF339" t="str">
        <f>HYPERLINK("http://dx.doi.org/10.1186/s13287-023-03468-4","http://dx.doi.org/10.1186/s13287-023-03468-4")</f>
        <v>http://dx.doi.org/10.1186/s13287-023-03468-4</v>
      </c>
      <c r="BG339" t="s">
        <v>74</v>
      </c>
      <c r="BH339" t="s">
        <v>74</v>
      </c>
      <c r="BI339">
        <v>20</v>
      </c>
      <c r="BJ339" t="s">
        <v>6695</v>
      </c>
      <c r="BK339" t="s">
        <v>126</v>
      </c>
      <c r="BL339" t="s">
        <v>6696</v>
      </c>
      <c r="BM339" t="s">
        <v>6697</v>
      </c>
      <c r="BN339">
        <v>37679796</v>
      </c>
      <c r="BO339" t="s">
        <v>74</v>
      </c>
      <c r="BP339" t="s">
        <v>74</v>
      </c>
      <c r="BQ339" t="s">
        <v>74</v>
      </c>
      <c r="BR339" t="s">
        <v>99</v>
      </c>
      <c r="BS339" t="s">
        <v>6698</v>
      </c>
      <c r="BT339" t="str">
        <f>HYPERLINK("https%3A%2F%2Fwww.webofscience.com%2Fwos%2Fwoscc%2Ffull-record%2FWOS:001060358400001","View Full Record in Web of Science")</f>
        <v>View Full Record in Web of Science</v>
      </c>
    </row>
    <row r="340" spans="1:72" x14ac:dyDescent="0.15">
      <c r="A340" t="s">
        <v>72</v>
      </c>
      <c r="B340" t="s">
        <v>6699</v>
      </c>
      <c r="C340" t="s">
        <v>74</v>
      </c>
      <c r="D340" t="s">
        <v>74</v>
      </c>
      <c r="E340" t="s">
        <v>74</v>
      </c>
      <c r="F340" t="s">
        <v>6700</v>
      </c>
      <c r="G340" t="s">
        <v>74</v>
      </c>
      <c r="H340" t="s">
        <v>74</v>
      </c>
      <c r="I340" t="s">
        <v>6701</v>
      </c>
      <c r="J340" t="s">
        <v>3212</v>
      </c>
      <c r="K340" t="s">
        <v>74</v>
      </c>
      <c r="L340" t="s">
        <v>74</v>
      </c>
      <c r="M340" t="s">
        <v>78</v>
      </c>
      <c r="N340" t="s">
        <v>952</v>
      </c>
      <c r="O340" t="s">
        <v>74</v>
      </c>
      <c r="P340" t="s">
        <v>74</v>
      </c>
      <c r="Q340" t="s">
        <v>74</v>
      </c>
      <c r="R340" t="s">
        <v>74</v>
      </c>
      <c r="S340" t="s">
        <v>74</v>
      </c>
      <c r="T340" t="s">
        <v>74</v>
      </c>
      <c r="U340" t="s">
        <v>6702</v>
      </c>
      <c r="V340" t="s">
        <v>6703</v>
      </c>
      <c r="W340" t="s">
        <v>6704</v>
      </c>
      <c r="X340" t="s">
        <v>6705</v>
      </c>
      <c r="Y340" t="s">
        <v>6706</v>
      </c>
      <c r="Z340" t="s">
        <v>6707</v>
      </c>
      <c r="AA340" t="s">
        <v>74</v>
      </c>
      <c r="AB340" t="s">
        <v>74</v>
      </c>
      <c r="AC340" t="s">
        <v>932</v>
      </c>
      <c r="AD340" t="s">
        <v>932</v>
      </c>
      <c r="AE340" t="s">
        <v>932</v>
      </c>
      <c r="AF340" t="s">
        <v>74</v>
      </c>
      <c r="AG340">
        <v>11</v>
      </c>
      <c r="AH340">
        <v>0</v>
      </c>
      <c r="AI340">
        <v>0</v>
      </c>
      <c r="AJ340">
        <v>0</v>
      </c>
      <c r="AK340">
        <v>0</v>
      </c>
      <c r="AL340" t="s">
        <v>443</v>
      </c>
      <c r="AM340" t="s">
        <v>245</v>
      </c>
      <c r="AN340" t="s">
        <v>444</v>
      </c>
      <c r="AO340" t="s">
        <v>74</v>
      </c>
      <c r="AP340" t="s">
        <v>3220</v>
      </c>
      <c r="AQ340" t="s">
        <v>74</v>
      </c>
      <c r="AR340" t="s">
        <v>3221</v>
      </c>
      <c r="AS340" t="s">
        <v>3222</v>
      </c>
      <c r="AT340" t="s">
        <v>6287</v>
      </c>
      <c r="AU340">
        <v>2023</v>
      </c>
      <c r="AV340">
        <v>23</v>
      </c>
      <c r="AW340">
        <v>1</v>
      </c>
      <c r="AX340" t="s">
        <v>74</v>
      </c>
      <c r="AY340" t="s">
        <v>74</v>
      </c>
      <c r="AZ340" t="s">
        <v>74</v>
      </c>
      <c r="BA340" t="s">
        <v>74</v>
      </c>
      <c r="BB340" t="s">
        <v>74</v>
      </c>
      <c r="BC340" t="s">
        <v>74</v>
      </c>
      <c r="BD340">
        <v>640</v>
      </c>
      <c r="BE340" t="s">
        <v>6708</v>
      </c>
      <c r="BF340" t="str">
        <f>HYPERLINK("http://dx.doi.org/10.1186/s12909-023-04630-5","http://dx.doi.org/10.1186/s12909-023-04630-5")</f>
        <v>http://dx.doi.org/10.1186/s12909-023-04630-5</v>
      </c>
      <c r="BG340" t="s">
        <v>74</v>
      </c>
      <c r="BH340" t="s">
        <v>74</v>
      </c>
      <c r="BI340">
        <v>3</v>
      </c>
      <c r="BJ340" t="s">
        <v>3225</v>
      </c>
      <c r="BK340" t="s">
        <v>2431</v>
      </c>
      <c r="BL340" t="s">
        <v>3226</v>
      </c>
      <c r="BM340" t="s">
        <v>6709</v>
      </c>
      <c r="BN340">
        <v>37679717</v>
      </c>
      <c r="BO340" t="s">
        <v>74</v>
      </c>
      <c r="BP340" t="s">
        <v>74</v>
      </c>
      <c r="BQ340" t="s">
        <v>74</v>
      </c>
      <c r="BR340" t="s">
        <v>99</v>
      </c>
      <c r="BS340" t="s">
        <v>6710</v>
      </c>
      <c r="BT340" t="str">
        <f>HYPERLINK("https%3A%2F%2Fwww.webofscience.com%2Fwos%2Fwoscc%2Ffull-record%2FWOS:001064004100006","View Full Record in Web of Science")</f>
        <v>View Full Record in Web of Science</v>
      </c>
    </row>
    <row r="341" spans="1:72" x14ac:dyDescent="0.15">
      <c r="A341" t="s">
        <v>72</v>
      </c>
      <c r="B341" t="s">
        <v>6711</v>
      </c>
      <c r="C341" t="s">
        <v>74</v>
      </c>
      <c r="D341" t="s">
        <v>74</v>
      </c>
      <c r="E341" t="s">
        <v>74</v>
      </c>
      <c r="F341" t="s">
        <v>6712</v>
      </c>
      <c r="G341" t="s">
        <v>74</v>
      </c>
      <c r="H341" t="s">
        <v>74</v>
      </c>
      <c r="I341" t="s">
        <v>6713</v>
      </c>
      <c r="J341" t="s">
        <v>6714</v>
      </c>
      <c r="K341" t="s">
        <v>74</v>
      </c>
      <c r="L341" t="s">
        <v>74</v>
      </c>
      <c r="M341" t="s">
        <v>78</v>
      </c>
      <c r="N341" t="s">
        <v>79</v>
      </c>
      <c r="O341" t="s">
        <v>74</v>
      </c>
      <c r="P341" t="s">
        <v>74</v>
      </c>
      <c r="Q341" t="s">
        <v>74</v>
      </c>
      <c r="R341" t="s">
        <v>74</v>
      </c>
      <c r="S341" t="s">
        <v>74</v>
      </c>
      <c r="T341" t="s">
        <v>6715</v>
      </c>
      <c r="U341" t="s">
        <v>6716</v>
      </c>
      <c r="V341" t="s">
        <v>6717</v>
      </c>
      <c r="W341" t="s">
        <v>6718</v>
      </c>
      <c r="X341" t="s">
        <v>6719</v>
      </c>
      <c r="Y341" t="s">
        <v>6720</v>
      </c>
      <c r="Z341" t="s">
        <v>6721</v>
      </c>
      <c r="AA341" t="s">
        <v>74</v>
      </c>
      <c r="AB341" t="s">
        <v>74</v>
      </c>
      <c r="AC341" t="s">
        <v>6722</v>
      </c>
      <c r="AD341" t="s">
        <v>6723</v>
      </c>
      <c r="AE341" t="s">
        <v>6724</v>
      </c>
      <c r="AF341" t="s">
        <v>74</v>
      </c>
      <c r="AG341">
        <v>56</v>
      </c>
      <c r="AH341">
        <v>0</v>
      </c>
      <c r="AI341">
        <v>0</v>
      </c>
      <c r="AJ341">
        <v>0</v>
      </c>
      <c r="AK341">
        <v>0</v>
      </c>
      <c r="AL341" t="s">
        <v>443</v>
      </c>
      <c r="AM341" t="s">
        <v>245</v>
      </c>
      <c r="AN341" t="s">
        <v>444</v>
      </c>
      <c r="AO341" t="s">
        <v>6725</v>
      </c>
      <c r="AP341" t="s">
        <v>74</v>
      </c>
      <c r="AQ341" t="s">
        <v>74</v>
      </c>
      <c r="AR341" t="s">
        <v>6726</v>
      </c>
      <c r="AS341" t="s">
        <v>6727</v>
      </c>
      <c r="AT341" t="s">
        <v>6287</v>
      </c>
      <c r="AU341">
        <v>2023</v>
      </c>
      <c r="AV341">
        <v>18</v>
      </c>
      <c r="AW341">
        <v>1</v>
      </c>
      <c r="AX341" t="s">
        <v>74</v>
      </c>
      <c r="AY341" t="s">
        <v>74</v>
      </c>
      <c r="AZ341" t="s">
        <v>74</v>
      </c>
      <c r="BA341" t="s">
        <v>74</v>
      </c>
      <c r="BB341" t="s">
        <v>74</v>
      </c>
      <c r="BC341" t="s">
        <v>74</v>
      </c>
      <c r="BD341">
        <v>113</v>
      </c>
      <c r="BE341" t="s">
        <v>6728</v>
      </c>
      <c r="BF341" t="str">
        <f>HYPERLINK("http://dx.doi.org/10.1186/s13020-023-00824-7","http://dx.doi.org/10.1186/s13020-023-00824-7")</f>
        <v>http://dx.doi.org/10.1186/s13020-023-00824-7</v>
      </c>
      <c r="BG341" t="s">
        <v>74</v>
      </c>
      <c r="BH341" t="s">
        <v>74</v>
      </c>
      <c r="BI341">
        <v>16</v>
      </c>
      <c r="BJ341" t="s">
        <v>6729</v>
      </c>
      <c r="BK341" t="s">
        <v>126</v>
      </c>
      <c r="BL341" t="s">
        <v>6729</v>
      </c>
      <c r="BM341" t="s">
        <v>6730</v>
      </c>
      <c r="BN341">
        <v>37679844</v>
      </c>
      <c r="BO341" t="s">
        <v>302</v>
      </c>
      <c r="BP341" t="s">
        <v>74</v>
      </c>
      <c r="BQ341" t="s">
        <v>74</v>
      </c>
      <c r="BR341" t="s">
        <v>99</v>
      </c>
      <c r="BS341" t="s">
        <v>6731</v>
      </c>
      <c r="BT341" t="str">
        <f>HYPERLINK("https%3A%2F%2Fwww.webofscience.com%2Fwos%2Fwoscc%2Ffull-record%2FWOS:001061857500002","View Full Record in Web of Science")</f>
        <v>View Full Record in Web of Science</v>
      </c>
    </row>
    <row r="342" spans="1:72" x14ac:dyDescent="0.15">
      <c r="A342" t="s">
        <v>72</v>
      </c>
      <c r="B342" t="s">
        <v>6732</v>
      </c>
      <c r="C342" t="s">
        <v>74</v>
      </c>
      <c r="D342" t="s">
        <v>74</v>
      </c>
      <c r="E342" t="s">
        <v>74</v>
      </c>
      <c r="F342" t="s">
        <v>6733</v>
      </c>
      <c r="G342" t="s">
        <v>74</v>
      </c>
      <c r="H342" t="s">
        <v>74</v>
      </c>
      <c r="I342" t="s">
        <v>6734</v>
      </c>
      <c r="J342" t="s">
        <v>5838</v>
      </c>
      <c r="K342" t="s">
        <v>74</v>
      </c>
      <c r="L342" t="s">
        <v>74</v>
      </c>
      <c r="M342" t="s">
        <v>78</v>
      </c>
      <c r="N342" t="s">
        <v>1246</v>
      </c>
      <c r="O342" t="s">
        <v>74</v>
      </c>
      <c r="P342" t="s">
        <v>74</v>
      </c>
      <c r="Q342" t="s">
        <v>74</v>
      </c>
      <c r="R342" t="s">
        <v>74</v>
      </c>
      <c r="S342" t="s">
        <v>74</v>
      </c>
      <c r="T342" t="s">
        <v>6735</v>
      </c>
      <c r="U342" t="s">
        <v>74</v>
      </c>
      <c r="V342" t="s">
        <v>6736</v>
      </c>
      <c r="W342" t="s">
        <v>6737</v>
      </c>
      <c r="X342" t="s">
        <v>6738</v>
      </c>
      <c r="Y342" t="s">
        <v>6739</v>
      </c>
      <c r="Z342" t="s">
        <v>6740</v>
      </c>
      <c r="AA342" t="s">
        <v>74</v>
      </c>
      <c r="AB342" t="s">
        <v>74</v>
      </c>
      <c r="AC342" t="s">
        <v>6741</v>
      </c>
      <c r="AD342" t="s">
        <v>6742</v>
      </c>
      <c r="AE342" t="s">
        <v>6743</v>
      </c>
      <c r="AF342" t="s">
        <v>74</v>
      </c>
      <c r="AG342">
        <v>31</v>
      </c>
      <c r="AH342">
        <v>0</v>
      </c>
      <c r="AI342">
        <v>0</v>
      </c>
      <c r="AJ342">
        <v>0</v>
      </c>
      <c r="AK342">
        <v>0</v>
      </c>
      <c r="AL342" t="s">
        <v>172</v>
      </c>
      <c r="AM342" t="s">
        <v>173</v>
      </c>
      <c r="AN342" t="s">
        <v>174</v>
      </c>
      <c r="AO342" t="s">
        <v>5848</v>
      </c>
      <c r="AP342" t="s">
        <v>5849</v>
      </c>
      <c r="AQ342" t="s">
        <v>74</v>
      </c>
      <c r="AR342" t="s">
        <v>5850</v>
      </c>
      <c r="AS342" t="s">
        <v>5851</v>
      </c>
      <c r="AT342" t="s">
        <v>6306</v>
      </c>
      <c r="AU342">
        <v>2023</v>
      </c>
      <c r="AV342" t="s">
        <v>74</v>
      </c>
      <c r="AW342" t="s">
        <v>74</v>
      </c>
      <c r="AX342" t="s">
        <v>74</v>
      </c>
      <c r="AY342" t="s">
        <v>74</v>
      </c>
      <c r="AZ342" t="s">
        <v>74</v>
      </c>
      <c r="BA342" t="s">
        <v>74</v>
      </c>
      <c r="BB342" t="s">
        <v>74</v>
      </c>
      <c r="BC342" t="s">
        <v>74</v>
      </c>
      <c r="BD342" t="s">
        <v>74</v>
      </c>
      <c r="BE342" t="s">
        <v>6744</v>
      </c>
      <c r="BF342" t="str">
        <f>HYPERLINK("http://dx.doi.org/10.1007/s40747-023-01224","http://dx.doi.org/10.1007/s40747-023-01224")</f>
        <v>http://dx.doi.org/10.1007/s40747-023-01224</v>
      </c>
      <c r="BG342" t="s">
        <v>74</v>
      </c>
      <c r="BH342" t="s">
        <v>2079</v>
      </c>
      <c r="BI342">
        <v>10</v>
      </c>
      <c r="BJ342" t="s">
        <v>5390</v>
      </c>
      <c r="BK342" t="s">
        <v>126</v>
      </c>
      <c r="BL342" t="s">
        <v>1139</v>
      </c>
      <c r="BM342" t="s">
        <v>6745</v>
      </c>
      <c r="BN342" t="s">
        <v>74</v>
      </c>
      <c r="BO342" t="s">
        <v>74</v>
      </c>
      <c r="BP342" t="s">
        <v>74</v>
      </c>
      <c r="BQ342" t="s">
        <v>74</v>
      </c>
      <c r="BR342" t="s">
        <v>99</v>
      </c>
      <c r="BS342" t="s">
        <v>6746</v>
      </c>
      <c r="BT342" t="str">
        <f>HYPERLINK("https%3A%2F%2Fwww.webofscience.com%2Fwos%2Fwoscc%2Ffull-record%2FWOS:001059595100001","View Full Record in Web of Science")</f>
        <v>View Full Record in Web of Science</v>
      </c>
    </row>
    <row r="343" spans="1:72" x14ac:dyDescent="0.15">
      <c r="A343" t="s">
        <v>72</v>
      </c>
      <c r="B343" t="s">
        <v>6747</v>
      </c>
      <c r="C343" t="s">
        <v>74</v>
      </c>
      <c r="D343" t="s">
        <v>74</v>
      </c>
      <c r="E343" t="s">
        <v>74</v>
      </c>
      <c r="F343" t="s">
        <v>6748</v>
      </c>
      <c r="G343" t="s">
        <v>74</v>
      </c>
      <c r="H343" t="s">
        <v>74</v>
      </c>
      <c r="I343" t="s">
        <v>6749</v>
      </c>
      <c r="J343" t="s">
        <v>6750</v>
      </c>
      <c r="K343" t="s">
        <v>74</v>
      </c>
      <c r="L343" t="s">
        <v>74</v>
      </c>
      <c r="M343" t="s">
        <v>78</v>
      </c>
      <c r="N343" t="s">
        <v>1246</v>
      </c>
      <c r="O343" t="s">
        <v>74</v>
      </c>
      <c r="P343" t="s">
        <v>74</v>
      </c>
      <c r="Q343" t="s">
        <v>74</v>
      </c>
      <c r="R343" t="s">
        <v>74</v>
      </c>
      <c r="S343" t="s">
        <v>74</v>
      </c>
      <c r="T343" t="s">
        <v>6751</v>
      </c>
      <c r="U343" t="s">
        <v>6752</v>
      </c>
      <c r="V343" t="s">
        <v>6753</v>
      </c>
      <c r="W343" t="s">
        <v>6754</v>
      </c>
      <c r="X343" t="s">
        <v>6755</v>
      </c>
      <c r="Y343" t="s">
        <v>6756</v>
      </c>
      <c r="Z343" t="s">
        <v>6757</v>
      </c>
      <c r="AA343" t="s">
        <v>74</v>
      </c>
      <c r="AB343" t="s">
        <v>74</v>
      </c>
      <c r="AC343" t="s">
        <v>6758</v>
      </c>
      <c r="AD343" t="s">
        <v>6759</v>
      </c>
      <c r="AE343" t="s">
        <v>6760</v>
      </c>
      <c r="AF343" t="s">
        <v>74</v>
      </c>
      <c r="AG343">
        <v>42</v>
      </c>
      <c r="AH343">
        <v>0</v>
      </c>
      <c r="AI343">
        <v>0</v>
      </c>
      <c r="AJ343">
        <v>0</v>
      </c>
      <c r="AK343">
        <v>0</v>
      </c>
      <c r="AL343" t="s">
        <v>117</v>
      </c>
      <c r="AM343" t="s">
        <v>118</v>
      </c>
      <c r="AN343" t="s">
        <v>119</v>
      </c>
      <c r="AO343" t="s">
        <v>6761</v>
      </c>
      <c r="AP343" t="s">
        <v>6762</v>
      </c>
      <c r="AQ343" t="s">
        <v>74</v>
      </c>
      <c r="AR343" t="s">
        <v>6763</v>
      </c>
      <c r="AS343" t="s">
        <v>6764</v>
      </c>
      <c r="AT343" t="s">
        <v>6306</v>
      </c>
      <c r="AU343">
        <v>2023</v>
      </c>
      <c r="AV343" t="s">
        <v>74</v>
      </c>
      <c r="AW343" t="s">
        <v>74</v>
      </c>
      <c r="AX343" t="s">
        <v>74</v>
      </c>
      <c r="AY343" t="s">
        <v>74</v>
      </c>
      <c r="AZ343" t="s">
        <v>74</v>
      </c>
      <c r="BA343" t="s">
        <v>74</v>
      </c>
      <c r="BB343" t="s">
        <v>74</v>
      </c>
      <c r="BC343" t="s">
        <v>74</v>
      </c>
      <c r="BD343" t="s">
        <v>74</v>
      </c>
      <c r="BE343" t="s">
        <v>6765</v>
      </c>
      <c r="BF343" t="str">
        <f>HYPERLINK("http://dx.doi.org/10.1007/s00210-023-02700-5","http://dx.doi.org/10.1007/s00210-023-02700-5")</f>
        <v>http://dx.doi.org/10.1007/s00210-023-02700-5</v>
      </c>
      <c r="BG343" t="s">
        <v>74</v>
      </c>
      <c r="BH343" t="s">
        <v>2079</v>
      </c>
      <c r="BI343">
        <v>13</v>
      </c>
      <c r="BJ343" t="s">
        <v>1038</v>
      </c>
      <c r="BK343" t="s">
        <v>126</v>
      </c>
      <c r="BL343" t="s">
        <v>1038</v>
      </c>
      <c r="BM343" t="s">
        <v>6766</v>
      </c>
      <c r="BN343">
        <v>37676495</v>
      </c>
      <c r="BO343" t="s">
        <v>74</v>
      </c>
      <c r="BP343" t="s">
        <v>74</v>
      </c>
      <c r="BQ343" t="s">
        <v>74</v>
      </c>
      <c r="BR343" t="s">
        <v>99</v>
      </c>
      <c r="BS343" t="s">
        <v>6767</v>
      </c>
      <c r="BT343" t="str">
        <f>HYPERLINK("https%3A%2F%2Fwww.webofscience.com%2Fwos%2Fwoscc%2Ffull-record%2FWOS:001063932800001","View Full Record in Web of Science")</f>
        <v>View Full Record in Web of Science</v>
      </c>
    </row>
    <row r="344" spans="1:72" x14ac:dyDescent="0.15">
      <c r="A344" t="s">
        <v>72</v>
      </c>
      <c r="B344" t="s">
        <v>6768</v>
      </c>
      <c r="C344" t="s">
        <v>74</v>
      </c>
      <c r="D344" t="s">
        <v>74</v>
      </c>
      <c r="E344" t="s">
        <v>74</v>
      </c>
      <c r="F344" t="s">
        <v>6769</v>
      </c>
      <c r="G344" t="s">
        <v>74</v>
      </c>
      <c r="H344" t="s">
        <v>74</v>
      </c>
      <c r="I344" t="s">
        <v>6770</v>
      </c>
      <c r="J344" t="s">
        <v>6771</v>
      </c>
      <c r="K344" t="s">
        <v>74</v>
      </c>
      <c r="L344" t="s">
        <v>74</v>
      </c>
      <c r="M344" t="s">
        <v>78</v>
      </c>
      <c r="N344" t="s">
        <v>1246</v>
      </c>
      <c r="O344" t="s">
        <v>74</v>
      </c>
      <c r="P344" t="s">
        <v>74</v>
      </c>
      <c r="Q344" t="s">
        <v>74</v>
      </c>
      <c r="R344" t="s">
        <v>74</v>
      </c>
      <c r="S344" t="s">
        <v>74</v>
      </c>
      <c r="T344" t="s">
        <v>6772</v>
      </c>
      <c r="U344" t="s">
        <v>6773</v>
      </c>
      <c r="V344" t="s">
        <v>6774</v>
      </c>
      <c r="W344" t="s">
        <v>6775</v>
      </c>
      <c r="X344" t="s">
        <v>6776</v>
      </c>
      <c r="Y344" t="s">
        <v>6777</v>
      </c>
      <c r="Z344" t="s">
        <v>6778</v>
      </c>
      <c r="AA344" t="s">
        <v>74</v>
      </c>
      <c r="AB344" t="s">
        <v>74</v>
      </c>
      <c r="AC344" t="s">
        <v>74</v>
      </c>
      <c r="AD344" t="s">
        <v>74</v>
      </c>
      <c r="AE344" t="s">
        <v>74</v>
      </c>
      <c r="AF344" t="s">
        <v>74</v>
      </c>
      <c r="AG344">
        <v>48</v>
      </c>
      <c r="AH344">
        <v>0</v>
      </c>
      <c r="AI344">
        <v>0</v>
      </c>
      <c r="AJ344">
        <v>0</v>
      </c>
      <c r="AK344">
        <v>0</v>
      </c>
      <c r="AL344" t="s">
        <v>172</v>
      </c>
      <c r="AM344" t="s">
        <v>173</v>
      </c>
      <c r="AN344" t="s">
        <v>174</v>
      </c>
      <c r="AO344" t="s">
        <v>6779</v>
      </c>
      <c r="AP344" t="s">
        <v>6780</v>
      </c>
      <c r="AQ344" t="s">
        <v>74</v>
      </c>
      <c r="AR344" t="s">
        <v>6781</v>
      </c>
      <c r="AS344" t="s">
        <v>6782</v>
      </c>
      <c r="AT344" t="s">
        <v>6783</v>
      </c>
      <c r="AU344">
        <v>2023</v>
      </c>
      <c r="AV344" t="s">
        <v>74</v>
      </c>
      <c r="AW344" t="s">
        <v>74</v>
      </c>
      <c r="AX344" t="s">
        <v>74</v>
      </c>
      <c r="AY344" t="s">
        <v>74</v>
      </c>
      <c r="AZ344" t="s">
        <v>74</v>
      </c>
      <c r="BA344" t="s">
        <v>74</v>
      </c>
      <c r="BB344" t="s">
        <v>74</v>
      </c>
      <c r="BC344" t="s">
        <v>74</v>
      </c>
      <c r="BD344" t="s">
        <v>74</v>
      </c>
      <c r="BE344" t="s">
        <v>6784</v>
      </c>
      <c r="BF344" t="str">
        <f>HYPERLINK("http://dx.doi.org/10.1007/s00393-023-01428-0","http://dx.doi.org/10.1007/s00393-023-01428-0")</f>
        <v>http://dx.doi.org/10.1007/s00393-023-01428-0</v>
      </c>
      <c r="BG344" t="s">
        <v>74</v>
      </c>
      <c r="BH344" t="s">
        <v>2079</v>
      </c>
      <c r="BI344">
        <v>10</v>
      </c>
      <c r="BJ344" t="s">
        <v>2452</v>
      </c>
      <c r="BK344" t="s">
        <v>126</v>
      </c>
      <c r="BL344" t="s">
        <v>2452</v>
      </c>
      <c r="BM344" t="s">
        <v>6785</v>
      </c>
      <c r="BN344">
        <v>37672064</v>
      </c>
      <c r="BO344" t="s">
        <v>74</v>
      </c>
      <c r="BP344" t="s">
        <v>74</v>
      </c>
      <c r="BQ344" t="s">
        <v>74</v>
      </c>
      <c r="BR344" t="s">
        <v>99</v>
      </c>
      <c r="BS344" t="s">
        <v>6786</v>
      </c>
      <c r="BT344" t="str">
        <f>HYPERLINK("https%3A%2F%2Fwww.webofscience.com%2Fwos%2Fwoscc%2Ffull-record%2FWOS:001063139000002","View Full Record in Web of Science")</f>
        <v>View Full Record in Web of Science</v>
      </c>
    </row>
    <row r="345" spans="1:72" x14ac:dyDescent="0.15">
      <c r="A345" t="s">
        <v>72</v>
      </c>
      <c r="B345" t="s">
        <v>6787</v>
      </c>
      <c r="C345" t="s">
        <v>74</v>
      </c>
      <c r="D345" t="s">
        <v>74</v>
      </c>
      <c r="E345" t="s">
        <v>74</v>
      </c>
      <c r="F345" t="s">
        <v>6788</v>
      </c>
      <c r="G345" t="s">
        <v>74</v>
      </c>
      <c r="H345" t="s">
        <v>74</v>
      </c>
      <c r="I345" t="s">
        <v>6789</v>
      </c>
      <c r="J345" t="s">
        <v>6790</v>
      </c>
      <c r="K345" t="s">
        <v>74</v>
      </c>
      <c r="L345" t="s">
        <v>74</v>
      </c>
      <c r="M345" t="s">
        <v>78</v>
      </c>
      <c r="N345" t="s">
        <v>79</v>
      </c>
      <c r="O345" t="s">
        <v>74</v>
      </c>
      <c r="P345" t="s">
        <v>74</v>
      </c>
      <c r="Q345" t="s">
        <v>74</v>
      </c>
      <c r="R345" t="s">
        <v>74</v>
      </c>
      <c r="S345" t="s">
        <v>74</v>
      </c>
      <c r="T345" t="s">
        <v>6791</v>
      </c>
      <c r="U345" t="s">
        <v>74</v>
      </c>
      <c r="V345" t="s">
        <v>6792</v>
      </c>
      <c r="W345" t="s">
        <v>6793</v>
      </c>
      <c r="X345" t="s">
        <v>6794</v>
      </c>
      <c r="Y345" t="s">
        <v>6795</v>
      </c>
      <c r="Z345" t="s">
        <v>6796</v>
      </c>
      <c r="AA345" t="s">
        <v>74</v>
      </c>
      <c r="AB345" t="s">
        <v>74</v>
      </c>
      <c r="AC345" t="s">
        <v>6797</v>
      </c>
      <c r="AD345" t="s">
        <v>6797</v>
      </c>
      <c r="AE345" t="s">
        <v>6798</v>
      </c>
      <c r="AF345" t="s">
        <v>74</v>
      </c>
      <c r="AG345">
        <v>12</v>
      </c>
      <c r="AH345">
        <v>0</v>
      </c>
      <c r="AI345">
        <v>0</v>
      </c>
      <c r="AJ345">
        <v>0</v>
      </c>
      <c r="AK345">
        <v>0</v>
      </c>
      <c r="AL345" t="s">
        <v>443</v>
      </c>
      <c r="AM345" t="s">
        <v>245</v>
      </c>
      <c r="AN345" t="s">
        <v>444</v>
      </c>
      <c r="AO345" t="s">
        <v>6799</v>
      </c>
      <c r="AP345" t="s">
        <v>74</v>
      </c>
      <c r="AQ345" t="s">
        <v>74</v>
      </c>
      <c r="AR345" t="s">
        <v>6800</v>
      </c>
      <c r="AS345" t="s">
        <v>6801</v>
      </c>
      <c r="AT345" t="s">
        <v>6802</v>
      </c>
      <c r="AU345">
        <v>2023</v>
      </c>
      <c r="AV345">
        <v>21</v>
      </c>
      <c r="AW345">
        <v>1</v>
      </c>
      <c r="AX345" t="s">
        <v>74</v>
      </c>
      <c r="AY345" t="s">
        <v>74</v>
      </c>
      <c r="AZ345" t="s">
        <v>74</v>
      </c>
      <c r="BA345" t="s">
        <v>74</v>
      </c>
      <c r="BB345" t="s">
        <v>74</v>
      </c>
      <c r="BC345" t="s">
        <v>74</v>
      </c>
      <c r="BD345">
        <v>92</v>
      </c>
      <c r="BE345" t="s">
        <v>6803</v>
      </c>
      <c r="BF345" t="str">
        <f>HYPERLINK("http://dx.doi.org/10.1186/s12959-023-00533-z","http://dx.doi.org/10.1186/s12959-023-00533-z")</f>
        <v>http://dx.doi.org/10.1186/s12959-023-00533-z</v>
      </c>
      <c r="BG345" t="s">
        <v>74</v>
      </c>
      <c r="BH345" t="s">
        <v>74</v>
      </c>
      <c r="BI345">
        <v>7</v>
      </c>
      <c r="BJ345" t="s">
        <v>6804</v>
      </c>
      <c r="BK345" t="s">
        <v>126</v>
      </c>
      <c r="BL345" t="s">
        <v>6805</v>
      </c>
      <c r="BM345" t="s">
        <v>6806</v>
      </c>
      <c r="BN345">
        <v>37674185</v>
      </c>
      <c r="BO345" t="s">
        <v>3356</v>
      </c>
      <c r="BP345" t="s">
        <v>74</v>
      </c>
      <c r="BQ345" t="s">
        <v>74</v>
      </c>
      <c r="BR345" t="s">
        <v>99</v>
      </c>
      <c r="BS345" t="s">
        <v>6807</v>
      </c>
      <c r="BT345" t="str">
        <f>HYPERLINK("https%3A%2F%2Fwww.webofscience.com%2Fwos%2Fwoscc%2Ffull-record%2FWOS:001062812000001","View Full Record in Web of Science")</f>
        <v>View Full Record in Web of Science</v>
      </c>
    </row>
    <row r="346" spans="1:72" x14ac:dyDescent="0.15">
      <c r="A346" t="s">
        <v>72</v>
      </c>
      <c r="B346" t="s">
        <v>6808</v>
      </c>
      <c r="C346" t="s">
        <v>74</v>
      </c>
      <c r="D346" t="s">
        <v>74</v>
      </c>
      <c r="E346" t="s">
        <v>74</v>
      </c>
      <c r="F346" t="s">
        <v>6809</v>
      </c>
      <c r="G346" t="s">
        <v>74</v>
      </c>
      <c r="H346" t="s">
        <v>74</v>
      </c>
      <c r="I346" t="s">
        <v>6810</v>
      </c>
      <c r="J346" t="s">
        <v>6811</v>
      </c>
      <c r="K346" t="s">
        <v>74</v>
      </c>
      <c r="L346" t="s">
        <v>74</v>
      </c>
      <c r="M346" t="s">
        <v>78</v>
      </c>
      <c r="N346" t="s">
        <v>1246</v>
      </c>
      <c r="O346" t="s">
        <v>74</v>
      </c>
      <c r="P346" t="s">
        <v>74</v>
      </c>
      <c r="Q346" t="s">
        <v>74</v>
      </c>
      <c r="R346" t="s">
        <v>74</v>
      </c>
      <c r="S346" t="s">
        <v>74</v>
      </c>
      <c r="T346" t="s">
        <v>6812</v>
      </c>
      <c r="U346" t="s">
        <v>6813</v>
      </c>
      <c r="V346" t="s">
        <v>6814</v>
      </c>
      <c r="W346" t="s">
        <v>6815</v>
      </c>
      <c r="X346" t="s">
        <v>6816</v>
      </c>
      <c r="Y346" t="s">
        <v>6817</v>
      </c>
      <c r="Z346" t="s">
        <v>6818</v>
      </c>
      <c r="AA346" t="s">
        <v>74</v>
      </c>
      <c r="AB346" t="s">
        <v>74</v>
      </c>
      <c r="AC346" t="s">
        <v>74</v>
      </c>
      <c r="AD346" t="s">
        <v>74</v>
      </c>
      <c r="AE346" t="s">
        <v>74</v>
      </c>
      <c r="AF346" t="s">
        <v>74</v>
      </c>
      <c r="AG346">
        <v>29</v>
      </c>
      <c r="AH346">
        <v>0</v>
      </c>
      <c r="AI346">
        <v>0</v>
      </c>
      <c r="AJ346">
        <v>0</v>
      </c>
      <c r="AK346">
        <v>0</v>
      </c>
      <c r="AL346" t="s">
        <v>117</v>
      </c>
      <c r="AM346" t="s">
        <v>118</v>
      </c>
      <c r="AN346" t="s">
        <v>119</v>
      </c>
      <c r="AO346" t="s">
        <v>6819</v>
      </c>
      <c r="AP346" t="s">
        <v>6820</v>
      </c>
      <c r="AQ346" t="s">
        <v>74</v>
      </c>
      <c r="AR346" t="s">
        <v>6821</v>
      </c>
      <c r="AS346" t="s">
        <v>6822</v>
      </c>
      <c r="AT346" t="s">
        <v>6783</v>
      </c>
      <c r="AU346">
        <v>2023</v>
      </c>
      <c r="AV346" t="s">
        <v>74</v>
      </c>
      <c r="AW346" t="s">
        <v>74</v>
      </c>
      <c r="AX346" t="s">
        <v>74</v>
      </c>
      <c r="AY346" t="s">
        <v>74</v>
      </c>
      <c r="AZ346" t="s">
        <v>74</v>
      </c>
      <c r="BA346" t="s">
        <v>74</v>
      </c>
      <c r="BB346" t="s">
        <v>74</v>
      </c>
      <c r="BC346" t="s">
        <v>74</v>
      </c>
      <c r="BD346" t="s">
        <v>74</v>
      </c>
      <c r="BE346" t="s">
        <v>6823</v>
      </c>
      <c r="BF346" t="str">
        <f>HYPERLINK("http://dx.doi.org/10.1007/s10578-023-01579","http://dx.doi.org/10.1007/s10578-023-01579")</f>
        <v>http://dx.doi.org/10.1007/s10578-023-01579</v>
      </c>
      <c r="BG346" t="s">
        <v>74</v>
      </c>
      <c r="BH346" t="s">
        <v>2079</v>
      </c>
      <c r="BI346">
        <v>7</v>
      </c>
      <c r="BJ346" t="s">
        <v>6566</v>
      </c>
      <c r="BK346" t="s">
        <v>425</v>
      </c>
      <c r="BL346" t="s">
        <v>6567</v>
      </c>
      <c r="BM346" t="s">
        <v>6824</v>
      </c>
      <c r="BN346" t="s">
        <v>74</v>
      </c>
      <c r="BO346" t="s">
        <v>74</v>
      </c>
      <c r="BP346" t="s">
        <v>74</v>
      </c>
      <c r="BQ346" t="s">
        <v>74</v>
      </c>
      <c r="BR346" t="s">
        <v>99</v>
      </c>
      <c r="BS346" t="s">
        <v>6825</v>
      </c>
      <c r="BT346" t="str">
        <f>HYPERLINK("https%3A%2F%2Fwww.webofscience.com%2Fwos%2Fwoscc%2Ffull-record%2FWOS:001059629100001","View Full Record in Web of Science")</f>
        <v>View Full Record in Web of Science</v>
      </c>
    </row>
    <row r="347" spans="1:72" x14ac:dyDescent="0.15">
      <c r="A347" t="s">
        <v>72</v>
      </c>
      <c r="B347" t="s">
        <v>6826</v>
      </c>
      <c r="C347" t="s">
        <v>74</v>
      </c>
      <c r="D347" t="s">
        <v>74</v>
      </c>
      <c r="E347" t="s">
        <v>74</v>
      </c>
      <c r="F347" t="s">
        <v>6827</v>
      </c>
      <c r="G347" t="s">
        <v>74</v>
      </c>
      <c r="H347" t="s">
        <v>74</v>
      </c>
      <c r="I347" t="s">
        <v>6828</v>
      </c>
      <c r="J347" t="s">
        <v>6829</v>
      </c>
      <c r="K347" t="s">
        <v>74</v>
      </c>
      <c r="L347" t="s">
        <v>74</v>
      </c>
      <c r="M347" t="s">
        <v>78</v>
      </c>
      <c r="N347" t="s">
        <v>1246</v>
      </c>
      <c r="O347" t="s">
        <v>74</v>
      </c>
      <c r="P347" t="s">
        <v>74</v>
      </c>
      <c r="Q347" t="s">
        <v>74</v>
      </c>
      <c r="R347" t="s">
        <v>74</v>
      </c>
      <c r="S347" t="s">
        <v>74</v>
      </c>
      <c r="T347" t="s">
        <v>6830</v>
      </c>
      <c r="U347" t="s">
        <v>6831</v>
      </c>
      <c r="V347" t="s">
        <v>6832</v>
      </c>
      <c r="W347" t="s">
        <v>6833</v>
      </c>
      <c r="X347" t="s">
        <v>6834</v>
      </c>
      <c r="Y347" t="s">
        <v>6835</v>
      </c>
      <c r="Z347" t="s">
        <v>6836</v>
      </c>
      <c r="AA347" t="s">
        <v>74</v>
      </c>
      <c r="AB347" t="s">
        <v>74</v>
      </c>
      <c r="AC347" t="s">
        <v>6837</v>
      </c>
      <c r="AD347" t="s">
        <v>4976</v>
      </c>
      <c r="AE347" t="s">
        <v>6838</v>
      </c>
      <c r="AF347" t="s">
        <v>74</v>
      </c>
      <c r="AG347">
        <v>29</v>
      </c>
      <c r="AH347">
        <v>0</v>
      </c>
      <c r="AI347">
        <v>0</v>
      </c>
      <c r="AJ347">
        <v>2</v>
      </c>
      <c r="AK347">
        <v>2</v>
      </c>
      <c r="AL347" t="s">
        <v>117</v>
      </c>
      <c r="AM347" t="s">
        <v>118</v>
      </c>
      <c r="AN347" t="s">
        <v>119</v>
      </c>
      <c r="AO347" t="s">
        <v>6839</v>
      </c>
      <c r="AP347" t="s">
        <v>6840</v>
      </c>
      <c r="AQ347" t="s">
        <v>74</v>
      </c>
      <c r="AR347" t="s">
        <v>6841</v>
      </c>
      <c r="AS347" t="s">
        <v>6842</v>
      </c>
      <c r="AT347" t="s">
        <v>6783</v>
      </c>
      <c r="AU347">
        <v>2023</v>
      </c>
      <c r="AV347" t="s">
        <v>74</v>
      </c>
      <c r="AW347" t="s">
        <v>74</v>
      </c>
      <c r="AX347" t="s">
        <v>74</v>
      </c>
      <c r="AY347" t="s">
        <v>74</v>
      </c>
      <c r="AZ347" t="s">
        <v>74</v>
      </c>
      <c r="BA347" t="s">
        <v>74</v>
      </c>
      <c r="BB347" t="s">
        <v>74</v>
      </c>
      <c r="BC347" t="s">
        <v>74</v>
      </c>
      <c r="BD347" t="s">
        <v>74</v>
      </c>
      <c r="BE347" t="s">
        <v>6843</v>
      </c>
      <c r="BF347" t="str">
        <f>HYPERLINK("http://dx.doi.org/10.1007/s10762-023-00939","http://dx.doi.org/10.1007/s10762-023-00939")</f>
        <v>http://dx.doi.org/10.1007/s10762-023-00939</v>
      </c>
      <c r="BG347" t="s">
        <v>74</v>
      </c>
      <c r="BH347" t="s">
        <v>2079</v>
      </c>
      <c r="BI347">
        <v>15</v>
      </c>
      <c r="BJ347" t="s">
        <v>6844</v>
      </c>
      <c r="BK347" t="s">
        <v>126</v>
      </c>
      <c r="BL347" t="s">
        <v>6845</v>
      </c>
      <c r="BM347" t="s">
        <v>6846</v>
      </c>
      <c r="BN347" t="s">
        <v>74</v>
      </c>
      <c r="BO347" t="s">
        <v>74</v>
      </c>
      <c r="BP347" t="s">
        <v>74</v>
      </c>
      <c r="BQ347" t="s">
        <v>74</v>
      </c>
      <c r="BR347" t="s">
        <v>99</v>
      </c>
      <c r="BS347" t="s">
        <v>6847</v>
      </c>
      <c r="BT347" t="str">
        <f>HYPERLINK("https%3A%2F%2Fwww.webofscience.com%2Fwos%2Fwoscc%2Ffull-record%2FWOS:001059588300001","View Full Record in Web of Science")</f>
        <v>View Full Record in Web of Science</v>
      </c>
    </row>
    <row r="348" spans="1:72" x14ac:dyDescent="0.15">
      <c r="A348" t="s">
        <v>72</v>
      </c>
      <c r="B348" t="s">
        <v>6848</v>
      </c>
      <c r="C348" t="s">
        <v>74</v>
      </c>
      <c r="D348" t="s">
        <v>74</v>
      </c>
      <c r="E348" t="s">
        <v>74</v>
      </c>
      <c r="F348" t="s">
        <v>6849</v>
      </c>
      <c r="G348" t="s">
        <v>74</v>
      </c>
      <c r="H348" t="s">
        <v>74</v>
      </c>
      <c r="I348" t="s">
        <v>6850</v>
      </c>
      <c r="J348" t="s">
        <v>6851</v>
      </c>
      <c r="K348" t="s">
        <v>74</v>
      </c>
      <c r="L348" t="s">
        <v>74</v>
      </c>
      <c r="M348" t="s">
        <v>78</v>
      </c>
      <c r="N348" t="s">
        <v>1246</v>
      </c>
      <c r="O348" t="s">
        <v>74</v>
      </c>
      <c r="P348" t="s">
        <v>74</v>
      </c>
      <c r="Q348" t="s">
        <v>74</v>
      </c>
      <c r="R348" t="s">
        <v>74</v>
      </c>
      <c r="S348" t="s">
        <v>74</v>
      </c>
      <c r="T348" t="s">
        <v>6852</v>
      </c>
      <c r="U348" t="s">
        <v>6853</v>
      </c>
      <c r="V348" t="s">
        <v>6854</v>
      </c>
      <c r="W348" t="s">
        <v>6855</v>
      </c>
      <c r="X348" t="s">
        <v>6856</v>
      </c>
      <c r="Y348" t="s">
        <v>6857</v>
      </c>
      <c r="Z348" t="s">
        <v>6858</v>
      </c>
      <c r="AA348" t="s">
        <v>74</v>
      </c>
      <c r="AB348" t="s">
        <v>74</v>
      </c>
      <c r="AC348" t="s">
        <v>6859</v>
      </c>
      <c r="AD348" t="s">
        <v>6860</v>
      </c>
      <c r="AE348" t="s">
        <v>6861</v>
      </c>
      <c r="AF348" t="s">
        <v>74</v>
      </c>
      <c r="AG348">
        <v>20</v>
      </c>
      <c r="AH348">
        <v>0</v>
      </c>
      <c r="AI348">
        <v>0</v>
      </c>
      <c r="AJ348">
        <v>0</v>
      </c>
      <c r="AK348">
        <v>0</v>
      </c>
      <c r="AL348" t="s">
        <v>117</v>
      </c>
      <c r="AM348" t="s">
        <v>118</v>
      </c>
      <c r="AN348" t="s">
        <v>119</v>
      </c>
      <c r="AO348" t="s">
        <v>6862</v>
      </c>
      <c r="AP348" t="s">
        <v>6863</v>
      </c>
      <c r="AQ348" t="s">
        <v>74</v>
      </c>
      <c r="AR348" t="s">
        <v>6864</v>
      </c>
      <c r="AS348" t="s">
        <v>6865</v>
      </c>
      <c r="AT348" t="s">
        <v>6783</v>
      </c>
      <c r="AU348">
        <v>2023</v>
      </c>
      <c r="AV348" t="s">
        <v>74</v>
      </c>
      <c r="AW348" t="s">
        <v>74</v>
      </c>
      <c r="AX348" t="s">
        <v>74</v>
      </c>
      <c r="AY348" t="s">
        <v>74</v>
      </c>
      <c r="AZ348" t="s">
        <v>74</v>
      </c>
      <c r="BA348" t="s">
        <v>74</v>
      </c>
      <c r="BB348" t="s">
        <v>74</v>
      </c>
      <c r="BC348" t="s">
        <v>74</v>
      </c>
      <c r="BD348" t="s">
        <v>74</v>
      </c>
      <c r="BE348" t="s">
        <v>6866</v>
      </c>
      <c r="BF348" t="str">
        <f>HYPERLINK("http://dx.doi.org/10.1007/s00432-023-05346-1","http://dx.doi.org/10.1007/s00432-023-05346-1")</f>
        <v>http://dx.doi.org/10.1007/s00432-023-05346-1</v>
      </c>
      <c r="BG348" t="s">
        <v>74</v>
      </c>
      <c r="BH348" t="s">
        <v>2079</v>
      </c>
      <c r="BI348">
        <v>10</v>
      </c>
      <c r="BJ348" t="s">
        <v>1951</v>
      </c>
      <c r="BK348" t="s">
        <v>126</v>
      </c>
      <c r="BL348" t="s">
        <v>1951</v>
      </c>
      <c r="BM348" t="s">
        <v>6867</v>
      </c>
      <c r="BN348">
        <v>37672074</v>
      </c>
      <c r="BO348" t="s">
        <v>74</v>
      </c>
      <c r="BP348" t="s">
        <v>74</v>
      </c>
      <c r="BQ348" t="s">
        <v>74</v>
      </c>
      <c r="BR348" t="s">
        <v>99</v>
      </c>
      <c r="BS348" t="s">
        <v>6868</v>
      </c>
      <c r="BT348" t="str">
        <f>HYPERLINK("https%3A%2F%2Fwww.webofscience.com%2Fwos%2Fwoscc%2Ffull-record%2FWOS:001062847400006","View Full Record in Web of Science")</f>
        <v>View Full Record in Web of Science</v>
      </c>
    </row>
    <row r="349" spans="1:72" x14ac:dyDescent="0.15">
      <c r="A349" t="s">
        <v>72</v>
      </c>
      <c r="B349" t="s">
        <v>6869</v>
      </c>
      <c r="C349" t="s">
        <v>74</v>
      </c>
      <c r="D349" t="s">
        <v>74</v>
      </c>
      <c r="E349" t="s">
        <v>74</v>
      </c>
      <c r="F349" t="s">
        <v>6870</v>
      </c>
      <c r="G349" t="s">
        <v>74</v>
      </c>
      <c r="H349" t="s">
        <v>74</v>
      </c>
      <c r="I349" t="s">
        <v>6871</v>
      </c>
      <c r="J349" t="s">
        <v>6872</v>
      </c>
      <c r="K349" t="s">
        <v>74</v>
      </c>
      <c r="L349" t="s">
        <v>74</v>
      </c>
      <c r="M349" t="s">
        <v>78</v>
      </c>
      <c r="N349" t="s">
        <v>105</v>
      </c>
      <c r="O349" t="s">
        <v>74</v>
      </c>
      <c r="P349" t="s">
        <v>74</v>
      </c>
      <c r="Q349" t="s">
        <v>74</v>
      </c>
      <c r="R349" t="s">
        <v>74</v>
      </c>
      <c r="S349" t="s">
        <v>74</v>
      </c>
      <c r="T349" t="s">
        <v>6873</v>
      </c>
      <c r="U349" t="s">
        <v>6874</v>
      </c>
      <c r="V349" t="s">
        <v>6875</v>
      </c>
      <c r="W349" t="s">
        <v>6876</v>
      </c>
      <c r="X349" t="s">
        <v>6877</v>
      </c>
      <c r="Y349" t="s">
        <v>6878</v>
      </c>
      <c r="Z349" t="s">
        <v>6879</v>
      </c>
      <c r="AA349" t="s">
        <v>74</v>
      </c>
      <c r="AB349" t="s">
        <v>74</v>
      </c>
      <c r="AC349" t="s">
        <v>2755</v>
      </c>
      <c r="AD349" t="s">
        <v>2755</v>
      </c>
      <c r="AE349" t="s">
        <v>2755</v>
      </c>
      <c r="AF349" t="s">
        <v>74</v>
      </c>
      <c r="AG349">
        <v>28</v>
      </c>
      <c r="AH349">
        <v>0</v>
      </c>
      <c r="AI349">
        <v>0</v>
      </c>
      <c r="AJ349">
        <v>1</v>
      </c>
      <c r="AK349">
        <v>1</v>
      </c>
      <c r="AL349" t="s">
        <v>117</v>
      </c>
      <c r="AM349" t="s">
        <v>118</v>
      </c>
      <c r="AN349" t="s">
        <v>119</v>
      </c>
      <c r="AO349" t="s">
        <v>6880</v>
      </c>
      <c r="AP349" t="s">
        <v>6881</v>
      </c>
      <c r="AQ349" t="s">
        <v>74</v>
      </c>
      <c r="AR349" t="s">
        <v>6882</v>
      </c>
      <c r="AS349" t="s">
        <v>6883</v>
      </c>
      <c r="AT349" t="s">
        <v>6802</v>
      </c>
      <c r="AU349">
        <v>2023</v>
      </c>
      <c r="AV349">
        <v>28</v>
      </c>
      <c r="AW349">
        <v>1</v>
      </c>
      <c r="AX349" t="s">
        <v>74</v>
      </c>
      <c r="AY349" t="s">
        <v>74</v>
      </c>
      <c r="AZ349" t="s">
        <v>74</v>
      </c>
      <c r="BA349" t="s">
        <v>74</v>
      </c>
      <c r="BB349" t="s">
        <v>74</v>
      </c>
      <c r="BC349" t="s">
        <v>74</v>
      </c>
      <c r="BD349">
        <v>23</v>
      </c>
      <c r="BE349" t="s">
        <v>6884</v>
      </c>
      <c r="BF349" t="str">
        <f>HYPERLINK("http://dx.doi.org/10.1186/s43043-023-00149-3","http://dx.doi.org/10.1186/s43043-023-00149-3")</f>
        <v>http://dx.doi.org/10.1186/s43043-023-00149-3</v>
      </c>
      <c r="BG349" t="s">
        <v>74</v>
      </c>
      <c r="BH349" t="s">
        <v>74</v>
      </c>
      <c r="BI349">
        <v>6</v>
      </c>
      <c r="BJ349" t="s">
        <v>6169</v>
      </c>
      <c r="BK349" t="s">
        <v>97</v>
      </c>
      <c r="BL349" t="s">
        <v>6169</v>
      </c>
      <c r="BM349" t="s">
        <v>6885</v>
      </c>
      <c r="BN349" t="s">
        <v>74</v>
      </c>
      <c r="BO349" t="s">
        <v>302</v>
      </c>
      <c r="BP349" t="s">
        <v>74</v>
      </c>
      <c r="BQ349" t="s">
        <v>74</v>
      </c>
      <c r="BR349" t="s">
        <v>99</v>
      </c>
      <c r="BS349" t="s">
        <v>6886</v>
      </c>
      <c r="BT349" t="str">
        <f>HYPERLINK("https%3A%2F%2Fwww.webofscience.com%2Fwos%2Fwoscc%2Ffull-record%2FWOS:001060832100001","View Full Record in Web of Science")</f>
        <v>View Full Record in Web of Science</v>
      </c>
    </row>
    <row r="350" spans="1:72" x14ac:dyDescent="0.15">
      <c r="A350" t="s">
        <v>72</v>
      </c>
      <c r="B350" t="s">
        <v>6887</v>
      </c>
      <c r="C350" t="s">
        <v>74</v>
      </c>
      <c r="D350" t="s">
        <v>74</v>
      </c>
      <c r="E350" t="s">
        <v>74</v>
      </c>
      <c r="F350" t="s">
        <v>6888</v>
      </c>
      <c r="G350" t="s">
        <v>74</v>
      </c>
      <c r="H350" t="s">
        <v>74</v>
      </c>
      <c r="I350" t="s">
        <v>6889</v>
      </c>
      <c r="J350" t="s">
        <v>6890</v>
      </c>
      <c r="K350" t="s">
        <v>74</v>
      </c>
      <c r="L350" t="s">
        <v>74</v>
      </c>
      <c r="M350" t="s">
        <v>78</v>
      </c>
      <c r="N350" t="s">
        <v>1246</v>
      </c>
      <c r="O350" t="s">
        <v>74</v>
      </c>
      <c r="P350" t="s">
        <v>74</v>
      </c>
      <c r="Q350" t="s">
        <v>74</v>
      </c>
      <c r="R350" t="s">
        <v>74</v>
      </c>
      <c r="S350" t="s">
        <v>74</v>
      </c>
      <c r="T350" t="s">
        <v>6891</v>
      </c>
      <c r="U350" t="s">
        <v>6892</v>
      </c>
      <c r="V350" t="s">
        <v>6893</v>
      </c>
      <c r="W350" t="s">
        <v>6894</v>
      </c>
      <c r="X350" t="s">
        <v>6895</v>
      </c>
      <c r="Y350" t="s">
        <v>6896</v>
      </c>
      <c r="Z350" t="s">
        <v>6897</v>
      </c>
      <c r="AA350" t="s">
        <v>74</v>
      </c>
      <c r="AB350" t="s">
        <v>74</v>
      </c>
      <c r="AC350" t="s">
        <v>6898</v>
      </c>
      <c r="AD350" t="s">
        <v>6898</v>
      </c>
      <c r="AE350" t="s">
        <v>6898</v>
      </c>
      <c r="AF350" t="s">
        <v>74</v>
      </c>
      <c r="AG350">
        <v>69</v>
      </c>
      <c r="AH350">
        <v>0</v>
      </c>
      <c r="AI350">
        <v>0</v>
      </c>
      <c r="AJ350">
        <v>0</v>
      </c>
      <c r="AK350">
        <v>0</v>
      </c>
      <c r="AL350" t="s">
        <v>117</v>
      </c>
      <c r="AM350" t="s">
        <v>118</v>
      </c>
      <c r="AN350" t="s">
        <v>119</v>
      </c>
      <c r="AO350" t="s">
        <v>6899</v>
      </c>
      <c r="AP350" t="s">
        <v>6900</v>
      </c>
      <c r="AQ350" t="s">
        <v>74</v>
      </c>
      <c r="AR350" t="s">
        <v>6901</v>
      </c>
      <c r="AS350" t="s">
        <v>6902</v>
      </c>
      <c r="AT350" t="s">
        <v>6783</v>
      </c>
      <c r="AU350">
        <v>2023</v>
      </c>
      <c r="AV350" t="s">
        <v>74</v>
      </c>
      <c r="AW350" t="s">
        <v>74</v>
      </c>
      <c r="AX350" t="s">
        <v>74</v>
      </c>
      <c r="AY350" t="s">
        <v>74</v>
      </c>
      <c r="AZ350" t="s">
        <v>74</v>
      </c>
      <c r="BA350" t="s">
        <v>74</v>
      </c>
      <c r="BB350" t="s">
        <v>74</v>
      </c>
      <c r="BC350" t="s">
        <v>74</v>
      </c>
      <c r="BD350" t="s">
        <v>74</v>
      </c>
      <c r="BE350" t="s">
        <v>6903</v>
      </c>
      <c r="BF350" t="str">
        <f>HYPERLINK("http://dx.doi.org/10.1007/s40618-023-02188","http://dx.doi.org/10.1007/s40618-023-02188")</f>
        <v>http://dx.doi.org/10.1007/s40618-023-02188</v>
      </c>
      <c r="BG350" t="s">
        <v>74</v>
      </c>
      <c r="BH350" t="s">
        <v>2079</v>
      </c>
      <c r="BI350">
        <v>12</v>
      </c>
      <c r="BJ350" t="s">
        <v>5606</v>
      </c>
      <c r="BK350" t="s">
        <v>126</v>
      </c>
      <c r="BL350" t="s">
        <v>5606</v>
      </c>
      <c r="BM350" t="s">
        <v>6904</v>
      </c>
      <c r="BN350" t="s">
        <v>74</v>
      </c>
      <c r="BO350" t="s">
        <v>74</v>
      </c>
      <c r="BP350" t="s">
        <v>74</v>
      </c>
      <c r="BQ350" t="s">
        <v>74</v>
      </c>
      <c r="BR350" t="s">
        <v>99</v>
      </c>
      <c r="BS350" t="s">
        <v>6905</v>
      </c>
      <c r="BT350" t="str">
        <f>HYPERLINK("https%3A%2F%2Fwww.webofscience.com%2Fwos%2Fwoscc%2Ffull-record%2FWOS:001059622000001","View Full Record in Web of Science")</f>
        <v>View Full Record in Web of Science</v>
      </c>
    </row>
    <row r="351" spans="1:72" x14ac:dyDescent="0.15">
      <c r="A351" t="s">
        <v>72</v>
      </c>
      <c r="B351" t="s">
        <v>6906</v>
      </c>
      <c r="C351" t="s">
        <v>74</v>
      </c>
      <c r="D351" t="s">
        <v>74</v>
      </c>
      <c r="E351" t="s">
        <v>74</v>
      </c>
      <c r="F351" t="s">
        <v>6907</v>
      </c>
      <c r="G351" t="s">
        <v>74</v>
      </c>
      <c r="H351" t="s">
        <v>74</v>
      </c>
      <c r="I351" t="s">
        <v>6908</v>
      </c>
      <c r="J351" t="s">
        <v>6909</v>
      </c>
      <c r="K351" t="s">
        <v>74</v>
      </c>
      <c r="L351" t="s">
        <v>74</v>
      </c>
      <c r="M351" t="s">
        <v>78</v>
      </c>
      <c r="N351" t="s">
        <v>105</v>
      </c>
      <c r="O351" t="s">
        <v>74</v>
      </c>
      <c r="P351" t="s">
        <v>74</v>
      </c>
      <c r="Q351" t="s">
        <v>74</v>
      </c>
      <c r="R351" t="s">
        <v>74</v>
      </c>
      <c r="S351" t="s">
        <v>74</v>
      </c>
      <c r="T351" t="s">
        <v>6910</v>
      </c>
      <c r="U351" t="s">
        <v>6911</v>
      </c>
      <c r="V351" t="s">
        <v>6912</v>
      </c>
      <c r="W351" t="s">
        <v>6913</v>
      </c>
      <c r="X351" t="s">
        <v>6914</v>
      </c>
      <c r="Y351" t="s">
        <v>6915</v>
      </c>
      <c r="Z351" t="s">
        <v>6916</v>
      </c>
      <c r="AA351" t="s">
        <v>74</v>
      </c>
      <c r="AB351" t="s">
        <v>74</v>
      </c>
      <c r="AC351" t="s">
        <v>74</v>
      </c>
      <c r="AD351" t="s">
        <v>74</v>
      </c>
      <c r="AE351" t="s">
        <v>74</v>
      </c>
      <c r="AF351" t="s">
        <v>74</v>
      </c>
      <c r="AG351">
        <v>40</v>
      </c>
      <c r="AH351">
        <v>0</v>
      </c>
      <c r="AI351">
        <v>0</v>
      </c>
      <c r="AJ351">
        <v>0</v>
      </c>
      <c r="AK351">
        <v>0</v>
      </c>
      <c r="AL351" t="s">
        <v>117</v>
      </c>
      <c r="AM351" t="s">
        <v>118</v>
      </c>
      <c r="AN351" t="s">
        <v>119</v>
      </c>
      <c r="AO351" t="s">
        <v>6917</v>
      </c>
      <c r="AP351" t="s">
        <v>6918</v>
      </c>
      <c r="AQ351" t="s">
        <v>74</v>
      </c>
      <c r="AR351" t="s">
        <v>6919</v>
      </c>
      <c r="AS351" t="s">
        <v>6920</v>
      </c>
      <c r="AT351" t="s">
        <v>6802</v>
      </c>
      <c r="AU351">
        <v>2023</v>
      </c>
      <c r="AV351">
        <v>46</v>
      </c>
      <c r="AW351">
        <v>1</v>
      </c>
      <c r="AX351" t="s">
        <v>74</v>
      </c>
      <c r="AY351" t="s">
        <v>74</v>
      </c>
      <c r="AZ351" t="s">
        <v>74</v>
      </c>
      <c r="BA351" t="s">
        <v>74</v>
      </c>
      <c r="BB351" t="s">
        <v>74</v>
      </c>
      <c r="BC351" t="s">
        <v>74</v>
      </c>
      <c r="BD351">
        <v>227</v>
      </c>
      <c r="BE351" t="s">
        <v>6921</v>
      </c>
      <c r="BF351" t="str">
        <f>HYPERLINK("http://dx.doi.org/10.1007/s10143-023-02137-7","http://dx.doi.org/10.1007/s10143-023-02137-7")</f>
        <v>http://dx.doi.org/10.1007/s10143-023-02137-7</v>
      </c>
      <c r="BG351" t="s">
        <v>74</v>
      </c>
      <c r="BH351" t="s">
        <v>74</v>
      </c>
      <c r="BI351">
        <v>7</v>
      </c>
      <c r="BJ351" t="s">
        <v>6543</v>
      </c>
      <c r="BK351" t="s">
        <v>126</v>
      </c>
      <c r="BL351" t="s">
        <v>6544</v>
      </c>
      <c r="BM351" t="s">
        <v>6922</v>
      </c>
      <c r="BN351">
        <v>37672166</v>
      </c>
      <c r="BO351" t="s">
        <v>74</v>
      </c>
      <c r="BP351" t="s">
        <v>74</v>
      </c>
      <c r="BQ351" t="s">
        <v>74</v>
      </c>
      <c r="BR351" t="s">
        <v>99</v>
      </c>
      <c r="BS351" t="s">
        <v>6923</v>
      </c>
      <c r="BT351" t="str">
        <f>HYPERLINK("https%3A%2F%2Fwww.webofscience.com%2Fwos%2Fwoscc%2Ffull-record%2FWOS:001061398700002","View Full Record in Web of Science")</f>
        <v>View Full Record in Web of Science</v>
      </c>
    </row>
    <row r="352" spans="1:72" x14ac:dyDescent="0.15">
      <c r="A352" t="s">
        <v>72</v>
      </c>
      <c r="B352" t="s">
        <v>6924</v>
      </c>
      <c r="C352" t="s">
        <v>74</v>
      </c>
      <c r="D352" t="s">
        <v>74</v>
      </c>
      <c r="E352" t="s">
        <v>74</v>
      </c>
      <c r="F352" t="s">
        <v>6925</v>
      </c>
      <c r="G352" t="s">
        <v>74</v>
      </c>
      <c r="H352" t="s">
        <v>74</v>
      </c>
      <c r="I352" t="s">
        <v>6926</v>
      </c>
      <c r="J352" t="s">
        <v>6927</v>
      </c>
      <c r="K352" t="s">
        <v>74</v>
      </c>
      <c r="L352" t="s">
        <v>74</v>
      </c>
      <c r="M352" t="s">
        <v>78</v>
      </c>
      <c r="N352" t="s">
        <v>3139</v>
      </c>
      <c r="O352" t="s">
        <v>74</v>
      </c>
      <c r="P352" t="s">
        <v>74</v>
      </c>
      <c r="Q352" t="s">
        <v>74</v>
      </c>
      <c r="R352" t="s">
        <v>74</v>
      </c>
      <c r="S352" t="s">
        <v>74</v>
      </c>
      <c r="T352" t="s">
        <v>74</v>
      </c>
      <c r="U352" t="s">
        <v>6928</v>
      </c>
      <c r="V352" t="s">
        <v>74</v>
      </c>
      <c r="W352" t="s">
        <v>6929</v>
      </c>
      <c r="X352" t="s">
        <v>6930</v>
      </c>
      <c r="Y352" t="s">
        <v>6931</v>
      </c>
      <c r="Z352" t="s">
        <v>6932</v>
      </c>
      <c r="AA352" t="s">
        <v>74</v>
      </c>
      <c r="AB352" t="s">
        <v>74</v>
      </c>
      <c r="AC352" t="s">
        <v>74</v>
      </c>
      <c r="AD352" t="s">
        <v>74</v>
      </c>
      <c r="AE352" t="s">
        <v>74</v>
      </c>
      <c r="AF352" t="s">
        <v>74</v>
      </c>
      <c r="AG352">
        <v>6</v>
      </c>
      <c r="AH352">
        <v>0</v>
      </c>
      <c r="AI352">
        <v>0</v>
      </c>
      <c r="AJ352">
        <v>0</v>
      </c>
      <c r="AK352">
        <v>0</v>
      </c>
      <c r="AL352" t="s">
        <v>117</v>
      </c>
      <c r="AM352" t="s">
        <v>118</v>
      </c>
      <c r="AN352" t="s">
        <v>119</v>
      </c>
      <c r="AO352" t="s">
        <v>6933</v>
      </c>
      <c r="AP352" t="s">
        <v>6934</v>
      </c>
      <c r="AQ352" t="s">
        <v>74</v>
      </c>
      <c r="AR352" t="s">
        <v>6935</v>
      </c>
      <c r="AS352" t="s">
        <v>6936</v>
      </c>
      <c r="AT352" t="s">
        <v>6783</v>
      </c>
      <c r="AU352">
        <v>2023</v>
      </c>
      <c r="AV352" t="s">
        <v>74</v>
      </c>
      <c r="AW352" t="s">
        <v>74</v>
      </c>
      <c r="AX352" t="s">
        <v>74</v>
      </c>
      <c r="AY352" t="s">
        <v>74</v>
      </c>
      <c r="AZ352" t="s">
        <v>74</v>
      </c>
      <c r="BA352" t="s">
        <v>74</v>
      </c>
      <c r="BB352" t="s">
        <v>74</v>
      </c>
      <c r="BC352" t="s">
        <v>74</v>
      </c>
      <c r="BD352" t="s">
        <v>74</v>
      </c>
      <c r="BE352" t="s">
        <v>6937</v>
      </c>
      <c r="BF352" t="str">
        <f>HYPERLINK("http://dx.doi.org/10.1245/s10434-023-14263","http://dx.doi.org/10.1245/s10434-023-14263")</f>
        <v>http://dx.doi.org/10.1245/s10434-023-14263</v>
      </c>
      <c r="BG352" t="s">
        <v>74</v>
      </c>
      <c r="BH352" t="s">
        <v>2079</v>
      </c>
      <c r="BI352">
        <v>2</v>
      </c>
      <c r="BJ352" t="s">
        <v>6938</v>
      </c>
      <c r="BK352" t="s">
        <v>126</v>
      </c>
      <c r="BL352" t="s">
        <v>6938</v>
      </c>
      <c r="BM352" t="s">
        <v>6939</v>
      </c>
      <c r="BN352" t="s">
        <v>74</v>
      </c>
      <c r="BO352" t="s">
        <v>74</v>
      </c>
      <c r="BP352" t="s">
        <v>74</v>
      </c>
      <c r="BQ352" t="s">
        <v>74</v>
      </c>
      <c r="BR352" t="s">
        <v>99</v>
      </c>
      <c r="BS352" t="s">
        <v>6940</v>
      </c>
      <c r="BT352" t="str">
        <f>HYPERLINK("https%3A%2F%2Fwww.webofscience.com%2Fwos%2Fwoscc%2Ffull-record%2FWOS:001063119700004","View Full Record in Web of Science")</f>
        <v>View Full Record in Web of Science</v>
      </c>
    </row>
    <row r="353" spans="1:72" x14ac:dyDescent="0.15">
      <c r="A353" t="s">
        <v>72</v>
      </c>
      <c r="B353" t="s">
        <v>6941</v>
      </c>
      <c r="C353" t="s">
        <v>74</v>
      </c>
      <c r="D353" t="s">
        <v>74</v>
      </c>
      <c r="E353" t="s">
        <v>74</v>
      </c>
      <c r="F353" t="s">
        <v>6942</v>
      </c>
      <c r="G353" t="s">
        <v>74</v>
      </c>
      <c r="H353" t="s">
        <v>74</v>
      </c>
      <c r="I353" t="s">
        <v>6943</v>
      </c>
      <c r="J353" t="s">
        <v>6927</v>
      </c>
      <c r="K353" t="s">
        <v>74</v>
      </c>
      <c r="L353" t="s">
        <v>74</v>
      </c>
      <c r="M353" t="s">
        <v>78</v>
      </c>
      <c r="N353" t="s">
        <v>3139</v>
      </c>
      <c r="O353" t="s">
        <v>74</v>
      </c>
      <c r="P353" t="s">
        <v>74</v>
      </c>
      <c r="Q353" t="s">
        <v>74</v>
      </c>
      <c r="R353" t="s">
        <v>74</v>
      </c>
      <c r="S353" t="s">
        <v>74</v>
      </c>
      <c r="T353" t="s">
        <v>74</v>
      </c>
      <c r="U353" t="s">
        <v>74</v>
      </c>
      <c r="V353" t="s">
        <v>74</v>
      </c>
      <c r="W353" t="s">
        <v>6944</v>
      </c>
      <c r="X353" t="s">
        <v>6945</v>
      </c>
      <c r="Y353" t="s">
        <v>6946</v>
      </c>
      <c r="Z353" t="s">
        <v>6947</v>
      </c>
      <c r="AA353" t="s">
        <v>74</v>
      </c>
      <c r="AB353" t="s">
        <v>6948</v>
      </c>
      <c r="AC353" t="s">
        <v>74</v>
      </c>
      <c r="AD353" t="s">
        <v>74</v>
      </c>
      <c r="AE353" t="s">
        <v>74</v>
      </c>
      <c r="AF353" t="s">
        <v>74</v>
      </c>
      <c r="AG353">
        <v>5</v>
      </c>
      <c r="AH353">
        <v>0</v>
      </c>
      <c r="AI353">
        <v>0</v>
      </c>
      <c r="AJ353">
        <v>0</v>
      </c>
      <c r="AK353">
        <v>0</v>
      </c>
      <c r="AL353" t="s">
        <v>117</v>
      </c>
      <c r="AM353" t="s">
        <v>118</v>
      </c>
      <c r="AN353" t="s">
        <v>119</v>
      </c>
      <c r="AO353" t="s">
        <v>6933</v>
      </c>
      <c r="AP353" t="s">
        <v>6934</v>
      </c>
      <c r="AQ353" t="s">
        <v>74</v>
      </c>
      <c r="AR353" t="s">
        <v>6935</v>
      </c>
      <c r="AS353" t="s">
        <v>6936</v>
      </c>
      <c r="AT353" t="s">
        <v>6783</v>
      </c>
      <c r="AU353">
        <v>2023</v>
      </c>
      <c r="AV353" t="s">
        <v>74</v>
      </c>
      <c r="AW353" t="s">
        <v>74</v>
      </c>
      <c r="AX353" t="s">
        <v>74</v>
      </c>
      <c r="AY353" t="s">
        <v>74</v>
      </c>
      <c r="AZ353" t="s">
        <v>74</v>
      </c>
      <c r="BA353" t="s">
        <v>74</v>
      </c>
      <c r="BB353" t="s">
        <v>74</v>
      </c>
      <c r="BC353" t="s">
        <v>74</v>
      </c>
      <c r="BD353" t="s">
        <v>74</v>
      </c>
      <c r="BE353" t="s">
        <v>6949</v>
      </c>
      <c r="BF353" t="str">
        <f>HYPERLINK("http://dx.doi.org/10.1245/s10434-023-14269-7","http://dx.doi.org/10.1245/s10434-023-14269-7")</f>
        <v>http://dx.doi.org/10.1245/s10434-023-14269-7</v>
      </c>
      <c r="BG353" t="s">
        <v>74</v>
      </c>
      <c r="BH353" t="s">
        <v>2079</v>
      </c>
      <c r="BI353">
        <v>2</v>
      </c>
      <c r="BJ353" t="s">
        <v>6938</v>
      </c>
      <c r="BK353" t="s">
        <v>126</v>
      </c>
      <c r="BL353" t="s">
        <v>6938</v>
      </c>
      <c r="BM353" t="s">
        <v>6939</v>
      </c>
      <c r="BN353">
        <v>37672146</v>
      </c>
      <c r="BO353" t="s">
        <v>74</v>
      </c>
      <c r="BP353" t="s">
        <v>74</v>
      </c>
      <c r="BQ353" t="s">
        <v>74</v>
      </c>
      <c r="BR353" t="s">
        <v>99</v>
      </c>
      <c r="BS353" t="s">
        <v>6950</v>
      </c>
      <c r="BT353" t="str">
        <f>HYPERLINK("https%3A%2F%2Fwww.webofscience.com%2Fwos%2Fwoscc%2Ffull-record%2FWOS:001063119700002","View Full Record in Web of Science")</f>
        <v>View Full Record in Web of Science</v>
      </c>
    </row>
    <row r="354" spans="1:72" x14ac:dyDescent="0.15">
      <c r="A354" t="s">
        <v>72</v>
      </c>
      <c r="B354" t="s">
        <v>6951</v>
      </c>
      <c r="C354" t="s">
        <v>74</v>
      </c>
      <c r="D354" t="s">
        <v>74</v>
      </c>
      <c r="E354" t="s">
        <v>74</v>
      </c>
      <c r="F354" t="s">
        <v>6952</v>
      </c>
      <c r="G354" t="s">
        <v>74</v>
      </c>
      <c r="H354" t="s">
        <v>74</v>
      </c>
      <c r="I354" t="s">
        <v>6953</v>
      </c>
      <c r="J354" t="s">
        <v>6954</v>
      </c>
      <c r="K354" t="s">
        <v>74</v>
      </c>
      <c r="L354" t="s">
        <v>74</v>
      </c>
      <c r="M354" t="s">
        <v>78</v>
      </c>
      <c r="N354" t="s">
        <v>1246</v>
      </c>
      <c r="O354" t="s">
        <v>74</v>
      </c>
      <c r="P354" t="s">
        <v>74</v>
      </c>
      <c r="Q354" t="s">
        <v>74</v>
      </c>
      <c r="R354" t="s">
        <v>74</v>
      </c>
      <c r="S354" t="s">
        <v>74</v>
      </c>
      <c r="T354" t="s">
        <v>6955</v>
      </c>
      <c r="U354" t="s">
        <v>6956</v>
      </c>
      <c r="V354" t="s">
        <v>6957</v>
      </c>
      <c r="W354" t="s">
        <v>6958</v>
      </c>
      <c r="X354" t="s">
        <v>6959</v>
      </c>
      <c r="Y354" t="s">
        <v>6960</v>
      </c>
      <c r="Z354" t="s">
        <v>6961</v>
      </c>
      <c r="AA354" t="s">
        <v>74</v>
      </c>
      <c r="AB354" t="s">
        <v>74</v>
      </c>
      <c r="AC354" t="s">
        <v>932</v>
      </c>
      <c r="AD354" t="s">
        <v>932</v>
      </c>
      <c r="AE354" t="s">
        <v>932</v>
      </c>
      <c r="AF354" t="s">
        <v>74</v>
      </c>
      <c r="AG354">
        <v>73</v>
      </c>
      <c r="AH354">
        <v>0</v>
      </c>
      <c r="AI354">
        <v>0</v>
      </c>
      <c r="AJ354">
        <v>0</v>
      </c>
      <c r="AK354">
        <v>0</v>
      </c>
      <c r="AL354" t="s">
        <v>117</v>
      </c>
      <c r="AM354" t="s">
        <v>118</v>
      </c>
      <c r="AN354" t="s">
        <v>119</v>
      </c>
      <c r="AO354" t="s">
        <v>6962</v>
      </c>
      <c r="AP354" t="s">
        <v>6963</v>
      </c>
      <c r="AQ354" t="s">
        <v>74</v>
      </c>
      <c r="AR354" t="s">
        <v>6964</v>
      </c>
      <c r="AS354" t="s">
        <v>6965</v>
      </c>
      <c r="AT354" t="s">
        <v>6783</v>
      </c>
      <c r="AU354">
        <v>2023</v>
      </c>
      <c r="AV354" t="s">
        <v>74</v>
      </c>
      <c r="AW354" t="s">
        <v>74</v>
      </c>
      <c r="AX354" t="s">
        <v>74</v>
      </c>
      <c r="AY354" t="s">
        <v>74</v>
      </c>
      <c r="AZ354" t="s">
        <v>74</v>
      </c>
      <c r="BA354" t="s">
        <v>74</v>
      </c>
      <c r="BB354" t="s">
        <v>74</v>
      </c>
      <c r="BC354" t="s">
        <v>74</v>
      </c>
      <c r="BD354" t="s">
        <v>74</v>
      </c>
      <c r="BE354" t="s">
        <v>6966</v>
      </c>
      <c r="BF354" t="str">
        <f>HYPERLINK("http://dx.doi.org/10.1007/s10690-023-09423","http://dx.doi.org/10.1007/s10690-023-09423")</f>
        <v>http://dx.doi.org/10.1007/s10690-023-09423</v>
      </c>
      <c r="BG354" t="s">
        <v>74</v>
      </c>
      <c r="BH354" t="s">
        <v>2079</v>
      </c>
      <c r="BI354">
        <v>23</v>
      </c>
      <c r="BJ354" t="s">
        <v>2781</v>
      </c>
      <c r="BK354" t="s">
        <v>97</v>
      </c>
      <c r="BL354" t="s">
        <v>426</v>
      </c>
      <c r="BM354" t="s">
        <v>6967</v>
      </c>
      <c r="BN354" t="s">
        <v>74</v>
      </c>
      <c r="BO354" t="s">
        <v>74</v>
      </c>
      <c r="BP354" t="s">
        <v>74</v>
      </c>
      <c r="BQ354" t="s">
        <v>74</v>
      </c>
      <c r="BR354" t="s">
        <v>99</v>
      </c>
      <c r="BS354" t="s">
        <v>6968</v>
      </c>
      <c r="BT354" t="str">
        <f>HYPERLINK("https%3A%2F%2Fwww.webofscience.com%2Fwos%2Fwoscc%2Ffull-record%2FWOS:001059607600001","View Full Record in Web of Science")</f>
        <v>View Full Record in Web of Science</v>
      </c>
    </row>
    <row r="355" spans="1:72" x14ac:dyDescent="0.15">
      <c r="A355" t="s">
        <v>72</v>
      </c>
      <c r="B355" t="s">
        <v>6969</v>
      </c>
      <c r="C355" t="s">
        <v>74</v>
      </c>
      <c r="D355" t="s">
        <v>74</v>
      </c>
      <c r="E355" t="s">
        <v>74</v>
      </c>
      <c r="F355" t="s">
        <v>6970</v>
      </c>
      <c r="G355" t="s">
        <v>74</v>
      </c>
      <c r="H355" t="s">
        <v>74</v>
      </c>
      <c r="I355" t="s">
        <v>6971</v>
      </c>
      <c r="J355" t="s">
        <v>6235</v>
      </c>
      <c r="K355" t="s">
        <v>74</v>
      </c>
      <c r="L355" t="s">
        <v>74</v>
      </c>
      <c r="M355" t="s">
        <v>78</v>
      </c>
      <c r="N355" t="s">
        <v>1246</v>
      </c>
      <c r="O355" t="s">
        <v>74</v>
      </c>
      <c r="P355" t="s">
        <v>74</v>
      </c>
      <c r="Q355" t="s">
        <v>74</v>
      </c>
      <c r="R355" t="s">
        <v>74</v>
      </c>
      <c r="S355" t="s">
        <v>74</v>
      </c>
      <c r="T355" t="s">
        <v>6972</v>
      </c>
      <c r="U355" t="s">
        <v>74</v>
      </c>
      <c r="V355" t="s">
        <v>6973</v>
      </c>
      <c r="W355" t="s">
        <v>6974</v>
      </c>
      <c r="X355" t="s">
        <v>6975</v>
      </c>
      <c r="Y355" t="s">
        <v>6976</v>
      </c>
      <c r="Z355" t="s">
        <v>6977</v>
      </c>
      <c r="AA355" t="s">
        <v>74</v>
      </c>
      <c r="AB355" t="s">
        <v>74</v>
      </c>
      <c r="AC355" t="s">
        <v>6978</v>
      </c>
      <c r="AD355" t="s">
        <v>6978</v>
      </c>
      <c r="AE355" t="s">
        <v>6979</v>
      </c>
      <c r="AF355" t="s">
        <v>74</v>
      </c>
      <c r="AG355">
        <v>11</v>
      </c>
      <c r="AH355">
        <v>0</v>
      </c>
      <c r="AI355">
        <v>0</v>
      </c>
      <c r="AJ355">
        <v>0</v>
      </c>
      <c r="AK355">
        <v>0</v>
      </c>
      <c r="AL355" t="s">
        <v>317</v>
      </c>
      <c r="AM355" t="s">
        <v>245</v>
      </c>
      <c r="AN355" t="s">
        <v>318</v>
      </c>
      <c r="AO355" t="s">
        <v>6243</v>
      </c>
      <c r="AP355" t="s">
        <v>6244</v>
      </c>
      <c r="AQ355" t="s">
        <v>74</v>
      </c>
      <c r="AR355" t="s">
        <v>6245</v>
      </c>
      <c r="AS355" t="s">
        <v>6246</v>
      </c>
      <c r="AT355" t="s">
        <v>6783</v>
      </c>
      <c r="AU355">
        <v>2023</v>
      </c>
      <c r="AV355" t="s">
        <v>74</v>
      </c>
      <c r="AW355" t="s">
        <v>74</v>
      </c>
      <c r="AX355" t="s">
        <v>74</v>
      </c>
      <c r="AY355" t="s">
        <v>74</v>
      </c>
      <c r="AZ355" t="s">
        <v>74</v>
      </c>
      <c r="BA355" t="s">
        <v>74</v>
      </c>
      <c r="BB355" t="s">
        <v>74</v>
      </c>
      <c r="BC355" t="s">
        <v>74</v>
      </c>
      <c r="BD355" t="s">
        <v>74</v>
      </c>
      <c r="BE355" t="s">
        <v>6980</v>
      </c>
      <c r="BF355" t="str">
        <f>HYPERLINK("http://dx.doi.org/10.1038/s41440-023-01418-4","http://dx.doi.org/10.1038/s41440-023-01418-4")</f>
        <v>http://dx.doi.org/10.1038/s41440-023-01418-4</v>
      </c>
      <c r="BG355" t="s">
        <v>74</v>
      </c>
      <c r="BH355" t="s">
        <v>2079</v>
      </c>
      <c r="BI355">
        <v>6</v>
      </c>
      <c r="BJ355" t="s">
        <v>6248</v>
      </c>
      <c r="BK355" t="s">
        <v>126</v>
      </c>
      <c r="BL355" t="s">
        <v>6249</v>
      </c>
      <c r="BM355" t="s">
        <v>6981</v>
      </c>
      <c r="BN355">
        <v>37673957</v>
      </c>
      <c r="BO355" t="s">
        <v>74</v>
      </c>
      <c r="BP355" t="s">
        <v>74</v>
      </c>
      <c r="BQ355" t="s">
        <v>74</v>
      </c>
      <c r="BR355" t="s">
        <v>99</v>
      </c>
      <c r="BS355" t="s">
        <v>6982</v>
      </c>
      <c r="BT355" t="str">
        <f>HYPERLINK("https%3A%2F%2Fwww.webofscience.com%2Fwos%2Fwoscc%2Ffull-record%2FWOS:001063117400001","View Full Record in Web of Science")</f>
        <v>View Full Record in Web of Science</v>
      </c>
    </row>
    <row r="356" spans="1:72" x14ac:dyDescent="0.15">
      <c r="A356" t="s">
        <v>72</v>
      </c>
      <c r="B356" t="s">
        <v>6983</v>
      </c>
      <c r="C356" t="s">
        <v>74</v>
      </c>
      <c r="D356" t="s">
        <v>74</v>
      </c>
      <c r="E356" t="s">
        <v>74</v>
      </c>
      <c r="F356" t="s">
        <v>6984</v>
      </c>
      <c r="G356" t="s">
        <v>74</v>
      </c>
      <c r="H356" t="s">
        <v>74</v>
      </c>
      <c r="I356" t="s">
        <v>6985</v>
      </c>
      <c r="J356" t="s">
        <v>2173</v>
      </c>
      <c r="K356" t="s">
        <v>74</v>
      </c>
      <c r="L356" t="s">
        <v>74</v>
      </c>
      <c r="M356" t="s">
        <v>78</v>
      </c>
      <c r="N356" t="s">
        <v>1246</v>
      </c>
      <c r="O356" t="s">
        <v>74</v>
      </c>
      <c r="P356" t="s">
        <v>74</v>
      </c>
      <c r="Q356" t="s">
        <v>74</v>
      </c>
      <c r="R356" t="s">
        <v>74</v>
      </c>
      <c r="S356" t="s">
        <v>74</v>
      </c>
      <c r="T356" t="s">
        <v>6986</v>
      </c>
      <c r="U356" t="s">
        <v>6987</v>
      </c>
      <c r="V356" t="s">
        <v>6988</v>
      </c>
      <c r="W356" t="s">
        <v>6989</v>
      </c>
      <c r="X356" t="s">
        <v>6990</v>
      </c>
      <c r="Y356" t="s">
        <v>6991</v>
      </c>
      <c r="Z356" t="s">
        <v>6992</v>
      </c>
      <c r="AA356" t="s">
        <v>74</v>
      </c>
      <c r="AB356" t="s">
        <v>74</v>
      </c>
      <c r="AC356" t="s">
        <v>74</v>
      </c>
      <c r="AD356" t="s">
        <v>74</v>
      </c>
      <c r="AE356" t="s">
        <v>74</v>
      </c>
      <c r="AF356" t="s">
        <v>74</v>
      </c>
      <c r="AG356">
        <v>46</v>
      </c>
      <c r="AH356">
        <v>0</v>
      </c>
      <c r="AI356">
        <v>0</v>
      </c>
      <c r="AJ356">
        <v>1</v>
      </c>
      <c r="AK356">
        <v>1</v>
      </c>
      <c r="AL356" t="s">
        <v>172</v>
      </c>
      <c r="AM356" t="s">
        <v>173</v>
      </c>
      <c r="AN356" t="s">
        <v>174</v>
      </c>
      <c r="AO356" t="s">
        <v>2185</v>
      </c>
      <c r="AP356" t="s">
        <v>2186</v>
      </c>
      <c r="AQ356" t="s">
        <v>74</v>
      </c>
      <c r="AR356" t="s">
        <v>2187</v>
      </c>
      <c r="AS356" t="s">
        <v>2188</v>
      </c>
      <c r="AT356" t="s">
        <v>6783</v>
      </c>
      <c r="AU356">
        <v>2023</v>
      </c>
      <c r="AV356" t="s">
        <v>74</v>
      </c>
      <c r="AW356" t="s">
        <v>74</v>
      </c>
      <c r="AX356" t="s">
        <v>74</v>
      </c>
      <c r="AY356" t="s">
        <v>74</v>
      </c>
      <c r="AZ356" t="s">
        <v>74</v>
      </c>
      <c r="BA356" t="s">
        <v>74</v>
      </c>
      <c r="BB356" t="s">
        <v>74</v>
      </c>
      <c r="BC356" t="s">
        <v>74</v>
      </c>
      <c r="BD356" t="s">
        <v>74</v>
      </c>
      <c r="BE356" t="s">
        <v>6993</v>
      </c>
      <c r="BF356" t="str">
        <f>HYPERLINK("http://dx.doi.org/10.1007/s12145-023-01090-9","http://dx.doi.org/10.1007/s12145-023-01090-9")</f>
        <v>http://dx.doi.org/10.1007/s12145-023-01090-9</v>
      </c>
      <c r="BG356" t="s">
        <v>74</v>
      </c>
      <c r="BH356" t="s">
        <v>2079</v>
      </c>
      <c r="BI356">
        <v>14</v>
      </c>
      <c r="BJ356" t="s">
        <v>2190</v>
      </c>
      <c r="BK356" t="s">
        <v>126</v>
      </c>
      <c r="BL356" t="s">
        <v>2191</v>
      </c>
      <c r="BM356" t="s">
        <v>6994</v>
      </c>
      <c r="BN356" t="s">
        <v>74</v>
      </c>
      <c r="BO356" t="s">
        <v>74</v>
      </c>
      <c r="BP356" t="s">
        <v>74</v>
      </c>
      <c r="BQ356" t="s">
        <v>74</v>
      </c>
      <c r="BR356" t="s">
        <v>99</v>
      </c>
      <c r="BS356" t="s">
        <v>6995</v>
      </c>
      <c r="BT356" t="str">
        <f>HYPERLINK("https%3A%2F%2Fwww.webofscience.com%2Fwos%2Fwoscc%2Ffull-record%2FWOS:001059609500001","View Full Record in Web of Science")</f>
        <v>View Full Record in Web of Science</v>
      </c>
    </row>
    <row r="357" spans="1:72" x14ac:dyDescent="0.15">
      <c r="A357" t="s">
        <v>72</v>
      </c>
      <c r="B357" t="s">
        <v>6996</v>
      </c>
      <c r="C357" t="s">
        <v>74</v>
      </c>
      <c r="D357" t="s">
        <v>74</v>
      </c>
      <c r="E357" t="s">
        <v>74</v>
      </c>
      <c r="F357" t="s">
        <v>6997</v>
      </c>
      <c r="G357" t="s">
        <v>74</v>
      </c>
      <c r="H357" t="s">
        <v>74</v>
      </c>
      <c r="I357" t="s">
        <v>6998</v>
      </c>
      <c r="J357" t="s">
        <v>6999</v>
      </c>
      <c r="K357" t="s">
        <v>74</v>
      </c>
      <c r="L357" t="s">
        <v>74</v>
      </c>
      <c r="M357" t="s">
        <v>78</v>
      </c>
      <c r="N357" t="s">
        <v>1246</v>
      </c>
      <c r="O357" t="s">
        <v>74</v>
      </c>
      <c r="P357" t="s">
        <v>74</v>
      </c>
      <c r="Q357" t="s">
        <v>74</v>
      </c>
      <c r="R357" t="s">
        <v>74</v>
      </c>
      <c r="S357" t="s">
        <v>74</v>
      </c>
      <c r="T357" t="s">
        <v>74</v>
      </c>
      <c r="U357" t="s">
        <v>7000</v>
      </c>
      <c r="V357" t="s">
        <v>7001</v>
      </c>
      <c r="W357" t="s">
        <v>7002</v>
      </c>
      <c r="X357" t="s">
        <v>7003</v>
      </c>
      <c r="Y357" t="s">
        <v>7004</v>
      </c>
      <c r="Z357" t="s">
        <v>7005</v>
      </c>
      <c r="AA357" t="s">
        <v>74</v>
      </c>
      <c r="AB357" t="s">
        <v>7006</v>
      </c>
      <c r="AC357" t="s">
        <v>7007</v>
      </c>
      <c r="AD357" t="s">
        <v>7008</v>
      </c>
      <c r="AE357" t="s">
        <v>7009</v>
      </c>
      <c r="AF357" t="s">
        <v>74</v>
      </c>
      <c r="AG357">
        <v>57</v>
      </c>
      <c r="AH357">
        <v>0</v>
      </c>
      <c r="AI357">
        <v>0</v>
      </c>
      <c r="AJ357">
        <v>3</v>
      </c>
      <c r="AK357">
        <v>3</v>
      </c>
      <c r="AL357" t="s">
        <v>317</v>
      </c>
      <c r="AM357" t="s">
        <v>245</v>
      </c>
      <c r="AN357" t="s">
        <v>318</v>
      </c>
      <c r="AO357" t="s">
        <v>7010</v>
      </c>
      <c r="AP357" t="s">
        <v>7011</v>
      </c>
      <c r="AQ357" t="s">
        <v>74</v>
      </c>
      <c r="AR357" t="s">
        <v>7012</v>
      </c>
      <c r="AS357" t="s">
        <v>7013</v>
      </c>
      <c r="AT357" t="s">
        <v>7014</v>
      </c>
      <c r="AU357">
        <v>2023</v>
      </c>
      <c r="AV357" t="s">
        <v>74</v>
      </c>
      <c r="AW357" t="s">
        <v>74</v>
      </c>
      <c r="AX357" t="s">
        <v>74</v>
      </c>
      <c r="AY357" t="s">
        <v>74</v>
      </c>
      <c r="AZ357" t="s">
        <v>74</v>
      </c>
      <c r="BA357" t="s">
        <v>74</v>
      </c>
      <c r="BB357" t="s">
        <v>74</v>
      </c>
      <c r="BC357" t="s">
        <v>74</v>
      </c>
      <c r="BD357" t="s">
        <v>74</v>
      </c>
      <c r="BE357" t="s">
        <v>7015</v>
      </c>
      <c r="BF357" t="str">
        <f>HYPERLINK("http://dx.doi.org/10.1038/s41380-023-02170-4","http://dx.doi.org/10.1038/s41380-023-02170-4")</f>
        <v>http://dx.doi.org/10.1038/s41380-023-02170-4</v>
      </c>
      <c r="BG357" t="s">
        <v>74</v>
      </c>
      <c r="BH357" t="s">
        <v>2079</v>
      </c>
      <c r="BI357">
        <v>12</v>
      </c>
      <c r="BJ357" t="s">
        <v>7016</v>
      </c>
      <c r="BK357" t="s">
        <v>126</v>
      </c>
      <c r="BL357" t="s">
        <v>7017</v>
      </c>
      <c r="BM357" t="s">
        <v>7018</v>
      </c>
      <c r="BN357">
        <v>37666928</v>
      </c>
      <c r="BO357" t="s">
        <v>183</v>
      </c>
      <c r="BP357" t="s">
        <v>74</v>
      </c>
      <c r="BQ357" t="s">
        <v>74</v>
      </c>
      <c r="BR357" t="s">
        <v>99</v>
      </c>
      <c r="BS357" t="s">
        <v>7019</v>
      </c>
      <c r="BT357" t="str">
        <f>HYPERLINK("https%3A%2F%2Fwww.webofscience.com%2Fwos%2Fwoscc%2Ffull-record%2FWOS:001058285800001","View Full Record in Web of Science")</f>
        <v>View Full Record in Web of Science</v>
      </c>
    </row>
    <row r="358" spans="1:72" x14ac:dyDescent="0.15">
      <c r="A358" t="s">
        <v>72</v>
      </c>
      <c r="B358" t="s">
        <v>7020</v>
      </c>
      <c r="C358" t="s">
        <v>74</v>
      </c>
      <c r="D358" t="s">
        <v>74</v>
      </c>
      <c r="E358" t="s">
        <v>74</v>
      </c>
      <c r="F358" t="s">
        <v>7021</v>
      </c>
      <c r="G358" t="s">
        <v>74</v>
      </c>
      <c r="H358" t="s">
        <v>74</v>
      </c>
      <c r="I358" t="s">
        <v>7022</v>
      </c>
      <c r="J358" t="s">
        <v>7023</v>
      </c>
      <c r="K358" t="s">
        <v>74</v>
      </c>
      <c r="L358" t="s">
        <v>74</v>
      </c>
      <c r="M358" t="s">
        <v>78</v>
      </c>
      <c r="N358" t="s">
        <v>1246</v>
      </c>
      <c r="O358" t="s">
        <v>74</v>
      </c>
      <c r="P358" t="s">
        <v>74</v>
      </c>
      <c r="Q358" t="s">
        <v>74</v>
      </c>
      <c r="R358" t="s">
        <v>74</v>
      </c>
      <c r="S358" t="s">
        <v>74</v>
      </c>
      <c r="T358" t="s">
        <v>7024</v>
      </c>
      <c r="U358" t="s">
        <v>7025</v>
      </c>
      <c r="V358" t="s">
        <v>7026</v>
      </c>
      <c r="W358" t="s">
        <v>7027</v>
      </c>
      <c r="X358" t="s">
        <v>7028</v>
      </c>
      <c r="Y358" t="s">
        <v>7029</v>
      </c>
      <c r="Z358" t="s">
        <v>7030</v>
      </c>
      <c r="AA358" t="s">
        <v>74</v>
      </c>
      <c r="AB358" t="s">
        <v>74</v>
      </c>
      <c r="AC358" t="s">
        <v>7031</v>
      </c>
      <c r="AD358" t="s">
        <v>7031</v>
      </c>
      <c r="AE358" t="s">
        <v>7032</v>
      </c>
      <c r="AF358" t="s">
        <v>74</v>
      </c>
      <c r="AG358">
        <v>34</v>
      </c>
      <c r="AH358">
        <v>0</v>
      </c>
      <c r="AI358">
        <v>0</v>
      </c>
      <c r="AJ358">
        <v>0</v>
      </c>
      <c r="AK358">
        <v>0</v>
      </c>
      <c r="AL358" t="s">
        <v>117</v>
      </c>
      <c r="AM358" t="s">
        <v>627</v>
      </c>
      <c r="AN358" t="s">
        <v>628</v>
      </c>
      <c r="AO358" t="s">
        <v>7033</v>
      </c>
      <c r="AP358" t="s">
        <v>7034</v>
      </c>
      <c r="AQ358" t="s">
        <v>74</v>
      </c>
      <c r="AR358" t="s">
        <v>7035</v>
      </c>
      <c r="AS358" t="s">
        <v>7036</v>
      </c>
      <c r="AT358" t="s">
        <v>7014</v>
      </c>
      <c r="AU358">
        <v>2023</v>
      </c>
      <c r="AV358" t="s">
        <v>74</v>
      </c>
      <c r="AW358" t="s">
        <v>74</v>
      </c>
      <c r="AX358" t="s">
        <v>74</v>
      </c>
      <c r="AY358" t="s">
        <v>74</v>
      </c>
      <c r="AZ358" t="s">
        <v>74</v>
      </c>
      <c r="BA358" t="s">
        <v>74</v>
      </c>
      <c r="BB358" t="s">
        <v>74</v>
      </c>
      <c r="BC358" t="s">
        <v>74</v>
      </c>
      <c r="BD358" t="s">
        <v>74</v>
      </c>
      <c r="BE358" t="s">
        <v>7037</v>
      </c>
      <c r="BF358" t="str">
        <f>HYPERLINK("http://dx.doi.org/10.1007/s10792-023-02866-0","http://dx.doi.org/10.1007/s10792-023-02866-0")</f>
        <v>http://dx.doi.org/10.1007/s10792-023-02866-0</v>
      </c>
      <c r="BG358" t="s">
        <v>74</v>
      </c>
      <c r="BH358" t="s">
        <v>2079</v>
      </c>
      <c r="BI358">
        <v>8</v>
      </c>
      <c r="BJ358" t="s">
        <v>7038</v>
      </c>
      <c r="BK358" t="s">
        <v>126</v>
      </c>
      <c r="BL358" t="s">
        <v>7038</v>
      </c>
      <c r="BM358" t="s">
        <v>7039</v>
      </c>
      <c r="BN358">
        <v>37668848</v>
      </c>
      <c r="BO358" t="s">
        <v>74</v>
      </c>
      <c r="BP358" t="s">
        <v>74</v>
      </c>
      <c r="BQ358" t="s">
        <v>74</v>
      </c>
      <c r="BR358" t="s">
        <v>99</v>
      </c>
      <c r="BS358" t="s">
        <v>7040</v>
      </c>
      <c r="BT358" t="str">
        <f>HYPERLINK("https%3A%2F%2Fwww.webofscience.com%2Fwos%2Fwoscc%2Ffull-record%2FWOS:001062128700002","View Full Record in Web of Science")</f>
        <v>View Full Record in Web of Science</v>
      </c>
    </row>
    <row r="359" spans="1:72" x14ac:dyDescent="0.15">
      <c r="A359" t="s">
        <v>72</v>
      </c>
      <c r="B359" t="s">
        <v>7041</v>
      </c>
      <c r="C359" t="s">
        <v>74</v>
      </c>
      <c r="D359" t="s">
        <v>74</v>
      </c>
      <c r="E359" t="s">
        <v>74</v>
      </c>
      <c r="F359" t="s">
        <v>7042</v>
      </c>
      <c r="G359" t="s">
        <v>74</v>
      </c>
      <c r="H359" t="s">
        <v>74</v>
      </c>
      <c r="I359" t="s">
        <v>7043</v>
      </c>
      <c r="J359" t="s">
        <v>7044</v>
      </c>
      <c r="K359" t="s">
        <v>74</v>
      </c>
      <c r="L359" t="s">
        <v>74</v>
      </c>
      <c r="M359" t="s">
        <v>78</v>
      </c>
      <c r="N359" t="s">
        <v>1246</v>
      </c>
      <c r="O359" t="s">
        <v>74</v>
      </c>
      <c r="P359" t="s">
        <v>74</v>
      </c>
      <c r="Q359" t="s">
        <v>74</v>
      </c>
      <c r="R359" t="s">
        <v>74</v>
      </c>
      <c r="S359" t="s">
        <v>74</v>
      </c>
      <c r="T359" t="s">
        <v>7045</v>
      </c>
      <c r="U359" t="s">
        <v>7046</v>
      </c>
      <c r="V359" t="s">
        <v>7047</v>
      </c>
      <c r="W359" t="s">
        <v>7048</v>
      </c>
      <c r="X359" t="s">
        <v>7049</v>
      </c>
      <c r="Y359" t="s">
        <v>7050</v>
      </c>
      <c r="Z359" t="s">
        <v>7051</v>
      </c>
      <c r="AA359" t="s">
        <v>74</v>
      </c>
      <c r="AB359" t="s">
        <v>7052</v>
      </c>
      <c r="AC359" t="s">
        <v>7053</v>
      </c>
      <c r="AD359" t="s">
        <v>7053</v>
      </c>
      <c r="AE359" t="s">
        <v>7054</v>
      </c>
      <c r="AF359" t="s">
        <v>74</v>
      </c>
      <c r="AG359">
        <v>35</v>
      </c>
      <c r="AH359">
        <v>0</v>
      </c>
      <c r="AI359">
        <v>0</v>
      </c>
      <c r="AJ359">
        <v>0</v>
      </c>
      <c r="AK359">
        <v>0</v>
      </c>
      <c r="AL359" t="s">
        <v>172</v>
      </c>
      <c r="AM359" t="s">
        <v>173</v>
      </c>
      <c r="AN359" t="s">
        <v>174</v>
      </c>
      <c r="AO359" t="s">
        <v>7055</v>
      </c>
      <c r="AP359" t="s">
        <v>7056</v>
      </c>
      <c r="AQ359" t="s">
        <v>74</v>
      </c>
      <c r="AR359" t="s">
        <v>7057</v>
      </c>
      <c r="AS359" t="s">
        <v>7058</v>
      </c>
      <c r="AT359" t="s">
        <v>7014</v>
      </c>
      <c r="AU359">
        <v>2023</v>
      </c>
      <c r="AV359" t="s">
        <v>74</v>
      </c>
      <c r="AW359" t="s">
        <v>74</v>
      </c>
      <c r="AX359" t="s">
        <v>74</v>
      </c>
      <c r="AY359" t="s">
        <v>74</v>
      </c>
      <c r="AZ359" t="s">
        <v>74</v>
      </c>
      <c r="BA359" t="s">
        <v>74</v>
      </c>
      <c r="BB359" t="s">
        <v>74</v>
      </c>
      <c r="BC359" t="s">
        <v>74</v>
      </c>
      <c r="BD359" t="s">
        <v>74</v>
      </c>
      <c r="BE359" t="s">
        <v>7059</v>
      </c>
      <c r="BF359" t="str">
        <f>HYPERLINK("http://dx.doi.org/10.1007/s00415-023-11979-6","http://dx.doi.org/10.1007/s00415-023-11979-6")</f>
        <v>http://dx.doi.org/10.1007/s00415-023-11979-6</v>
      </c>
      <c r="BG359" t="s">
        <v>74</v>
      </c>
      <c r="BH359" t="s">
        <v>2079</v>
      </c>
      <c r="BI359">
        <v>11</v>
      </c>
      <c r="BJ359" t="s">
        <v>2056</v>
      </c>
      <c r="BK359" t="s">
        <v>126</v>
      </c>
      <c r="BL359" t="s">
        <v>2057</v>
      </c>
      <c r="BM359" t="s">
        <v>7060</v>
      </c>
      <c r="BN359">
        <v>37668701</v>
      </c>
      <c r="BO359" t="s">
        <v>74</v>
      </c>
      <c r="BP359" t="s">
        <v>74</v>
      </c>
      <c r="BQ359" t="s">
        <v>74</v>
      </c>
      <c r="BR359" t="s">
        <v>99</v>
      </c>
      <c r="BS359" t="s">
        <v>7061</v>
      </c>
      <c r="BT359" t="str">
        <f>HYPERLINK("https%3A%2F%2Fwww.webofscience.com%2Fwos%2Fwoscc%2Ffull-record%2FWOS:001062171400004","View Full Record in Web of Science")</f>
        <v>View Full Record in Web of Science</v>
      </c>
    </row>
    <row r="360" spans="1:72" x14ac:dyDescent="0.15">
      <c r="A360" t="s">
        <v>72</v>
      </c>
      <c r="B360" t="s">
        <v>7062</v>
      </c>
      <c r="C360" t="s">
        <v>74</v>
      </c>
      <c r="D360" t="s">
        <v>74</v>
      </c>
      <c r="E360" t="s">
        <v>74</v>
      </c>
      <c r="F360" t="s">
        <v>7063</v>
      </c>
      <c r="G360" t="s">
        <v>74</v>
      </c>
      <c r="H360" t="s">
        <v>74</v>
      </c>
      <c r="I360" t="s">
        <v>7064</v>
      </c>
      <c r="J360" t="s">
        <v>7065</v>
      </c>
      <c r="K360" t="s">
        <v>74</v>
      </c>
      <c r="L360" t="s">
        <v>74</v>
      </c>
      <c r="M360" t="s">
        <v>78</v>
      </c>
      <c r="N360" t="s">
        <v>1246</v>
      </c>
      <c r="O360" t="s">
        <v>74</v>
      </c>
      <c r="P360" t="s">
        <v>74</v>
      </c>
      <c r="Q360" t="s">
        <v>74</v>
      </c>
      <c r="R360" t="s">
        <v>74</v>
      </c>
      <c r="S360" t="s">
        <v>74</v>
      </c>
      <c r="T360" t="s">
        <v>7066</v>
      </c>
      <c r="U360" t="s">
        <v>7067</v>
      </c>
      <c r="V360" t="s">
        <v>7068</v>
      </c>
      <c r="W360" t="s">
        <v>7069</v>
      </c>
      <c r="X360" t="s">
        <v>7070</v>
      </c>
      <c r="Y360" t="s">
        <v>7071</v>
      </c>
      <c r="Z360" t="s">
        <v>7072</v>
      </c>
      <c r="AA360" t="s">
        <v>7073</v>
      </c>
      <c r="AB360" t="s">
        <v>7074</v>
      </c>
      <c r="AC360" t="s">
        <v>74</v>
      </c>
      <c r="AD360" t="s">
        <v>74</v>
      </c>
      <c r="AE360" t="s">
        <v>74</v>
      </c>
      <c r="AF360" t="s">
        <v>74</v>
      </c>
      <c r="AG360">
        <v>51</v>
      </c>
      <c r="AH360">
        <v>0</v>
      </c>
      <c r="AI360">
        <v>0</v>
      </c>
      <c r="AJ360">
        <v>1</v>
      </c>
      <c r="AK360">
        <v>1</v>
      </c>
      <c r="AL360" t="s">
        <v>172</v>
      </c>
      <c r="AM360" t="s">
        <v>173</v>
      </c>
      <c r="AN360" t="s">
        <v>174</v>
      </c>
      <c r="AO360" t="s">
        <v>7075</v>
      </c>
      <c r="AP360" t="s">
        <v>7076</v>
      </c>
      <c r="AQ360" t="s">
        <v>74</v>
      </c>
      <c r="AR360" t="s">
        <v>7077</v>
      </c>
      <c r="AS360" t="s">
        <v>7078</v>
      </c>
      <c r="AT360" t="s">
        <v>7014</v>
      </c>
      <c r="AU360">
        <v>2023</v>
      </c>
      <c r="AV360" t="s">
        <v>74</v>
      </c>
      <c r="AW360" t="s">
        <v>74</v>
      </c>
      <c r="AX360" t="s">
        <v>74</v>
      </c>
      <c r="AY360" t="s">
        <v>74</v>
      </c>
      <c r="AZ360" t="s">
        <v>74</v>
      </c>
      <c r="BA360" t="s">
        <v>74</v>
      </c>
      <c r="BB360" t="s">
        <v>74</v>
      </c>
      <c r="BC360" t="s">
        <v>74</v>
      </c>
      <c r="BD360" t="s">
        <v>74</v>
      </c>
      <c r="BE360" t="s">
        <v>7079</v>
      </c>
      <c r="BF360" t="str">
        <f>HYPERLINK("http://dx.doi.org/10.1007/s00394-023-03239-0","http://dx.doi.org/10.1007/s00394-023-03239-0")</f>
        <v>http://dx.doi.org/10.1007/s00394-023-03239-0</v>
      </c>
      <c r="BG360" t="s">
        <v>74</v>
      </c>
      <c r="BH360" t="s">
        <v>2079</v>
      </c>
      <c r="BI360">
        <v>9</v>
      </c>
      <c r="BJ360" t="s">
        <v>7080</v>
      </c>
      <c r="BK360" t="s">
        <v>126</v>
      </c>
      <c r="BL360" t="s">
        <v>7080</v>
      </c>
      <c r="BM360" t="s">
        <v>7081</v>
      </c>
      <c r="BN360">
        <v>37668652</v>
      </c>
      <c r="BO360" t="s">
        <v>74</v>
      </c>
      <c r="BP360" t="s">
        <v>74</v>
      </c>
      <c r="BQ360" t="s">
        <v>74</v>
      </c>
      <c r="BR360" t="s">
        <v>99</v>
      </c>
      <c r="BS360" t="s">
        <v>7082</v>
      </c>
      <c r="BT360" t="str">
        <f>HYPERLINK("https%3A%2F%2Fwww.webofscience.com%2Fwos%2Fwoscc%2Ffull-record%2FWOS:001058973600001","View Full Record in Web of Science")</f>
        <v>View Full Record in Web of Science</v>
      </c>
    </row>
    <row r="361" spans="1:72" x14ac:dyDescent="0.15">
      <c r="A361" t="s">
        <v>72</v>
      </c>
      <c r="B361" t="s">
        <v>7083</v>
      </c>
      <c r="C361" t="s">
        <v>74</v>
      </c>
      <c r="D361" t="s">
        <v>74</v>
      </c>
      <c r="E361" t="s">
        <v>74</v>
      </c>
      <c r="F361" t="s">
        <v>7084</v>
      </c>
      <c r="G361" t="s">
        <v>74</v>
      </c>
      <c r="H361" t="s">
        <v>74</v>
      </c>
      <c r="I361" t="s">
        <v>7085</v>
      </c>
      <c r="J361" t="s">
        <v>7086</v>
      </c>
      <c r="K361" t="s">
        <v>74</v>
      </c>
      <c r="L361" t="s">
        <v>74</v>
      </c>
      <c r="M361" t="s">
        <v>78</v>
      </c>
      <c r="N361" t="s">
        <v>79</v>
      </c>
      <c r="O361" t="s">
        <v>74</v>
      </c>
      <c r="P361" t="s">
        <v>74</v>
      </c>
      <c r="Q361" t="s">
        <v>74</v>
      </c>
      <c r="R361" t="s">
        <v>74</v>
      </c>
      <c r="S361" t="s">
        <v>74</v>
      </c>
      <c r="T361" t="s">
        <v>7087</v>
      </c>
      <c r="U361" t="s">
        <v>7088</v>
      </c>
      <c r="V361" t="s">
        <v>7089</v>
      </c>
      <c r="W361" t="s">
        <v>7090</v>
      </c>
      <c r="X361" t="s">
        <v>7091</v>
      </c>
      <c r="Y361" t="s">
        <v>7092</v>
      </c>
      <c r="Z361" t="s">
        <v>7093</v>
      </c>
      <c r="AA361" t="s">
        <v>74</v>
      </c>
      <c r="AB361" t="s">
        <v>74</v>
      </c>
      <c r="AC361" t="s">
        <v>7094</v>
      </c>
      <c r="AD361" t="s">
        <v>7094</v>
      </c>
      <c r="AE361" t="s">
        <v>7094</v>
      </c>
      <c r="AF361" t="s">
        <v>74</v>
      </c>
      <c r="AG361">
        <v>70</v>
      </c>
      <c r="AH361">
        <v>0</v>
      </c>
      <c r="AI361">
        <v>0</v>
      </c>
      <c r="AJ361">
        <v>0</v>
      </c>
      <c r="AK361">
        <v>0</v>
      </c>
      <c r="AL361" t="s">
        <v>443</v>
      </c>
      <c r="AM361" t="s">
        <v>245</v>
      </c>
      <c r="AN361" t="s">
        <v>444</v>
      </c>
      <c r="AO361" t="s">
        <v>74</v>
      </c>
      <c r="AP361" t="s">
        <v>7095</v>
      </c>
      <c r="AQ361" t="s">
        <v>74</v>
      </c>
      <c r="AR361" t="s">
        <v>7096</v>
      </c>
      <c r="AS361" t="s">
        <v>7097</v>
      </c>
      <c r="AT361" t="s">
        <v>7098</v>
      </c>
      <c r="AU361">
        <v>2023</v>
      </c>
      <c r="AV361">
        <v>21</v>
      </c>
      <c r="AW361">
        <v>1</v>
      </c>
      <c r="AX361" t="s">
        <v>74</v>
      </c>
      <c r="AY361" t="s">
        <v>74</v>
      </c>
      <c r="AZ361" t="s">
        <v>74</v>
      </c>
      <c r="BA361" t="s">
        <v>74</v>
      </c>
      <c r="BB361" t="s">
        <v>74</v>
      </c>
      <c r="BC361" t="s">
        <v>74</v>
      </c>
      <c r="BD361">
        <v>229</v>
      </c>
      <c r="BE361" t="s">
        <v>7099</v>
      </c>
      <c r="BF361" t="str">
        <f>HYPERLINK("http://dx.doi.org/10.1186/s12964-023-01212-2","http://dx.doi.org/10.1186/s12964-023-01212-2")</f>
        <v>http://dx.doi.org/10.1186/s12964-023-01212-2</v>
      </c>
      <c r="BG361" t="s">
        <v>74</v>
      </c>
      <c r="BH361" t="s">
        <v>74</v>
      </c>
      <c r="BI361">
        <v>22</v>
      </c>
      <c r="BJ361" t="s">
        <v>7100</v>
      </c>
      <c r="BK361" t="s">
        <v>126</v>
      </c>
      <c r="BL361" t="s">
        <v>7100</v>
      </c>
      <c r="BM361" t="s">
        <v>7101</v>
      </c>
      <c r="BN361">
        <v>37670346</v>
      </c>
      <c r="BO361" t="s">
        <v>3356</v>
      </c>
      <c r="BP361" t="s">
        <v>74</v>
      </c>
      <c r="BQ361" t="s">
        <v>74</v>
      </c>
      <c r="BR361" t="s">
        <v>99</v>
      </c>
      <c r="BS361" t="s">
        <v>7102</v>
      </c>
      <c r="BT361" t="str">
        <f>HYPERLINK("https%3A%2F%2Fwww.webofscience.com%2Fwos%2Fwoscc%2Ffull-record%2FWOS:001062189200001","View Full Record in Web of Science")</f>
        <v>View Full Record in Web of Science</v>
      </c>
    </row>
    <row r="362" spans="1:72" x14ac:dyDescent="0.15">
      <c r="A362" t="s">
        <v>72</v>
      </c>
      <c r="B362" t="s">
        <v>7103</v>
      </c>
      <c r="C362" t="s">
        <v>74</v>
      </c>
      <c r="D362" t="s">
        <v>74</v>
      </c>
      <c r="E362" t="s">
        <v>74</v>
      </c>
      <c r="F362" t="s">
        <v>7104</v>
      </c>
      <c r="G362" t="s">
        <v>74</v>
      </c>
      <c r="H362" t="s">
        <v>74</v>
      </c>
      <c r="I362" t="s">
        <v>7105</v>
      </c>
      <c r="J362" t="s">
        <v>4381</v>
      </c>
      <c r="K362" t="s">
        <v>74</v>
      </c>
      <c r="L362" t="s">
        <v>74</v>
      </c>
      <c r="M362" t="s">
        <v>78</v>
      </c>
      <c r="N362" t="s">
        <v>79</v>
      </c>
      <c r="O362" t="s">
        <v>74</v>
      </c>
      <c r="P362" t="s">
        <v>74</v>
      </c>
      <c r="Q362" t="s">
        <v>74</v>
      </c>
      <c r="R362" t="s">
        <v>74</v>
      </c>
      <c r="S362" t="s">
        <v>74</v>
      </c>
      <c r="T362" t="s">
        <v>7106</v>
      </c>
      <c r="U362" t="s">
        <v>7107</v>
      </c>
      <c r="V362" t="s">
        <v>7108</v>
      </c>
      <c r="W362" t="s">
        <v>7109</v>
      </c>
      <c r="X362" t="s">
        <v>7110</v>
      </c>
      <c r="Y362" t="s">
        <v>7111</v>
      </c>
      <c r="Z362" t="s">
        <v>7112</v>
      </c>
      <c r="AA362" t="s">
        <v>74</v>
      </c>
      <c r="AB362" t="s">
        <v>74</v>
      </c>
      <c r="AC362" t="s">
        <v>7113</v>
      </c>
      <c r="AD362" t="s">
        <v>7113</v>
      </c>
      <c r="AE362" t="s">
        <v>7114</v>
      </c>
      <c r="AF362" t="s">
        <v>74</v>
      </c>
      <c r="AG362">
        <v>26</v>
      </c>
      <c r="AH362">
        <v>0</v>
      </c>
      <c r="AI362">
        <v>0</v>
      </c>
      <c r="AJ362">
        <v>0</v>
      </c>
      <c r="AK362">
        <v>0</v>
      </c>
      <c r="AL362" t="s">
        <v>443</v>
      </c>
      <c r="AM362" t="s">
        <v>245</v>
      </c>
      <c r="AN362" t="s">
        <v>444</v>
      </c>
      <c r="AO362" t="s">
        <v>74</v>
      </c>
      <c r="AP362" t="s">
        <v>4390</v>
      </c>
      <c r="AQ362" t="s">
        <v>74</v>
      </c>
      <c r="AR362" t="s">
        <v>4391</v>
      </c>
      <c r="AS362" t="s">
        <v>4392</v>
      </c>
      <c r="AT362" t="s">
        <v>7098</v>
      </c>
      <c r="AU362">
        <v>2023</v>
      </c>
      <c r="AV362">
        <v>23</v>
      </c>
      <c r="AW362">
        <v>1</v>
      </c>
      <c r="AX362" t="s">
        <v>74</v>
      </c>
      <c r="AY362" t="s">
        <v>74</v>
      </c>
      <c r="AZ362" t="s">
        <v>74</v>
      </c>
      <c r="BA362" t="s">
        <v>74</v>
      </c>
      <c r="BB362" t="s">
        <v>74</v>
      </c>
      <c r="BC362" t="s">
        <v>74</v>
      </c>
      <c r="BD362">
        <v>443</v>
      </c>
      <c r="BE362" t="s">
        <v>7115</v>
      </c>
      <c r="BF362" t="str">
        <f>HYPERLINK("http://dx.doi.org/10.1186/s12887-023-04214-8","http://dx.doi.org/10.1186/s12887-023-04214-8")</f>
        <v>http://dx.doi.org/10.1186/s12887-023-04214-8</v>
      </c>
      <c r="BG362" t="s">
        <v>74</v>
      </c>
      <c r="BH362" t="s">
        <v>74</v>
      </c>
      <c r="BI362">
        <v>12</v>
      </c>
      <c r="BJ362" t="s">
        <v>3066</v>
      </c>
      <c r="BK362" t="s">
        <v>126</v>
      </c>
      <c r="BL362" t="s">
        <v>3066</v>
      </c>
      <c r="BM362" t="s">
        <v>7116</v>
      </c>
      <c r="BN362">
        <v>37670249</v>
      </c>
      <c r="BO362" t="s">
        <v>302</v>
      </c>
      <c r="BP362" t="s">
        <v>74</v>
      </c>
      <c r="BQ362" t="s">
        <v>74</v>
      </c>
      <c r="BR362" t="s">
        <v>99</v>
      </c>
      <c r="BS362" t="s">
        <v>7117</v>
      </c>
      <c r="BT362" t="str">
        <f>HYPERLINK("https%3A%2F%2Fwww.webofscience.com%2Fwos%2Fwoscc%2Ffull-record%2FWOS:001062165100001","View Full Record in Web of Science")</f>
        <v>View Full Record in Web of Science</v>
      </c>
    </row>
    <row r="363" spans="1:72" x14ac:dyDescent="0.15">
      <c r="A363" t="s">
        <v>72</v>
      </c>
      <c r="B363" t="s">
        <v>7118</v>
      </c>
      <c r="C363" t="s">
        <v>74</v>
      </c>
      <c r="D363" t="s">
        <v>74</v>
      </c>
      <c r="E363" t="s">
        <v>74</v>
      </c>
      <c r="F363" t="s">
        <v>7119</v>
      </c>
      <c r="G363" t="s">
        <v>74</v>
      </c>
      <c r="H363" t="s">
        <v>74</v>
      </c>
      <c r="I363" t="s">
        <v>7120</v>
      </c>
      <c r="J363" t="s">
        <v>7121</v>
      </c>
      <c r="K363" t="s">
        <v>74</v>
      </c>
      <c r="L363" t="s">
        <v>74</v>
      </c>
      <c r="M363" t="s">
        <v>78</v>
      </c>
      <c r="N363" t="s">
        <v>1246</v>
      </c>
      <c r="O363" t="s">
        <v>74</v>
      </c>
      <c r="P363" t="s">
        <v>74</v>
      </c>
      <c r="Q363" t="s">
        <v>74</v>
      </c>
      <c r="R363" t="s">
        <v>74</v>
      </c>
      <c r="S363" t="s">
        <v>74</v>
      </c>
      <c r="T363" t="s">
        <v>74</v>
      </c>
      <c r="U363" t="s">
        <v>7122</v>
      </c>
      <c r="V363" t="s">
        <v>7123</v>
      </c>
      <c r="W363" t="s">
        <v>7124</v>
      </c>
      <c r="X363" t="s">
        <v>7125</v>
      </c>
      <c r="Y363" t="s">
        <v>7126</v>
      </c>
      <c r="Z363" t="s">
        <v>7127</v>
      </c>
      <c r="AA363" t="s">
        <v>74</v>
      </c>
      <c r="AB363" t="s">
        <v>74</v>
      </c>
      <c r="AC363" t="s">
        <v>7128</v>
      </c>
      <c r="AD363" t="s">
        <v>7129</v>
      </c>
      <c r="AE363" t="s">
        <v>7130</v>
      </c>
      <c r="AF363" t="s">
        <v>74</v>
      </c>
      <c r="AG363">
        <v>50</v>
      </c>
      <c r="AH363">
        <v>0</v>
      </c>
      <c r="AI363">
        <v>0</v>
      </c>
      <c r="AJ363">
        <v>0</v>
      </c>
      <c r="AK363">
        <v>0</v>
      </c>
      <c r="AL363" t="s">
        <v>172</v>
      </c>
      <c r="AM363" t="s">
        <v>173</v>
      </c>
      <c r="AN363" t="s">
        <v>174</v>
      </c>
      <c r="AO363" t="s">
        <v>7131</v>
      </c>
      <c r="AP363" t="s">
        <v>7132</v>
      </c>
      <c r="AQ363" t="s">
        <v>74</v>
      </c>
      <c r="AR363" t="s">
        <v>7133</v>
      </c>
      <c r="AS363" t="s">
        <v>7134</v>
      </c>
      <c r="AT363" t="s">
        <v>7014</v>
      </c>
      <c r="AU363">
        <v>2023</v>
      </c>
      <c r="AV363" t="s">
        <v>74</v>
      </c>
      <c r="AW363" t="s">
        <v>74</v>
      </c>
      <c r="AX363" t="s">
        <v>74</v>
      </c>
      <c r="AY363" t="s">
        <v>74</v>
      </c>
      <c r="AZ363" t="s">
        <v>74</v>
      </c>
      <c r="BA363" t="s">
        <v>74</v>
      </c>
      <c r="BB363" t="s">
        <v>74</v>
      </c>
      <c r="BC363" t="s">
        <v>74</v>
      </c>
      <c r="BD363" t="s">
        <v>74</v>
      </c>
      <c r="BE363" t="s">
        <v>7135</v>
      </c>
      <c r="BF363" t="str">
        <f>HYPERLINK("http://dx.doi.org/10.1007/s00208-023-02715-6","http://dx.doi.org/10.1007/s00208-023-02715-6")</f>
        <v>http://dx.doi.org/10.1007/s00208-023-02715-6</v>
      </c>
      <c r="BG363" t="s">
        <v>74</v>
      </c>
      <c r="BH363" t="s">
        <v>2079</v>
      </c>
      <c r="BI363">
        <v>91</v>
      </c>
      <c r="BJ363" t="s">
        <v>228</v>
      </c>
      <c r="BK363" t="s">
        <v>126</v>
      </c>
      <c r="BL363" t="s">
        <v>228</v>
      </c>
      <c r="BM363" t="s">
        <v>7136</v>
      </c>
      <c r="BN363" t="s">
        <v>74</v>
      </c>
      <c r="BO363" t="s">
        <v>1328</v>
      </c>
      <c r="BP363" t="s">
        <v>74</v>
      </c>
      <c r="BQ363" t="s">
        <v>74</v>
      </c>
      <c r="BR363" t="s">
        <v>99</v>
      </c>
      <c r="BS363" t="s">
        <v>7137</v>
      </c>
      <c r="BT363" t="str">
        <f>HYPERLINK("https%3A%2F%2Fwww.webofscience.com%2Fwos%2Fwoscc%2Ffull-record%2FWOS:001058969900001","View Full Record in Web of Science")</f>
        <v>View Full Record in Web of Science</v>
      </c>
    </row>
    <row r="364" spans="1:72" x14ac:dyDescent="0.15">
      <c r="A364" t="s">
        <v>72</v>
      </c>
      <c r="B364" t="s">
        <v>7138</v>
      </c>
      <c r="C364" t="s">
        <v>74</v>
      </c>
      <c r="D364" t="s">
        <v>74</v>
      </c>
      <c r="E364" t="s">
        <v>74</v>
      </c>
      <c r="F364" t="s">
        <v>7139</v>
      </c>
      <c r="G364" t="s">
        <v>74</v>
      </c>
      <c r="H364" t="s">
        <v>74</v>
      </c>
      <c r="I364" t="s">
        <v>7140</v>
      </c>
      <c r="J364" t="s">
        <v>7141</v>
      </c>
      <c r="K364" t="s">
        <v>74</v>
      </c>
      <c r="L364" t="s">
        <v>74</v>
      </c>
      <c r="M364" t="s">
        <v>78</v>
      </c>
      <c r="N364" t="s">
        <v>1246</v>
      </c>
      <c r="O364" t="s">
        <v>74</v>
      </c>
      <c r="P364" t="s">
        <v>74</v>
      </c>
      <c r="Q364" t="s">
        <v>74</v>
      </c>
      <c r="R364" t="s">
        <v>74</v>
      </c>
      <c r="S364" t="s">
        <v>74</v>
      </c>
      <c r="T364" t="s">
        <v>7142</v>
      </c>
      <c r="U364" t="s">
        <v>7143</v>
      </c>
      <c r="V364" t="s">
        <v>7144</v>
      </c>
      <c r="W364" t="s">
        <v>7145</v>
      </c>
      <c r="X364" t="s">
        <v>7146</v>
      </c>
      <c r="Y364" t="s">
        <v>7147</v>
      </c>
      <c r="Z364" t="s">
        <v>7148</v>
      </c>
      <c r="AA364" t="s">
        <v>74</v>
      </c>
      <c r="AB364" t="s">
        <v>74</v>
      </c>
      <c r="AC364" t="s">
        <v>7149</v>
      </c>
      <c r="AD364" t="s">
        <v>7149</v>
      </c>
      <c r="AE364" t="s">
        <v>7150</v>
      </c>
      <c r="AF364" t="s">
        <v>74</v>
      </c>
      <c r="AG364">
        <v>38</v>
      </c>
      <c r="AH364">
        <v>0</v>
      </c>
      <c r="AI364">
        <v>0</v>
      </c>
      <c r="AJ364">
        <v>6</v>
      </c>
      <c r="AK364">
        <v>6</v>
      </c>
      <c r="AL364" t="s">
        <v>117</v>
      </c>
      <c r="AM364" t="s">
        <v>627</v>
      </c>
      <c r="AN364" t="s">
        <v>628</v>
      </c>
      <c r="AO364" t="s">
        <v>7151</v>
      </c>
      <c r="AP364" t="s">
        <v>7152</v>
      </c>
      <c r="AQ364" t="s">
        <v>74</v>
      </c>
      <c r="AR364" t="s">
        <v>7153</v>
      </c>
      <c r="AS364" t="s">
        <v>7154</v>
      </c>
      <c r="AT364" t="s">
        <v>7014</v>
      </c>
      <c r="AU364">
        <v>2023</v>
      </c>
      <c r="AV364" t="s">
        <v>74</v>
      </c>
      <c r="AW364" t="s">
        <v>74</v>
      </c>
      <c r="AX364" t="s">
        <v>74</v>
      </c>
      <c r="AY364" t="s">
        <v>74</v>
      </c>
      <c r="AZ364" t="s">
        <v>74</v>
      </c>
      <c r="BA364" t="s">
        <v>74</v>
      </c>
      <c r="BB364" t="s">
        <v>74</v>
      </c>
      <c r="BC364" t="s">
        <v>74</v>
      </c>
      <c r="BD364" t="s">
        <v>74</v>
      </c>
      <c r="BE364" t="s">
        <v>7155</v>
      </c>
      <c r="BF364" t="str">
        <f>HYPERLINK("http://dx.doi.org/10.1007/s11063-023-11349-3","http://dx.doi.org/10.1007/s11063-023-11349-3")</f>
        <v>http://dx.doi.org/10.1007/s11063-023-11349-3</v>
      </c>
      <c r="BG364" t="s">
        <v>74</v>
      </c>
      <c r="BH364" t="s">
        <v>2079</v>
      </c>
      <c r="BI364">
        <v>15</v>
      </c>
      <c r="BJ364" t="s">
        <v>5390</v>
      </c>
      <c r="BK364" t="s">
        <v>126</v>
      </c>
      <c r="BL364" t="s">
        <v>1139</v>
      </c>
      <c r="BM364" t="s">
        <v>7156</v>
      </c>
      <c r="BN364" t="s">
        <v>74</v>
      </c>
      <c r="BO364" t="s">
        <v>327</v>
      </c>
      <c r="BP364" t="s">
        <v>74</v>
      </c>
      <c r="BQ364" t="s">
        <v>74</v>
      </c>
      <c r="BR364" t="s">
        <v>99</v>
      </c>
      <c r="BS364" t="s">
        <v>7157</v>
      </c>
      <c r="BT364" t="str">
        <f>HYPERLINK("https%3A%2F%2Fwww.webofscience.com%2Fwos%2Fwoscc%2Ffull-record%2FWOS:001058924100001","View Full Record in Web of Science")</f>
        <v>View Full Record in Web of Science</v>
      </c>
    </row>
    <row r="365" spans="1:72" x14ac:dyDescent="0.15">
      <c r="A365" t="s">
        <v>72</v>
      </c>
      <c r="B365" t="s">
        <v>7158</v>
      </c>
      <c r="C365" t="s">
        <v>74</v>
      </c>
      <c r="D365" t="s">
        <v>74</v>
      </c>
      <c r="E365" t="s">
        <v>74</v>
      </c>
      <c r="F365" t="s">
        <v>7159</v>
      </c>
      <c r="G365" t="s">
        <v>74</v>
      </c>
      <c r="H365" t="s">
        <v>74</v>
      </c>
      <c r="I365" t="s">
        <v>7160</v>
      </c>
      <c r="J365" t="s">
        <v>7161</v>
      </c>
      <c r="K365" t="s">
        <v>74</v>
      </c>
      <c r="L365" t="s">
        <v>74</v>
      </c>
      <c r="M365" t="s">
        <v>78</v>
      </c>
      <c r="N365" t="s">
        <v>1246</v>
      </c>
      <c r="O365" t="s">
        <v>74</v>
      </c>
      <c r="P365" t="s">
        <v>74</v>
      </c>
      <c r="Q365" t="s">
        <v>74</v>
      </c>
      <c r="R365" t="s">
        <v>74</v>
      </c>
      <c r="S365" t="s">
        <v>74</v>
      </c>
      <c r="T365" t="s">
        <v>7162</v>
      </c>
      <c r="U365" t="s">
        <v>7163</v>
      </c>
      <c r="V365" t="s">
        <v>7164</v>
      </c>
      <c r="W365" t="s">
        <v>7165</v>
      </c>
      <c r="X365" t="s">
        <v>7166</v>
      </c>
      <c r="Y365" t="s">
        <v>7167</v>
      </c>
      <c r="Z365" t="s">
        <v>7168</v>
      </c>
      <c r="AA365" t="s">
        <v>74</v>
      </c>
      <c r="AB365" t="s">
        <v>74</v>
      </c>
      <c r="AC365" t="s">
        <v>7169</v>
      </c>
      <c r="AD365" t="s">
        <v>7170</v>
      </c>
      <c r="AE365" t="s">
        <v>7171</v>
      </c>
      <c r="AF365" t="s">
        <v>74</v>
      </c>
      <c r="AG365">
        <v>43</v>
      </c>
      <c r="AH365">
        <v>0</v>
      </c>
      <c r="AI365">
        <v>0</v>
      </c>
      <c r="AJ365">
        <v>3</v>
      </c>
      <c r="AK365">
        <v>3</v>
      </c>
      <c r="AL365" t="s">
        <v>172</v>
      </c>
      <c r="AM365" t="s">
        <v>173</v>
      </c>
      <c r="AN365" t="s">
        <v>174</v>
      </c>
      <c r="AO365" t="s">
        <v>7172</v>
      </c>
      <c r="AP365" t="s">
        <v>7173</v>
      </c>
      <c r="AQ365" t="s">
        <v>74</v>
      </c>
      <c r="AR365" t="s">
        <v>7174</v>
      </c>
      <c r="AS365" t="s">
        <v>7175</v>
      </c>
      <c r="AT365" t="s">
        <v>7014</v>
      </c>
      <c r="AU365">
        <v>2023</v>
      </c>
      <c r="AV365" t="s">
        <v>74</v>
      </c>
      <c r="AW365" t="s">
        <v>74</v>
      </c>
      <c r="AX365" t="s">
        <v>74</v>
      </c>
      <c r="AY365" t="s">
        <v>74</v>
      </c>
      <c r="AZ365" t="s">
        <v>74</v>
      </c>
      <c r="BA365" t="s">
        <v>74</v>
      </c>
      <c r="BB365" t="s">
        <v>74</v>
      </c>
      <c r="BC365" t="s">
        <v>74</v>
      </c>
      <c r="BD365" t="s">
        <v>74</v>
      </c>
      <c r="BE365" t="s">
        <v>7176</v>
      </c>
      <c r="BF365" t="str">
        <f>HYPERLINK("http://dx.doi.org/10.1007/s11356-023-29502-9","http://dx.doi.org/10.1007/s11356-023-29502-9")</f>
        <v>http://dx.doi.org/10.1007/s11356-023-29502-9</v>
      </c>
      <c r="BG365" t="s">
        <v>74</v>
      </c>
      <c r="BH365" t="s">
        <v>2079</v>
      </c>
      <c r="BI365">
        <v>13</v>
      </c>
      <c r="BJ365" t="s">
        <v>1346</v>
      </c>
      <c r="BK365" t="s">
        <v>126</v>
      </c>
      <c r="BL365" t="s">
        <v>1347</v>
      </c>
      <c r="BM365" t="s">
        <v>7177</v>
      </c>
      <c r="BN365">
        <v>37668782</v>
      </c>
      <c r="BO365" t="s">
        <v>74</v>
      </c>
      <c r="BP365" t="s">
        <v>74</v>
      </c>
      <c r="BQ365" t="s">
        <v>74</v>
      </c>
      <c r="BR365" t="s">
        <v>99</v>
      </c>
      <c r="BS365" t="s">
        <v>7178</v>
      </c>
      <c r="BT365" t="str">
        <f>HYPERLINK("https%3A%2F%2Fwww.webofscience.com%2Fwos%2Fwoscc%2Ffull-record%2FWOS:001062761800008","View Full Record in Web of Science")</f>
        <v>View Full Record in Web of Science</v>
      </c>
    </row>
    <row r="366" spans="1:72" x14ac:dyDescent="0.15">
      <c r="A366" t="s">
        <v>72</v>
      </c>
      <c r="B366" t="s">
        <v>7179</v>
      </c>
      <c r="C366" t="s">
        <v>74</v>
      </c>
      <c r="D366" t="s">
        <v>74</v>
      </c>
      <c r="E366" t="s">
        <v>74</v>
      </c>
      <c r="F366" t="s">
        <v>7180</v>
      </c>
      <c r="G366" t="s">
        <v>74</v>
      </c>
      <c r="H366" t="s">
        <v>74</v>
      </c>
      <c r="I366" t="s">
        <v>7181</v>
      </c>
      <c r="J366" t="s">
        <v>7182</v>
      </c>
      <c r="K366" t="s">
        <v>74</v>
      </c>
      <c r="L366" t="s">
        <v>74</v>
      </c>
      <c r="M366" t="s">
        <v>78</v>
      </c>
      <c r="N366" t="s">
        <v>3139</v>
      </c>
      <c r="O366" t="s">
        <v>74</v>
      </c>
      <c r="P366" t="s">
        <v>74</v>
      </c>
      <c r="Q366" t="s">
        <v>74</v>
      </c>
      <c r="R366" t="s">
        <v>74</v>
      </c>
      <c r="S366" t="s">
        <v>74</v>
      </c>
      <c r="T366" t="s">
        <v>7183</v>
      </c>
      <c r="U366" t="s">
        <v>74</v>
      </c>
      <c r="V366" t="s">
        <v>7184</v>
      </c>
      <c r="W366" t="s">
        <v>7185</v>
      </c>
      <c r="X366" t="s">
        <v>74</v>
      </c>
      <c r="Y366" t="s">
        <v>7186</v>
      </c>
      <c r="Z366" t="s">
        <v>7187</v>
      </c>
      <c r="AA366" t="s">
        <v>74</v>
      </c>
      <c r="AB366" t="s">
        <v>7188</v>
      </c>
      <c r="AC366" t="s">
        <v>74</v>
      </c>
      <c r="AD366" t="s">
        <v>74</v>
      </c>
      <c r="AE366" t="s">
        <v>74</v>
      </c>
      <c r="AF366" t="s">
        <v>74</v>
      </c>
      <c r="AG366">
        <v>6</v>
      </c>
      <c r="AH366">
        <v>0</v>
      </c>
      <c r="AI366">
        <v>0</v>
      </c>
      <c r="AJ366">
        <v>0</v>
      </c>
      <c r="AK366">
        <v>0</v>
      </c>
      <c r="AL366" t="s">
        <v>117</v>
      </c>
      <c r="AM366" t="s">
        <v>118</v>
      </c>
      <c r="AN366" t="s">
        <v>119</v>
      </c>
      <c r="AO366" t="s">
        <v>7189</v>
      </c>
      <c r="AP366" t="s">
        <v>7190</v>
      </c>
      <c r="AQ366" t="s">
        <v>74</v>
      </c>
      <c r="AR366" t="s">
        <v>7191</v>
      </c>
      <c r="AS366" t="s">
        <v>7192</v>
      </c>
      <c r="AT366" t="s">
        <v>7014</v>
      </c>
      <c r="AU366">
        <v>2023</v>
      </c>
      <c r="AV366" t="s">
        <v>74</v>
      </c>
      <c r="AW366" t="s">
        <v>74</v>
      </c>
      <c r="AX366" t="s">
        <v>74</v>
      </c>
      <c r="AY366" t="s">
        <v>74</v>
      </c>
      <c r="AZ366" t="s">
        <v>74</v>
      </c>
      <c r="BA366" t="s">
        <v>74</v>
      </c>
      <c r="BB366" t="s">
        <v>74</v>
      </c>
      <c r="BC366" t="s">
        <v>74</v>
      </c>
      <c r="BD366" t="s">
        <v>74</v>
      </c>
      <c r="BE366" t="s">
        <v>7193</v>
      </c>
      <c r="BF366" t="str">
        <f>HYPERLINK("http://dx.doi.org/10.3758/s13420-023-00602-3","http://dx.doi.org/10.3758/s13420-023-00602-3")</f>
        <v>http://dx.doi.org/10.3758/s13420-023-00602-3</v>
      </c>
      <c r="BG366" t="s">
        <v>74</v>
      </c>
      <c r="BH366" t="s">
        <v>2079</v>
      </c>
      <c r="BI366">
        <v>2</v>
      </c>
      <c r="BJ366" t="s">
        <v>7194</v>
      </c>
      <c r="BK366" t="s">
        <v>2431</v>
      </c>
      <c r="BL366" t="s">
        <v>7195</v>
      </c>
      <c r="BM366" t="s">
        <v>7196</v>
      </c>
      <c r="BN366">
        <v>37670175</v>
      </c>
      <c r="BO366" t="s">
        <v>74</v>
      </c>
      <c r="BP366" t="s">
        <v>74</v>
      </c>
      <c r="BQ366" t="s">
        <v>74</v>
      </c>
      <c r="BR366" t="s">
        <v>99</v>
      </c>
      <c r="BS366" t="s">
        <v>7197</v>
      </c>
      <c r="BT366" t="str">
        <f>HYPERLINK("https%3A%2F%2Fwww.webofscience.com%2Fwos%2Fwoscc%2Ffull-record%2FWOS:001058977700001","View Full Record in Web of Science")</f>
        <v>View Full Record in Web of Science</v>
      </c>
    </row>
    <row r="367" spans="1:72" x14ac:dyDescent="0.15">
      <c r="A367" t="s">
        <v>72</v>
      </c>
      <c r="B367" t="s">
        <v>7198</v>
      </c>
      <c r="C367" t="s">
        <v>74</v>
      </c>
      <c r="D367" t="s">
        <v>74</v>
      </c>
      <c r="E367" t="s">
        <v>74</v>
      </c>
      <c r="F367" t="s">
        <v>7199</v>
      </c>
      <c r="G367" t="s">
        <v>74</v>
      </c>
      <c r="H367" t="s">
        <v>74</v>
      </c>
      <c r="I367" t="s">
        <v>7200</v>
      </c>
      <c r="J367" t="s">
        <v>7201</v>
      </c>
      <c r="K367" t="s">
        <v>74</v>
      </c>
      <c r="L367" t="s">
        <v>74</v>
      </c>
      <c r="M367" t="s">
        <v>78</v>
      </c>
      <c r="N367" t="s">
        <v>79</v>
      </c>
      <c r="O367" t="s">
        <v>74</v>
      </c>
      <c r="P367" t="s">
        <v>74</v>
      </c>
      <c r="Q367" t="s">
        <v>74</v>
      </c>
      <c r="R367" t="s">
        <v>74</v>
      </c>
      <c r="S367" t="s">
        <v>74</v>
      </c>
      <c r="T367" t="s">
        <v>7202</v>
      </c>
      <c r="U367" t="s">
        <v>7203</v>
      </c>
      <c r="V367" t="s">
        <v>7204</v>
      </c>
      <c r="W367" t="s">
        <v>7205</v>
      </c>
      <c r="X367" t="s">
        <v>7206</v>
      </c>
      <c r="Y367" t="s">
        <v>7207</v>
      </c>
      <c r="Z367" t="s">
        <v>7208</v>
      </c>
      <c r="AA367" t="s">
        <v>74</v>
      </c>
      <c r="AB367" t="s">
        <v>7209</v>
      </c>
      <c r="AC367" t="s">
        <v>7210</v>
      </c>
      <c r="AD367" t="s">
        <v>7210</v>
      </c>
      <c r="AE367" t="s">
        <v>7211</v>
      </c>
      <c r="AF367" t="s">
        <v>74</v>
      </c>
      <c r="AG367">
        <v>61</v>
      </c>
      <c r="AH367">
        <v>0</v>
      </c>
      <c r="AI367">
        <v>0</v>
      </c>
      <c r="AJ367">
        <v>0</v>
      </c>
      <c r="AK367">
        <v>0</v>
      </c>
      <c r="AL367" t="s">
        <v>443</v>
      </c>
      <c r="AM367" t="s">
        <v>245</v>
      </c>
      <c r="AN367" t="s">
        <v>444</v>
      </c>
      <c r="AO367" t="s">
        <v>74</v>
      </c>
      <c r="AP367" t="s">
        <v>7212</v>
      </c>
      <c r="AQ367" t="s">
        <v>74</v>
      </c>
      <c r="AR367" t="s">
        <v>7213</v>
      </c>
      <c r="AS367" t="s">
        <v>7214</v>
      </c>
      <c r="AT367" t="s">
        <v>7098</v>
      </c>
      <c r="AU367">
        <v>2023</v>
      </c>
      <c r="AV367">
        <v>21</v>
      </c>
      <c r="AW367">
        <v>1</v>
      </c>
      <c r="AX367" t="s">
        <v>74</v>
      </c>
      <c r="AY367" t="s">
        <v>74</v>
      </c>
      <c r="AZ367" t="s">
        <v>74</v>
      </c>
      <c r="BA367" t="s">
        <v>74</v>
      </c>
      <c r="BB367" t="s">
        <v>74</v>
      </c>
      <c r="BC367" t="s">
        <v>74</v>
      </c>
      <c r="BD367">
        <v>73</v>
      </c>
      <c r="BE367" t="s">
        <v>7215</v>
      </c>
      <c r="BF367" t="str">
        <f>HYPERLINK("http://dx.doi.org/10.1186/s12960-023-00858-w","http://dx.doi.org/10.1186/s12960-023-00858-w")</f>
        <v>http://dx.doi.org/10.1186/s12960-023-00858-w</v>
      </c>
      <c r="BG367" t="s">
        <v>74</v>
      </c>
      <c r="BH367" t="s">
        <v>74</v>
      </c>
      <c r="BI367">
        <v>14</v>
      </c>
      <c r="BJ367" t="s">
        <v>7216</v>
      </c>
      <c r="BK367" t="s">
        <v>425</v>
      </c>
      <c r="BL367" t="s">
        <v>7217</v>
      </c>
      <c r="BM367" t="s">
        <v>7218</v>
      </c>
      <c r="BN367">
        <v>37670321</v>
      </c>
      <c r="BO367" t="s">
        <v>540</v>
      </c>
      <c r="BP367" t="s">
        <v>74</v>
      </c>
      <c r="BQ367" t="s">
        <v>74</v>
      </c>
      <c r="BR367" t="s">
        <v>99</v>
      </c>
      <c r="BS367" t="s">
        <v>7219</v>
      </c>
      <c r="BT367" t="str">
        <f>HYPERLINK("https%3A%2F%2Fwww.webofscience.com%2Fwos%2Fwoscc%2Ffull-record%2FWOS:001058969200001","View Full Record in Web of Science")</f>
        <v>View Full Record in Web of Science</v>
      </c>
    </row>
    <row r="368" spans="1:72" x14ac:dyDescent="0.15">
      <c r="A368" t="s">
        <v>72</v>
      </c>
      <c r="B368" t="s">
        <v>7220</v>
      </c>
      <c r="C368" t="s">
        <v>74</v>
      </c>
      <c r="D368" t="s">
        <v>74</v>
      </c>
      <c r="E368" t="s">
        <v>74</v>
      </c>
      <c r="F368" t="s">
        <v>7221</v>
      </c>
      <c r="G368" t="s">
        <v>74</v>
      </c>
      <c r="H368" t="s">
        <v>74</v>
      </c>
      <c r="I368" t="s">
        <v>7222</v>
      </c>
      <c r="J368" t="s">
        <v>7223</v>
      </c>
      <c r="K368" t="s">
        <v>74</v>
      </c>
      <c r="L368" t="s">
        <v>74</v>
      </c>
      <c r="M368" t="s">
        <v>78</v>
      </c>
      <c r="N368" t="s">
        <v>1246</v>
      </c>
      <c r="O368" t="s">
        <v>74</v>
      </c>
      <c r="P368" t="s">
        <v>74</v>
      </c>
      <c r="Q368" t="s">
        <v>74</v>
      </c>
      <c r="R368" t="s">
        <v>74</v>
      </c>
      <c r="S368" t="s">
        <v>74</v>
      </c>
      <c r="T368" t="s">
        <v>74</v>
      </c>
      <c r="U368" t="s">
        <v>7224</v>
      </c>
      <c r="V368" t="s">
        <v>7225</v>
      </c>
      <c r="W368" t="s">
        <v>7226</v>
      </c>
      <c r="X368" t="s">
        <v>7227</v>
      </c>
      <c r="Y368" t="s">
        <v>7228</v>
      </c>
      <c r="Z368" t="s">
        <v>7229</v>
      </c>
      <c r="AA368" t="s">
        <v>74</v>
      </c>
      <c r="AB368" t="s">
        <v>7230</v>
      </c>
      <c r="AC368" t="s">
        <v>7231</v>
      </c>
      <c r="AD368" t="s">
        <v>7232</v>
      </c>
      <c r="AE368" t="s">
        <v>7233</v>
      </c>
      <c r="AF368" t="s">
        <v>74</v>
      </c>
      <c r="AG368">
        <v>52</v>
      </c>
      <c r="AH368">
        <v>0</v>
      </c>
      <c r="AI368">
        <v>0</v>
      </c>
      <c r="AJ368">
        <v>6</v>
      </c>
      <c r="AK368">
        <v>6</v>
      </c>
      <c r="AL368" t="s">
        <v>317</v>
      </c>
      <c r="AM368" t="s">
        <v>245</v>
      </c>
      <c r="AN368" t="s">
        <v>318</v>
      </c>
      <c r="AO368" t="s">
        <v>7234</v>
      </c>
      <c r="AP368" t="s">
        <v>7235</v>
      </c>
      <c r="AQ368" t="s">
        <v>74</v>
      </c>
      <c r="AR368" t="s">
        <v>7236</v>
      </c>
      <c r="AS368" t="s">
        <v>7237</v>
      </c>
      <c r="AT368" t="s">
        <v>7014</v>
      </c>
      <c r="AU368">
        <v>2023</v>
      </c>
      <c r="AV368" t="s">
        <v>74</v>
      </c>
      <c r="AW368" t="s">
        <v>74</v>
      </c>
      <c r="AX368" t="s">
        <v>74</v>
      </c>
      <c r="AY368" t="s">
        <v>74</v>
      </c>
      <c r="AZ368" t="s">
        <v>74</v>
      </c>
      <c r="BA368" t="s">
        <v>74</v>
      </c>
      <c r="BB368" t="s">
        <v>74</v>
      </c>
      <c r="BC368" t="s">
        <v>74</v>
      </c>
      <c r="BD368" t="s">
        <v>74</v>
      </c>
      <c r="BE368" t="s">
        <v>7238</v>
      </c>
      <c r="BF368" t="str">
        <f>HYPERLINK("http://dx.doi.org/10.1038/s41418-023-01219-9","http://dx.doi.org/10.1038/s41418-023-01219-9")</f>
        <v>http://dx.doi.org/10.1038/s41418-023-01219-9</v>
      </c>
      <c r="BG368" t="s">
        <v>74</v>
      </c>
      <c r="BH368" t="s">
        <v>2079</v>
      </c>
      <c r="BI368">
        <v>16</v>
      </c>
      <c r="BJ368" t="s">
        <v>7239</v>
      </c>
      <c r="BK368" t="s">
        <v>126</v>
      </c>
      <c r="BL368" t="s">
        <v>7239</v>
      </c>
      <c r="BM368" t="s">
        <v>7240</v>
      </c>
      <c r="BN368">
        <v>37670038</v>
      </c>
      <c r="BO368" t="s">
        <v>74</v>
      </c>
      <c r="BP368" t="s">
        <v>74</v>
      </c>
      <c r="BQ368" t="s">
        <v>74</v>
      </c>
      <c r="BR368" t="s">
        <v>99</v>
      </c>
      <c r="BS368" t="s">
        <v>7241</v>
      </c>
      <c r="BT368" t="str">
        <f>HYPERLINK("https%3A%2F%2Fwww.webofscience.com%2Fwos%2Fwoscc%2Ffull-record%2FWOS:001058937700001","View Full Record in Web of Science")</f>
        <v>View Full Record in Web of Science</v>
      </c>
    </row>
    <row r="369" spans="1:72" x14ac:dyDescent="0.15">
      <c r="A369" t="s">
        <v>72</v>
      </c>
      <c r="B369" t="s">
        <v>7242</v>
      </c>
      <c r="C369" t="s">
        <v>74</v>
      </c>
      <c r="D369" t="s">
        <v>74</v>
      </c>
      <c r="E369" t="s">
        <v>74</v>
      </c>
      <c r="F369" t="s">
        <v>7243</v>
      </c>
      <c r="G369" t="s">
        <v>74</v>
      </c>
      <c r="H369" t="s">
        <v>74</v>
      </c>
      <c r="I369" t="s">
        <v>7244</v>
      </c>
      <c r="J369" t="s">
        <v>7245</v>
      </c>
      <c r="K369" t="s">
        <v>74</v>
      </c>
      <c r="L369" t="s">
        <v>74</v>
      </c>
      <c r="M369" t="s">
        <v>78</v>
      </c>
      <c r="N369" t="s">
        <v>79</v>
      </c>
      <c r="O369" t="s">
        <v>74</v>
      </c>
      <c r="P369" t="s">
        <v>74</v>
      </c>
      <c r="Q369" t="s">
        <v>74</v>
      </c>
      <c r="R369" t="s">
        <v>74</v>
      </c>
      <c r="S369" t="s">
        <v>74</v>
      </c>
      <c r="T369" t="s">
        <v>7246</v>
      </c>
      <c r="U369" t="s">
        <v>7247</v>
      </c>
      <c r="V369" t="s">
        <v>7248</v>
      </c>
      <c r="W369" t="s">
        <v>7249</v>
      </c>
      <c r="X369" t="s">
        <v>7250</v>
      </c>
      <c r="Y369" t="s">
        <v>7251</v>
      </c>
      <c r="Z369" t="s">
        <v>7252</v>
      </c>
      <c r="AA369" t="s">
        <v>74</v>
      </c>
      <c r="AB369" t="s">
        <v>7253</v>
      </c>
      <c r="AC369" t="s">
        <v>7254</v>
      </c>
      <c r="AD369" t="s">
        <v>7255</v>
      </c>
      <c r="AE369" t="s">
        <v>7256</v>
      </c>
      <c r="AF369" t="s">
        <v>74</v>
      </c>
      <c r="AG369">
        <v>46</v>
      </c>
      <c r="AH369">
        <v>0</v>
      </c>
      <c r="AI369">
        <v>0</v>
      </c>
      <c r="AJ369">
        <v>0</v>
      </c>
      <c r="AK369">
        <v>0</v>
      </c>
      <c r="AL369" t="s">
        <v>443</v>
      </c>
      <c r="AM369" t="s">
        <v>245</v>
      </c>
      <c r="AN369" t="s">
        <v>444</v>
      </c>
      <c r="AO369" t="s">
        <v>74</v>
      </c>
      <c r="AP369" t="s">
        <v>7257</v>
      </c>
      <c r="AQ369" t="s">
        <v>74</v>
      </c>
      <c r="AR369" t="s">
        <v>7258</v>
      </c>
      <c r="AS369" t="s">
        <v>7259</v>
      </c>
      <c r="AT369" t="s">
        <v>7098</v>
      </c>
      <c r="AU369">
        <v>2023</v>
      </c>
      <c r="AV369">
        <v>23</v>
      </c>
      <c r="AW369">
        <v>1</v>
      </c>
      <c r="AX369" t="s">
        <v>74</v>
      </c>
      <c r="AY369" t="s">
        <v>74</v>
      </c>
      <c r="AZ369" t="s">
        <v>74</v>
      </c>
      <c r="BA369" t="s">
        <v>74</v>
      </c>
      <c r="BB369" t="s">
        <v>74</v>
      </c>
      <c r="BC369" t="s">
        <v>74</v>
      </c>
      <c r="BD369">
        <v>580</v>
      </c>
      <c r="BE369" t="s">
        <v>7260</v>
      </c>
      <c r="BF369" t="str">
        <f>HYPERLINK("http://dx.doi.org/10.1186/s12879-023-08565-6","http://dx.doi.org/10.1186/s12879-023-08565-6")</f>
        <v>http://dx.doi.org/10.1186/s12879-023-08565-6</v>
      </c>
      <c r="BG369" t="s">
        <v>74</v>
      </c>
      <c r="BH369" t="s">
        <v>74</v>
      </c>
      <c r="BI369">
        <v>8</v>
      </c>
      <c r="BJ369" t="s">
        <v>7261</v>
      </c>
      <c r="BK369" t="s">
        <v>126</v>
      </c>
      <c r="BL369" t="s">
        <v>7261</v>
      </c>
      <c r="BM369" t="s">
        <v>7262</v>
      </c>
      <c r="BN369">
        <v>37670282</v>
      </c>
      <c r="BO369" t="s">
        <v>302</v>
      </c>
      <c r="BP369" t="s">
        <v>74</v>
      </c>
      <c r="BQ369" t="s">
        <v>74</v>
      </c>
      <c r="BR369" t="s">
        <v>99</v>
      </c>
      <c r="BS369" t="s">
        <v>7263</v>
      </c>
      <c r="BT369" t="str">
        <f>HYPERLINK("https%3A%2F%2Fwww.webofscience.com%2Fwos%2Fwoscc%2Ffull-record%2FWOS:001062193600002","View Full Record in Web of Science")</f>
        <v>View Full Record in Web of Science</v>
      </c>
    </row>
    <row r="370" spans="1:72" x14ac:dyDescent="0.15">
      <c r="A370" t="s">
        <v>72</v>
      </c>
      <c r="B370" t="s">
        <v>7264</v>
      </c>
      <c r="C370" t="s">
        <v>74</v>
      </c>
      <c r="D370" t="s">
        <v>74</v>
      </c>
      <c r="E370" t="s">
        <v>74</v>
      </c>
      <c r="F370" t="s">
        <v>7265</v>
      </c>
      <c r="G370" t="s">
        <v>74</v>
      </c>
      <c r="H370" t="s">
        <v>74</v>
      </c>
      <c r="I370" t="s">
        <v>7266</v>
      </c>
      <c r="J370" t="s">
        <v>7267</v>
      </c>
      <c r="K370" t="s">
        <v>74</v>
      </c>
      <c r="L370" t="s">
        <v>74</v>
      </c>
      <c r="M370" t="s">
        <v>78</v>
      </c>
      <c r="N370" t="s">
        <v>1246</v>
      </c>
      <c r="O370" t="s">
        <v>74</v>
      </c>
      <c r="P370" t="s">
        <v>74</v>
      </c>
      <c r="Q370" t="s">
        <v>74</v>
      </c>
      <c r="R370" t="s">
        <v>74</v>
      </c>
      <c r="S370" t="s">
        <v>74</v>
      </c>
      <c r="T370" t="s">
        <v>7268</v>
      </c>
      <c r="U370" t="s">
        <v>7269</v>
      </c>
      <c r="V370" t="s">
        <v>7270</v>
      </c>
      <c r="W370" t="s">
        <v>7271</v>
      </c>
      <c r="X370" t="s">
        <v>7272</v>
      </c>
      <c r="Y370" t="s">
        <v>7273</v>
      </c>
      <c r="Z370" t="s">
        <v>7274</v>
      </c>
      <c r="AA370" t="s">
        <v>74</v>
      </c>
      <c r="AB370" t="s">
        <v>74</v>
      </c>
      <c r="AC370" t="s">
        <v>7275</v>
      </c>
      <c r="AD370" t="s">
        <v>7276</v>
      </c>
      <c r="AE370" t="s">
        <v>7277</v>
      </c>
      <c r="AF370" t="s">
        <v>74</v>
      </c>
      <c r="AG370">
        <v>39</v>
      </c>
      <c r="AH370">
        <v>0</v>
      </c>
      <c r="AI370">
        <v>0</v>
      </c>
      <c r="AJ370">
        <v>0</v>
      </c>
      <c r="AK370">
        <v>0</v>
      </c>
      <c r="AL370" t="s">
        <v>117</v>
      </c>
      <c r="AM370" t="s">
        <v>627</v>
      </c>
      <c r="AN370" t="s">
        <v>628</v>
      </c>
      <c r="AO370" t="s">
        <v>7278</v>
      </c>
      <c r="AP370" t="s">
        <v>7279</v>
      </c>
      <c r="AQ370" t="s">
        <v>74</v>
      </c>
      <c r="AR370" t="s">
        <v>7280</v>
      </c>
      <c r="AS370" t="s">
        <v>7281</v>
      </c>
      <c r="AT370" t="s">
        <v>7014</v>
      </c>
      <c r="AU370">
        <v>2023</v>
      </c>
      <c r="AV370" t="s">
        <v>74</v>
      </c>
      <c r="AW370" t="s">
        <v>74</v>
      </c>
      <c r="AX370" t="s">
        <v>74</v>
      </c>
      <c r="AY370" t="s">
        <v>74</v>
      </c>
      <c r="AZ370" t="s">
        <v>74</v>
      </c>
      <c r="BA370" t="s">
        <v>74</v>
      </c>
      <c r="BB370" t="s">
        <v>74</v>
      </c>
      <c r="BC370" t="s">
        <v>74</v>
      </c>
      <c r="BD370" t="s">
        <v>74</v>
      </c>
      <c r="BE370" t="s">
        <v>7282</v>
      </c>
      <c r="BF370" t="str">
        <f>HYPERLINK("http://dx.doi.org/10.1007/s10494-023-00475-6","http://dx.doi.org/10.1007/s10494-023-00475-6")</f>
        <v>http://dx.doi.org/10.1007/s10494-023-00475-6</v>
      </c>
      <c r="BG370" t="s">
        <v>74</v>
      </c>
      <c r="BH370" t="s">
        <v>2079</v>
      </c>
      <c r="BI370">
        <v>26</v>
      </c>
      <c r="BJ370" t="s">
        <v>4818</v>
      </c>
      <c r="BK370" t="s">
        <v>126</v>
      </c>
      <c r="BL370" t="s">
        <v>4818</v>
      </c>
      <c r="BM370" t="s">
        <v>7283</v>
      </c>
      <c r="BN370" t="s">
        <v>74</v>
      </c>
      <c r="BO370" t="s">
        <v>1328</v>
      </c>
      <c r="BP370" t="s">
        <v>74</v>
      </c>
      <c r="BQ370" t="s">
        <v>74</v>
      </c>
      <c r="BR370" t="s">
        <v>99</v>
      </c>
      <c r="BS370" t="s">
        <v>7284</v>
      </c>
      <c r="BT370" t="str">
        <f>HYPERLINK("https%3A%2F%2Fwww.webofscience.com%2Fwos%2Fwoscc%2Ffull-record%2FWOS:001058987600003","View Full Record in Web of Science")</f>
        <v>View Full Record in Web of Science</v>
      </c>
    </row>
    <row r="371" spans="1:72" x14ac:dyDescent="0.15">
      <c r="A371" t="s">
        <v>72</v>
      </c>
      <c r="B371" t="s">
        <v>7285</v>
      </c>
      <c r="C371" t="s">
        <v>74</v>
      </c>
      <c r="D371" t="s">
        <v>74</v>
      </c>
      <c r="E371" t="s">
        <v>74</v>
      </c>
      <c r="F371" t="s">
        <v>7286</v>
      </c>
      <c r="G371" t="s">
        <v>74</v>
      </c>
      <c r="H371" t="s">
        <v>74</v>
      </c>
      <c r="I371" t="s">
        <v>7287</v>
      </c>
      <c r="J371" t="s">
        <v>7288</v>
      </c>
      <c r="K371" t="s">
        <v>74</v>
      </c>
      <c r="L371" t="s">
        <v>74</v>
      </c>
      <c r="M371" t="s">
        <v>78</v>
      </c>
      <c r="N371" t="s">
        <v>1246</v>
      </c>
      <c r="O371" t="s">
        <v>74</v>
      </c>
      <c r="P371" t="s">
        <v>74</v>
      </c>
      <c r="Q371" t="s">
        <v>74</v>
      </c>
      <c r="R371" t="s">
        <v>74</v>
      </c>
      <c r="S371" t="s">
        <v>74</v>
      </c>
      <c r="T371" t="s">
        <v>7289</v>
      </c>
      <c r="U371" t="s">
        <v>74</v>
      </c>
      <c r="V371" t="s">
        <v>7290</v>
      </c>
      <c r="W371" t="s">
        <v>7291</v>
      </c>
      <c r="X371" t="s">
        <v>7292</v>
      </c>
      <c r="Y371" t="s">
        <v>7293</v>
      </c>
      <c r="Z371" t="s">
        <v>7294</v>
      </c>
      <c r="AA371" t="s">
        <v>74</v>
      </c>
      <c r="AB371" t="s">
        <v>74</v>
      </c>
      <c r="AC371" t="s">
        <v>7295</v>
      </c>
      <c r="AD371" t="s">
        <v>7296</v>
      </c>
      <c r="AE371" t="s">
        <v>7297</v>
      </c>
      <c r="AF371" t="s">
        <v>74</v>
      </c>
      <c r="AG371">
        <v>21</v>
      </c>
      <c r="AH371">
        <v>0</v>
      </c>
      <c r="AI371">
        <v>0</v>
      </c>
      <c r="AJ371">
        <v>0</v>
      </c>
      <c r="AK371">
        <v>0</v>
      </c>
      <c r="AL371" t="s">
        <v>172</v>
      </c>
      <c r="AM371" t="s">
        <v>173</v>
      </c>
      <c r="AN371" t="s">
        <v>174</v>
      </c>
      <c r="AO371" t="s">
        <v>7298</v>
      </c>
      <c r="AP371" t="s">
        <v>7299</v>
      </c>
      <c r="AQ371" t="s">
        <v>74</v>
      </c>
      <c r="AR371" t="s">
        <v>7300</v>
      </c>
      <c r="AS371" t="s">
        <v>7301</v>
      </c>
      <c r="AT371" t="s">
        <v>7014</v>
      </c>
      <c r="AU371">
        <v>2023</v>
      </c>
      <c r="AV371" t="s">
        <v>74</v>
      </c>
      <c r="AW371" t="s">
        <v>74</v>
      </c>
      <c r="AX371" t="s">
        <v>74</v>
      </c>
      <c r="AY371" t="s">
        <v>74</v>
      </c>
      <c r="AZ371" t="s">
        <v>74</v>
      </c>
      <c r="BA371" t="s">
        <v>74</v>
      </c>
      <c r="BB371" t="s">
        <v>74</v>
      </c>
      <c r="BC371" t="s">
        <v>74</v>
      </c>
      <c r="BD371" t="s">
        <v>74</v>
      </c>
      <c r="BE371" t="s">
        <v>7302</v>
      </c>
      <c r="BF371" t="str">
        <f>HYPERLINK("http://dx.doi.org/10.1007/s13369-023-08210","http://dx.doi.org/10.1007/s13369-023-08210")</f>
        <v>http://dx.doi.org/10.1007/s13369-023-08210</v>
      </c>
      <c r="BG371" t="s">
        <v>74</v>
      </c>
      <c r="BH371" t="s">
        <v>2079</v>
      </c>
      <c r="BI371">
        <v>13</v>
      </c>
      <c r="BJ371" t="s">
        <v>1867</v>
      </c>
      <c r="BK371" t="s">
        <v>126</v>
      </c>
      <c r="BL371" t="s">
        <v>1868</v>
      </c>
      <c r="BM371" t="s">
        <v>7303</v>
      </c>
      <c r="BN371" t="s">
        <v>74</v>
      </c>
      <c r="BO371" t="s">
        <v>74</v>
      </c>
      <c r="BP371" t="s">
        <v>74</v>
      </c>
      <c r="BQ371" t="s">
        <v>74</v>
      </c>
      <c r="BR371" t="s">
        <v>99</v>
      </c>
      <c r="BS371" t="s">
        <v>7304</v>
      </c>
      <c r="BT371" t="str">
        <f>HYPERLINK("https%3A%2F%2Fwww.webofscience.com%2Fwos%2Fwoscc%2Ffull-record%2FWOS:001062733100005","View Full Record in Web of Science")</f>
        <v>View Full Record in Web of Science</v>
      </c>
    </row>
    <row r="372" spans="1:72" x14ac:dyDescent="0.15">
      <c r="A372" t="s">
        <v>72</v>
      </c>
      <c r="B372" t="s">
        <v>7305</v>
      </c>
      <c r="C372" t="s">
        <v>74</v>
      </c>
      <c r="D372" t="s">
        <v>74</v>
      </c>
      <c r="E372" t="s">
        <v>74</v>
      </c>
      <c r="F372" t="s">
        <v>7306</v>
      </c>
      <c r="G372" t="s">
        <v>74</v>
      </c>
      <c r="H372" t="s">
        <v>74</v>
      </c>
      <c r="I372" t="s">
        <v>7307</v>
      </c>
      <c r="J372" t="s">
        <v>7308</v>
      </c>
      <c r="K372" t="s">
        <v>74</v>
      </c>
      <c r="L372" t="s">
        <v>74</v>
      </c>
      <c r="M372" t="s">
        <v>78</v>
      </c>
      <c r="N372" t="s">
        <v>79</v>
      </c>
      <c r="O372" t="s">
        <v>74</v>
      </c>
      <c r="P372" t="s">
        <v>74</v>
      </c>
      <c r="Q372" t="s">
        <v>74</v>
      </c>
      <c r="R372" t="s">
        <v>74</v>
      </c>
      <c r="S372" t="s">
        <v>74</v>
      </c>
      <c r="T372" t="s">
        <v>7309</v>
      </c>
      <c r="U372" t="s">
        <v>7310</v>
      </c>
      <c r="V372" t="s">
        <v>7311</v>
      </c>
      <c r="W372" t="s">
        <v>7312</v>
      </c>
      <c r="X372" t="s">
        <v>7313</v>
      </c>
      <c r="Y372" t="s">
        <v>7314</v>
      </c>
      <c r="Z372" t="s">
        <v>7315</v>
      </c>
      <c r="AA372" t="s">
        <v>74</v>
      </c>
      <c r="AB372" t="s">
        <v>74</v>
      </c>
      <c r="AC372" t="s">
        <v>7316</v>
      </c>
      <c r="AD372" t="s">
        <v>7316</v>
      </c>
      <c r="AE372" t="s">
        <v>7317</v>
      </c>
      <c r="AF372" t="s">
        <v>74</v>
      </c>
      <c r="AG372">
        <v>45</v>
      </c>
      <c r="AH372">
        <v>0</v>
      </c>
      <c r="AI372">
        <v>0</v>
      </c>
      <c r="AJ372">
        <v>0</v>
      </c>
      <c r="AK372">
        <v>0</v>
      </c>
      <c r="AL372" t="s">
        <v>443</v>
      </c>
      <c r="AM372" t="s">
        <v>245</v>
      </c>
      <c r="AN372" t="s">
        <v>444</v>
      </c>
      <c r="AO372" t="s">
        <v>74</v>
      </c>
      <c r="AP372" t="s">
        <v>7318</v>
      </c>
      <c r="AQ372" t="s">
        <v>74</v>
      </c>
      <c r="AR372" t="s">
        <v>7319</v>
      </c>
      <c r="AS372" t="s">
        <v>7320</v>
      </c>
      <c r="AT372" t="s">
        <v>7098</v>
      </c>
      <c r="AU372">
        <v>2023</v>
      </c>
      <c r="AV372">
        <v>9</v>
      </c>
      <c r="AW372">
        <v>1</v>
      </c>
      <c r="AX372" t="s">
        <v>74</v>
      </c>
      <c r="AY372" t="s">
        <v>74</v>
      </c>
      <c r="AZ372" t="s">
        <v>74</v>
      </c>
      <c r="BA372" t="s">
        <v>74</v>
      </c>
      <c r="BB372" t="s">
        <v>74</v>
      </c>
      <c r="BC372" t="s">
        <v>74</v>
      </c>
      <c r="BD372">
        <v>43</v>
      </c>
      <c r="BE372" t="s">
        <v>7321</v>
      </c>
      <c r="BF372" t="str">
        <f>HYPERLINK("http://dx.doi.org/10.1186/s41100-023-00499-8","http://dx.doi.org/10.1186/s41100-023-00499-8")</f>
        <v>http://dx.doi.org/10.1186/s41100-023-00499-8</v>
      </c>
      <c r="BG372" t="s">
        <v>74</v>
      </c>
      <c r="BH372" t="s">
        <v>74</v>
      </c>
      <c r="BI372">
        <v>9</v>
      </c>
      <c r="BJ372" t="s">
        <v>7322</v>
      </c>
      <c r="BK372" t="s">
        <v>97</v>
      </c>
      <c r="BL372" t="s">
        <v>7322</v>
      </c>
      <c r="BM372" t="s">
        <v>7323</v>
      </c>
      <c r="BN372" t="s">
        <v>74</v>
      </c>
      <c r="BO372" t="s">
        <v>302</v>
      </c>
      <c r="BP372" t="s">
        <v>74</v>
      </c>
      <c r="BQ372" t="s">
        <v>74</v>
      </c>
      <c r="BR372" t="s">
        <v>99</v>
      </c>
      <c r="BS372" t="s">
        <v>7324</v>
      </c>
      <c r="BT372" t="str">
        <f>HYPERLINK("https%3A%2F%2Fwww.webofscience.com%2Fwos%2Fwoscc%2Ffull-record%2FWOS:001061445200001","View Full Record in Web of Science")</f>
        <v>View Full Record in Web of Science</v>
      </c>
    </row>
    <row r="373" spans="1:72" x14ac:dyDescent="0.15">
      <c r="A373" t="s">
        <v>72</v>
      </c>
      <c r="B373" t="s">
        <v>7325</v>
      </c>
      <c r="C373" t="s">
        <v>74</v>
      </c>
      <c r="D373" t="s">
        <v>74</v>
      </c>
      <c r="E373" t="s">
        <v>74</v>
      </c>
      <c r="F373" t="s">
        <v>7326</v>
      </c>
      <c r="G373" t="s">
        <v>74</v>
      </c>
      <c r="H373" t="s">
        <v>74</v>
      </c>
      <c r="I373" t="s">
        <v>7327</v>
      </c>
      <c r="J373" t="s">
        <v>6274</v>
      </c>
      <c r="K373" t="s">
        <v>74</v>
      </c>
      <c r="L373" t="s">
        <v>74</v>
      </c>
      <c r="M373" t="s">
        <v>78</v>
      </c>
      <c r="N373" t="s">
        <v>79</v>
      </c>
      <c r="O373" t="s">
        <v>74</v>
      </c>
      <c r="P373" t="s">
        <v>74</v>
      </c>
      <c r="Q373" t="s">
        <v>74</v>
      </c>
      <c r="R373" t="s">
        <v>74</v>
      </c>
      <c r="S373" t="s">
        <v>74</v>
      </c>
      <c r="T373" t="s">
        <v>7328</v>
      </c>
      <c r="U373" t="s">
        <v>7329</v>
      </c>
      <c r="V373" t="s">
        <v>7330</v>
      </c>
      <c r="W373" t="s">
        <v>7331</v>
      </c>
      <c r="X373" t="s">
        <v>6577</v>
      </c>
      <c r="Y373" t="s">
        <v>7332</v>
      </c>
      <c r="Z373" t="s">
        <v>7333</v>
      </c>
      <c r="AA373" t="s">
        <v>74</v>
      </c>
      <c r="AB373" t="s">
        <v>74</v>
      </c>
      <c r="AC373" t="s">
        <v>932</v>
      </c>
      <c r="AD373" t="s">
        <v>932</v>
      </c>
      <c r="AE373" t="s">
        <v>932</v>
      </c>
      <c r="AF373" t="s">
        <v>74</v>
      </c>
      <c r="AG373">
        <v>35</v>
      </c>
      <c r="AH373">
        <v>0</v>
      </c>
      <c r="AI373">
        <v>0</v>
      </c>
      <c r="AJ373">
        <v>1</v>
      </c>
      <c r="AK373">
        <v>1</v>
      </c>
      <c r="AL373" t="s">
        <v>443</v>
      </c>
      <c r="AM373" t="s">
        <v>245</v>
      </c>
      <c r="AN373" t="s">
        <v>444</v>
      </c>
      <c r="AO373" t="s">
        <v>74</v>
      </c>
      <c r="AP373" t="s">
        <v>6285</v>
      </c>
      <c r="AQ373" t="s">
        <v>74</v>
      </c>
      <c r="AR373" t="s">
        <v>6274</v>
      </c>
      <c r="AS373" t="s">
        <v>6286</v>
      </c>
      <c r="AT373" t="s">
        <v>7098</v>
      </c>
      <c r="AU373">
        <v>2023</v>
      </c>
      <c r="AV373">
        <v>23</v>
      </c>
      <c r="AW373">
        <v>1</v>
      </c>
      <c r="AX373" t="s">
        <v>74</v>
      </c>
      <c r="AY373" t="s">
        <v>74</v>
      </c>
      <c r="AZ373" t="s">
        <v>74</v>
      </c>
      <c r="BA373" t="s">
        <v>74</v>
      </c>
      <c r="BB373" t="s">
        <v>74</v>
      </c>
      <c r="BC373" t="s">
        <v>74</v>
      </c>
      <c r="BD373">
        <v>827</v>
      </c>
      <c r="BE373" t="s">
        <v>7334</v>
      </c>
      <c r="BF373" t="str">
        <f>HYPERLINK("http://dx.doi.org/10.1186/s12885-023-11304-4","http://dx.doi.org/10.1186/s12885-023-11304-4")</f>
        <v>http://dx.doi.org/10.1186/s12885-023-11304-4</v>
      </c>
      <c r="BG373" t="s">
        <v>74</v>
      </c>
      <c r="BH373" t="s">
        <v>74</v>
      </c>
      <c r="BI373">
        <v>11</v>
      </c>
      <c r="BJ373" t="s">
        <v>1951</v>
      </c>
      <c r="BK373" t="s">
        <v>126</v>
      </c>
      <c r="BL373" t="s">
        <v>1951</v>
      </c>
      <c r="BM373" t="s">
        <v>7335</v>
      </c>
      <c r="BN373">
        <v>37670241</v>
      </c>
      <c r="BO373" t="s">
        <v>302</v>
      </c>
      <c r="BP373" t="s">
        <v>74</v>
      </c>
      <c r="BQ373" t="s">
        <v>74</v>
      </c>
      <c r="BR373" t="s">
        <v>99</v>
      </c>
      <c r="BS373" t="s">
        <v>7336</v>
      </c>
      <c r="BT373" t="str">
        <f>HYPERLINK("https%3A%2F%2Fwww.webofscience.com%2Fwos%2Fwoscc%2Ffull-record%2FWOS:001060077700004","View Full Record in Web of Science")</f>
        <v>View Full Record in Web of Science</v>
      </c>
    </row>
    <row r="374" spans="1:72" x14ac:dyDescent="0.15">
      <c r="A374" t="s">
        <v>72</v>
      </c>
      <c r="B374" t="s">
        <v>7337</v>
      </c>
      <c r="C374" t="s">
        <v>74</v>
      </c>
      <c r="D374" t="s">
        <v>74</v>
      </c>
      <c r="E374" t="s">
        <v>74</v>
      </c>
      <c r="F374" t="s">
        <v>7338</v>
      </c>
      <c r="G374" t="s">
        <v>74</v>
      </c>
      <c r="H374" t="s">
        <v>74</v>
      </c>
      <c r="I374" t="s">
        <v>7339</v>
      </c>
      <c r="J374" t="s">
        <v>7340</v>
      </c>
      <c r="K374" t="s">
        <v>74</v>
      </c>
      <c r="L374" t="s">
        <v>74</v>
      </c>
      <c r="M374" t="s">
        <v>78</v>
      </c>
      <c r="N374" t="s">
        <v>2174</v>
      </c>
      <c r="O374" t="s">
        <v>74</v>
      </c>
      <c r="P374" t="s">
        <v>74</v>
      </c>
      <c r="Q374" t="s">
        <v>74</v>
      </c>
      <c r="R374" t="s">
        <v>74</v>
      </c>
      <c r="S374" t="s">
        <v>74</v>
      </c>
      <c r="T374" t="s">
        <v>7341</v>
      </c>
      <c r="U374" t="s">
        <v>7342</v>
      </c>
      <c r="V374" t="s">
        <v>7343</v>
      </c>
      <c r="W374" t="s">
        <v>7344</v>
      </c>
      <c r="X374" t="s">
        <v>7345</v>
      </c>
      <c r="Y374" t="s">
        <v>7346</v>
      </c>
      <c r="Z374" t="s">
        <v>7347</v>
      </c>
      <c r="AA374" t="s">
        <v>74</v>
      </c>
      <c r="AB374" t="s">
        <v>74</v>
      </c>
      <c r="AC374" t="s">
        <v>74</v>
      </c>
      <c r="AD374" t="s">
        <v>74</v>
      </c>
      <c r="AE374" t="s">
        <v>74</v>
      </c>
      <c r="AF374" t="s">
        <v>74</v>
      </c>
      <c r="AG374">
        <v>55</v>
      </c>
      <c r="AH374">
        <v>0</v>
      </c>
      <c r="AI374">
        <v>0</v>
      </c>
      <c r="AJ374">
        <v>2</v>
      </c>
      <c r="AK374">
        <v>2</v>
      </c>
      <c r="AL374" t="s">
        <v>1500</v>
      </c>
      <c r="AM374" t="s">
        <v>1501</v>
      </c>
      <c r="AN374" t="s">
        <v>1502</v>
      </c>
      <c r="AO374" t="s">
        <v>7348</v>
      </c>
      <c r="AP374" t="s">
        <v>7349</v>
      </c>
      <c r="AQ374" t="s">
        <v>74</v>
      </c>
      <c r="AR374" t="s">
        <v>7350</v>
      </c>
      <c r="AS374" t="s">
        <v>7351</v>
      </c>
      <c r="AT374" t="s">
        <v>7014</v>
      </c>
      <c r="AU374">
        <v>2023</v>
      </c>
      <c r="AV374" t="s">
        <v>74</v>
      </c>
      <c r="AW374" t="s">
        <v>74</v>
      </c>
      <c r="AX374" t="s">
        <v>74</v>
      </c>
      <c r="AY374" t="s">
        <v>74</v>
      </c>
      <c r="AZ374" t="s">
        <v>74</v>
      </c>
      <c r="BA374" t="s">
        <v>74</v>
      </c>
      <c r="BB374" t="s">
        <v>74</v>
      </c>
      <c r="BC374" t="s">
        <v>74</v>
      </c>
      <c r="BD374" t="s">
        <v>74</v>
      </c>
      <c r="BE374" t="s">
        <v>7352</v>
      </c>
      <c r="BF374" t="str">
        <f>HYPERLINK("http://dx.doi.org/10.1007/s10147-023-02387","http://dx.doi.org/10.1007/s10147-023-02387")</f>
        <v>http://dx.doi.org/10.1007/s10147-023-02387</v>
      </c>
      <c r="BG374" t="s">
        <v>74</v>
      </c>
      <c r="BH374" t="s">
        <v>2079</v>
      </c>
      <c r="BI374">
        <v>9</v>
      </c>
      <c r="BJ374" t="s">
        <v>1951</v>
      </c>
      <c r="BK374" t="s">
        <v>126</v>
      </c>
      <c r="BL374" t="s">
        <v>1951</v>
      </c>
      <c r="BM374" t="s">
        <v>7353</v>
      </c>
      <c r="BN374" t="s">
        <v>74</v>
      </c>
      <c r="BO374" t="s">
        <v>74</v>
      </c>
      <c r="BP374" t="s">
        <v>74</v>
      </c>
      <c r="BQ374" t="s">
        <v>74</v>
      </c>
      <c r="BR374" t="s">
        <v>99</v>
      </c>
      <c r="BS374" t="s">
        <v>7354</v>
      </c>
      <c r="BT374" t="str">
        <f>HYPERLINK("https%3A%2F%2Fwww.webofscience.com%2Fwos%2Fwoscc%2Ffull-record%2FWOS:001058939800001","View Full Record in Web of Science")</f>
        <v>View Full Record in Web of Science</v>
      </c>
    </row>
    <row r="375" spans="1:72" x14ac:dyDescent="0.15">
      <c r="A375" t="s">
        <v>72</v>
      </c>
      <c r="B375" t="s">
        <v>7355</v>
      </c>
      <c r="C375" t="s">
        <v>74</v>
      </c>
      <c r="D375" t="s">
        <v>74</v>
      </c>
      <c r="E375" t="s">
        <v>74</v>
      </c>
      <c r="F375" t="s">
        <v>7356</v>
      </c>
      <c r="G375" t="s">
        <v>74</v>
      </c>
      <c r="H375" t="s">
        <v>74</v>
      </c>
      <c r="I375" t="s">
        <v>7357</v>
      </c>
      <c r="J375" t="s">
        <v>7358</v>
      </c>
      <c r="K375" t="s">
        <v>74</v>
      </c>
      <c r="L375" t="s">
        <v>74</v>
      </c>
      <c r="M375" t="s">
        <v>78</v>
      </c>
      <c r="N375" t="s">
        <v>79</v>
      </c>
      <c r="O375" t="s">
        <v>74</v>
      </c>
      <c r="P375" t="s">
        <v>74</v>
      </c>
      <c r="Q375" t="s">
        <v>74</v>
      </c>
      <c r="R375" t="s">
        <v>74</v>
      </c>
      <c r="S375" t="s">
        <v>74</v>
      </c>
      <c r="T375" t="s">
        <v>74</v>
      </c>
      <c r="U375" t="s">
        <v>7359</v>
      </c>
      <c r="V375" t="s">
        <v>7360</v>
      </c>
      <c r="W375" t="s">
        <v>7361</v>
      </c>
      <c r="X375" t="s">
        <v>7362</v>
      </c>
      <c r="Y375" t="s">
        <v>7363</v>
      </c>
      <c r="Z375" t="s">
        <v>7364</v>
      </c>
      <c r="AA375" t="s">
        <v>74</v>
      </c>
      <c r="AB375" t="s">
        <v>7365</v>
      </c>
      <c r="AC375" t="s">
        <v>7366</v>
      </c>
      <c r="AD375" t="s">
        <v>7367</v>
      </c>
      <c r="AE375" t="s">
        <v>7368</v>
      </c>
      <c r="AF375" t="s">
        <v>74</v>
      </c>
      <c r="AG375">
        <v>101</v>
      </c>
      <c r="AH375">
        <v>0</v>
      </c>
      <c r="AI375">
        <v>0</v>
      </c>
      <c r="AJ375">
        <v>0</v>
      </c>
      <c r="AK375">
        <v>0</v>
      </c>
      <c r="AL375" t="s">
        <v>317</v>
      </c>
      <c r="AM375" t="s">
        <v>245</v>
      </c>
      <c r="AN375" t="s">
        <v>318</v>
      </c>
      <c r="AO375" t="s">
        <v>74</v>
      </c>
      <c r="AP375" t="s">
        <v>7369</v>
      </c>
      <c r="AQ375" t="s">
        <v>74</v>
      </c>
      <c r="AR375" t="s">
        <v>7370</v>
      </c>
      <c r="AS375" t="s">
        <v>7371</v>
      </c>
      <c r="AT375" t="s">
        <v>7098</v>
      </c>
      <c r="AU375">
        <v>2023</v>
      </c>
      <c r="AV375">
        <v>4</v>
      </c>
      <c r="AW375">
        <v>1</v>
      </c>
      <c r="AX375" t="s">
        <v>74</v>
      </c>
      <c r="AY375" t="s">
        <v>74</v>
      </c>
      <c r="AZ375" t="s">
        <v>74</v>
      </c>
      <c r="BA375" t="s">
        <v>74</v>
      </c>
      <c r="BB375" t="s">
        <v>74</v>
      </c>
      <c r="BC375" t="s">
        <v>74</v>
      </c>
      <c r="BD375">
        <v>309</v>
      </c>
      <c r="BE375" t="s">
        <v>7372</v>
      </c>
      <c r="BF375" t="str">
        <f>HYPERLINK("http://dx.doi.org/10.1038/s43247-023-00977-1","http://dx.doi.org/10.1038/s43247-023-00977-1")</f>
        <v>http://dx.doi.org/10.1038/s43247-023-00977-1</v>
      </c>
      <c r="BG375" t="s">
        <v>74</v>
      </c>
      <c r="BH375" t="s">
        <v>74</v>
      </c>
      <c r="BI375">
        <v>11</v>
      </c>
      <c r="BJ375" t="s">
        <v>7373</v>
      </c>
      <c r="BK375" t="s">
        <v>126</v>
      </c>
      <c r="BL375" t="s">
        <v>7374</v>
      </c>
      <c r="BM375" t="s">
        <v>7375</v>
      </c>
      <c r="BN375" t="s">
        <v>74</v>
      </c>
      <c r="BO375" t="s">
        <v>302</v>
      </c>
      <c r="BP375" t="s">
        <v>74</v>
      </c>
      <c r="BQ375" t="s">
        <v>74</v>
      </c>
      <c r="BR375" t="s">
        <v>99</v>
      </c>
      <c r="BS375" t="s">
        <v>7376</v>
      </c>
      <c r="BT375" t="str">
        <f>HYPERLINK("https%3A%2F%2Fwww.webofscience.com%2Fwos%2Fwoscc%2Ffull-record%2FWOS:001063814000003","View Full Record in Web of Science")</f>
        <v>View Full Record in Web of Science</v>
      </c>
    </row>
    <row r="376" spans="1:72" x14ac:dyDescent="0.15">
      <c r="A376" t="s">
        <v>72</v>
      </c>
      <c r="B376" t="s">
        <v>7377</v>
      </c>
      <c r="C376" t="s">
        <v>74</v>
      </c>
      <c r="D376" t="s">
        <v>74</v>
      </c>
      <c r="E376" t="s">
        <v>74</v>
      </c>
      <c r="F376" t="s">
        <v>7378</v>
      </c>
      <c r="G376" t="s">
        <v>74</v>
      </c>
      <c r="H376" t="s">
        <v>74</v>
      </c>
      <c r="I376" t="s">
        <v>7379</v>
      </c>
      <c r="J376" t="s">
        <v>5743</v>
      </c>
      <c r="K376" t="s">
        <v>74</v>
      </c>
      <c r="L376" t="s">
        <v>74</v>
      </c>
      <c r="M376" t="s">
        <v>78</v>
      </c>
      <c r="N376" t="s">
        <v>79</v>
      </c>
      <c r="O376" t="s">
        <v>74</v>
      </c>
      <c r="P376" t="s">
        <v>74</v>
      </c>
      <c r="Q376" t="s">
        <v>74</v>
      </c>
      <c r="R376" t="s">
        <v>74</v>
      </c>
      <c r="S376" t="s">
        <v>74</v>
      </c>
      <c r="T376" t="s">
        <v>7380</v>
      </c>
      <c r="U376" t="s">
        <v>7381</v>
      </c>
      <c r="V376" t="s">
        <v>7382</v>
      </c>
      <c r="W376" t="s">
        <v>7383</v>
      </c>
      <c r="X376" t="s">
        <v>7384</v>
      </c>
      <c r="Y376" t="s">
        <v>7385</v>
      </c>
      <c r="Z376" t="s">
        <v>7386</v>
      </c>
      <c r="AA376" t="s">
        <v>74</v>
      </c>
      <c r="AB376" t="s">
        <v>74</v>
      </c>
      <c r="AC376" t="s">
        <v>932</v>
      </c>
      <c r="AD376" t="s">
        <v>932</v>
      </c>
      <c r="AE376" t="s">
        <v>932</v>
      </c>
      <c r="AF376" t="s">
        <v>74</v>
      </c>
      <c r="AG376">
        <v>51</v>
      </c>
      <c r="AH376">
        <v>0</v>
      </c>
      <c r="AI376">
        <v>0</v>
      </c>
      <c r="AJ376">
        <v>0</v>
      </c>
      <c r="AK376">
        <v>0</v>
      </c>
      <c r="AL376" t="s">
        <v>443</v>
      </c>
      <c r="AM376" t="s">
        <v>245</v>
      </c>
      <c r="AN376" t="s">
        <v>444</v>
      </c>
      <c r="AO376" t="s">
        <v>74</v>
      </c>
      <c r="AP376" t="s">
        <v>5752</v>
      </c>
      <c r="AQ376" t="s">
        <v>74</v>
      </c>
      <c r="AR376" t="s">
        <v>5743</v>
      </c>
      <c r="AS376" t="s">
        <v>5753</v>
      </c>
      <c r="AT376" t="s">
        <v>7098</v>
      </c>
      <c r="AU376">
        <v>2023</v>
      </c>
      <c r="AV376">
        <v>23</v>
      </c>
      <c r="AW376">
        <v>1</v>
      </c>
      <c r="AX376" t="s">
        <v>74</v>
      </c>
      <c r="AY376" t="s">
        <v>74</v>
      </c>
      <c r="AZ376" t="s">
        <v>74</v>
      </c>
      <c r="BA376" t="s">
        <v>74</v>
      </c>
      <c r="BB376" t="s">
        <v>74</v>
      </c>
      <c r="BC376" t="s">
        <v>74</v>
      </c>
      <c r="BD376">
        <v>1731</v>
      </c>
      <c r="BE376" t="s">
        <v>7387</v>
      </c>
      <c r="BF376" t="str">
        <f>HYPERLINK("http://dx.doi.org/10.1186/s12889-023-16590-y","http://dx.doi.org/10.1186/s12889-023-16590-y")</f>
        <v>http://dx.doi.org/10.1186/s12889-023-16590-y</v>
      </c>
      <c r="BG376" t="s">
        <v>74</v>
      </c>
      <c r="BH376" t="s">
        <v>74</v>
      </c>
      <c r="BI376">
        <v>11</v>
      </c>
      <c r="BJ376" t="s">
        <v>2744</v>
      </c>
      <c r="BK376" t="s">
        <v>126</v>
      </c>
      <c r="BL376" t="s">
        <v>2744</v>
      </c>
      <c r="BM376" t="s">
        <v>7388</v>
      </c>
      <c r="BN376">
        <v>37670263</v>
      </c>
      <c r="BO376" t="s">
        <v>302</v>
      </c>
      <c r="BP376" t="s">
        <v>74</v>
      </c>
      <c r="BQ376" t="s">
        <v>74</v>
      </c>
      <c r="BR376" t="s">
        <v>99</v>
      </c>
      <c r="BS376" t="s">
        <v>7389</v>
      </c>
      <c r="BT376" t="str">
        <f>HYPERLINK("https%3A%2F%2Fwww.webofscience.com%2Fwos%2Fwoscc%2Ffull-record%2FWOS:001062184000002","View Full Record in Web of Science")</f>
        <v>View Full Record in Web of Science</v>
      </c>
    </row>
    <row r="377" spans="1:72" x14ac:dyDescent="0.15">
      <c r="A377" t="s">
        <v>72</v>
      </c>
      <c r="B377" t="s">
        <v>7390</v>
      </c>
      <c r="C377" t="s">
        <v>74</v>
      </c>
      <c r="D377" t="s">
        <v>74</v>
      </c>
      <c r="E377" t="s">
        <v>74</v>
      </c>
      <c r="F377" t="s">
        <v>7391</v>
      </c>
      <c r="G377" t="s">
        <v>74</v>
      </c>
      <c r="H377" t="s">
        <v>74</v>
      </c>
      <c r="I377" t="s">
        <v>7392</v>
      </c>
      <c r="J377" t="s">
        <v>7393</v>
      </c>
      <c r="K377" t="s">
        <v>74</v>
      </c>
      <c r="L377" t="s">
        <v>74</v>
      </c>
      <c r="M377" t="s">
        <v>78</v>
      </c>
      <c r="N377" t="s">
        <v>1246</v>
      </c>
      <c r="O377" t="s">
        <v>74</v>
      </c>
      <c r="P377" t="s">
        <v>74</v>
      </c>
      <c r="Q377" t="s">
        <v>74</v>
      </c>
      <c r="R377" t="s">
        <v>74</v>
      </c>
      <c r="S377" t="s">
        <v>74</v>
      </c>
      <c r="T377" t="s">
        <v>7394</v>
      </c>
      <c r="U377" t="s">
        <v>7395</v>
      </c>
      <c r="V377" t="s">
        <v>7396</v>
      </c>
      <c r="W377" t="s">
        <v>7397</v>
      </c>
      <c r="X377" t="s">
        <v>7398</v>
      </c>
      <c r="Y377" t="s">
        <v>7399</v>
      </c>
      <c r="Z377" t="s">
        <v>7400</v>
      </c>
      <c r="AA377" t="s">
        <v>7401</v>
      </c>
      <c r="AB377" t="s">
        <v>7402</v>
      </c>
      <c r="AC377" t="s">
        <v>7403</v>
      </c>
      <c r="AD377" t="s">
        <v>7404</v>
      </c>
      <c r="AE377" t="s">
        <v>7405</v>
      </c>
      <c r="AF377" t="s">
        <v>74</v>
      </c>
      <c r="AG377">
        <v>55</v>
      </c>
      <c r="AH377">
        <v>0</v>
      </c>
      <c r="AI377">
        <v>0</v>
      </c>
      <c r="AJ377">
        <v>1</v>
      </c>
      <c r="AK377">
        <v>1</v>
      </c>
      <c r="AL377" t="s">
        <v>117</v>
      </c>
      <c r="AM377" t="s">
        <v>627</v>
      </c>
      <c r="AN377" t="s">
        <v>628</v>
      </c>
      <c r="AO377" t="s">
        <v>7406</v>
      </c>
      <c r="AP377" t="s">
        <v>7407</v>
      </c>
      <c r="AQ377" t="s">
        <v>74</v>
      </c>
      <c r="AR377" t="s">
        <v>7393</v>
      </c>
      <c r="AS377" t="s">
        <v>7408</v>
      </c>
      <c r="AT377" t="s">
        <v>7014</v>
      </c>
      <c r="AU377">
        <v>2023</v>
      </c>
      <c r="AV377" t="s">
        <v>74</v>
      </c>
      <c r="AW377" t="s">
        <v>74</v>
      </c>
      <c r="AX377" t="s">
        <v>74</v>
      </c>
      <c r="AY377" t="s">
        <v>74</v>
      </c>
      <c r="AZ377" t="s">
        <v>74</v>
      </c>
      <c r="BA377" t="s">
        <v>74</v>
      </c>
      <c r="BB377" t="s">
        <v>74</v>
      </c>
      <c r="BC377" t="s">
        <v>74</v>
      </c>
      <c r="BD377" t="s">
        <v>74</v>
      </c>
      <c r="BE377" t="s">
        <v>7409</v>
      </c>
      <c r="BF377" t="str">
        <f>HYPERLINK("http://dx.doi.org/10.1007/s10750-023-05339-8","http://dx.doi.org/10.1007/s10750-023-05339-8")</f>
        <v>http://dx.doi.org/10.1007/s10750-023-05339-8</v>
      </c>
      <c r="BG377" t="s">
        <v>74</v>
      </c>
      <c r="BH377" t="s">
        <v>2079</v>
      </c>
      <c r="BI377">
        <v>17</v>
      </c>
      <c r="BJ377" t="s">
        <v>7410</v>
      </c>
      <c r="BK377" t="s">
        <v>126</v>
      </c>
      <c r="BL377" t="s">
        <v>7410</v>
      </c>
      <c r="BM377" t="s">
        <v>7411</v>
      </c>
      <c r="BN377" t="s">
        <v>74</v>
      </c>
      <c r="BO377" t="s">
        <v>183</v>
      </c>
      <c r="BP377" t="s">
        <v>74</v>
      </c>
      <c r="BQ377" t="s">
        <v>74</v>
      </c>
      <c r="BR377" t="s">
        <v>99</v>
      </c>
      <c r="BS377" t="s">
        <v>7412</v>
      </c>
      <c r="BT377" t="str">
        <f>HYPERLINK("https%3A%2F%2Fwww.webofscience.com%2Fwos%2Fwoscc%2Ffull-record%2FWOS:001058953700001","View Full Record in Web of Science")</f>
        <v>View Full Record in Web of Science</v>
      </c>
    </row>
    <row r="378" spans="1:72" x14ac:dyDescent="0.15">
      <c r="A378" t="s">
        <v>72</v>
      </c>
      <c r="B378" t="s">
        <v>7413</v>
      </c>
      <c r="C378" t="s">
        <v>74</v>
      </c>
      <c r="D378" t="s">
        <v>74</v>
      </c>
      <c r="E378" t="s">
        <v>74</v>
      </c>
      <c r="F378" t="s">
        <v>7414</v>
      </c>
      <c r="G378" t="s">
        <v>74</v>
      </c>
      <c r="H378" t="s">
        <v>74</v>
      </c>
      <c r="I378" t="s">
        <v>7415</v>
      </c>
      <c r="J378" t="s">
        <v>4493</v>
      </c>
      <c r="K378" t="s">
        <v>74</v>
      </c>
      <c r="L378" t="s">
        <v>74</v>
      </c>
      <c r="M378" t="s">
        <v>78</v>
      </c>
      <c r="N378" t="s">
        <v>3139</v>
      </c>
      <c r="O378" t="s">
        <v>74</v>
      </c>
      <c r="P378" t="s">
        <v>74</v>
      </c>
      <c r="Q378" t="s">
        <v>74</v>
      </c>
      <c r="R378" t="s">
        <v>74</v>
      </c>
      <c r="S378" t="s">
        <v>74</v>
      </c>
      <c r="T378" t="s">
        <v>74</v>
      </c>
      <c r="U378" t="s">
        <v>74</v>
      </c>
      <c r="V378" t="s">
        <v>74</v>
      </c>
      <c r="W378" t="s">
        <v>7416</v>
      </c>
      <c r="X378" t="s">
        <v>7417</v>
      </c>
      <c r="Y378" t="s">
        <v>7418</v>
      </c>
      <c r="Z378" t="s">
        <v>7419</v>
      </c>
      <c r="AA378" t="s">
        <v>7420</v>
      </c>
      <c r="AB378" t="s">
        <v>7421</v>
      </c>
      <c r="AC378" t="s">
        <v>74</v>
      </c>
      <c r="AD378" t="s">
        <v>74</v>
      </c>
      <c r="AE378" t="s">
        <v>74</v>
      </c>
      <c r="AF378" t="s">
        <v>74</v>
      </c>
      <c r="AG378">
        <v>0</v>
      </c>
      <c r="AH378">
        <v>0</v>
      </c>
      <c r="AI378">
        <v>0</v>
      </c>
      <c r="AJ378">
        <v>0</v>
      </c>
      <c r="AK378">
        <v>0</v>
      </c>
      <c r="AL378" t="s">
        <v>317</v>
      </c>
      <c r="AM378" t="s">
        <v>245</v>
      </c>
      <c r="AN378" t="s">
        <v>318</v>
      </c>
      <c r="AO378" t="s">
        <v>4503</v>
      </c>
      <c r="AP378" t="s">
        <v>4504</v>
      </c>
      <c r="AQ378" t="s">
        <v>74</v>
      </c>
      <c r="AR378" t="s">
        <v>4505</v>
      </c>
      <c r="AS378" t="s">
        <v>4506</v>
      </c>
      <c r="AT378" t="s">
        <v>7014</v>
      </c>
      <c r="AU378">
        <v>2023</v>
      </c>
      <c r="AV378" t="s">
        <v>74</v>
      </c>
      <c r="AW378" t="s">
        <v>74</v>
      </c>
      <c r="AX378" t="s">
        <v>74</v>
      </c>
      <c r="AY378" t="s">
        <v>74</v>
      </c>
      <c r="AZ378" t="s">
        <v>74</v>
      </c>
      <c r="BA378" t="s">
        <v>74</v>
      </c>
      <c r="BB378" t="s">
        <v>74</v>
      </c>
      <c r="BC378" t="s">
        <v>74</v>
      </c>
      <c r="BD378" t="s">
        <v>74</v>
      </c>
      <c r="BE378" t="s">
        <v>7422</v>
      </c>
      <c r="BF378" t="str">
        <f>HYPERLINK("http://dx.doi.org/10.1038/s41386-023-01720-2","http://dx.doi.org/10.1038/s41386-023-01720-2")</f>
        <v>http://dx.doi.org/10.1038/s41386-023-01720-2</v>
      </c>
      <c r="BG378" t="s">
        <v>74</v>
      </c>
      <c r="BH378" t="s">
        <v>2079</v>
      </c>
      <c r="BI378">
        <v>2</v>
      </c>
      <c r="BJ378" t="s">
        <v>2353</v>
      </c>
      <c r="BK378" t="s">
        <v>126</v>
      </c>
      <c r="BL378" t="s">
        <v>2354</v>
      </c>
      <c r="BM378" t="s">
        <v>7423</v>
      </c>
      <c r="BN378">
        <v>37670015</v>
      </c>
      <c r="BO378" t="s">
        <v>762</v>
      </c>
      <c r="BP378" t="s">
        <v>74</v>
      </c>
      <c r="BQ378" t="s">
        <v>74</v>
      </c>
      <c r="BR378" t="s">
        <v>99</v>
      </c>
      <c r="BS378" t="s">
        <v>7424</v>
      </c>
      <c r="BT378" t="str">
        <f>HYPERLINK("https%3A%2F%2Fwww.webofscience.com%2Fwos%2Fwoscc%2Ffull-record%2FWOS:001062724900001","View Full Record in Web of Science")</f>
        <v>View Full Record in Web of Science</v>
      </c>
    </row>
    <row r="379" spans="1:72" x14ac:dyDescent="0.15">
      <c r="A379" t="s">
        <v>72</v>
      </c>
      <c r="B379" t="s">
        <v>7425</v>
      </c>
      <c r="C379" t="s">
        <v>74</v>
      </c>
      <c r="D379" t="s">
        <v>74</v>
      </c>
      <c r="E379" t="s">
        <v>74</v>
      </c>
      <c r="F379" t="s">
        <v>7426</v>
      </c>
      <c r="G379" t="s">
        <v>74</v>
      </c>
      <c r="H379" t="s">
        <v>74</v>
      </c>
      <c r="I379" t="s">
        <v>7427</v>
      </c>
      <c r="J379" t="s">
        <v>7428</v>
      </c>
      <c r="K379" t="s">
        <v>74</v>
      </c>
      <c r="L379" t="s">
        <v>74</v>
      </c>
      <c r="M379" t="s">
        <v>78</v>
      </c>
      <c r="N379" t="s">
        <v>2174</v>
      </c>
      <c r="O379" t="s">
        <v>74</v>
      </c>
      <c r="P379" t="s">
        <v>74</v>
      </c>
      <c r="Q379" t="s">
        <v>74</v>
      </c>
      <c r="R379" t="s">
        <v>74</v>
      </c>
      <c r="S379" t="s">
        <v>74</v>
      </c>
      <c r="T379" t="s">
        <v>7429</v>
      </c>
      <c r="U379" t="s">
        <v>7430</v>
      </c>
      <c r="V379" t="s">
        <v>7431</v>
      </c>
      <c r="W379" t="s">
        <v>7432</v>
      </c>
      <c r="X379" t="s">
        <v>74</v>
      </c>
      <c r="Y379" t="s">
        <v>7433</v>
      </c>
      <c r="Z379" t="s">
        <v>7434</v>
      </c>
      <c r="AA379" t="s">
        <v>74</v>
      </c>
      <c r="AB379" t="s">
        <v>74</v>
      </c>
      <c r="AC379" t="s">
        <v>7435</v>
      </c>
      <c r="AD379" t="s">
        <v>7435</v>
      </c>
      <c r="AE379" t="s">
        <v>7436</v>
      </c>
      <c r="AF379" t="s">
        <v>74</v>
      </c>
      <c r="AG379">
        <v>211</v>
      </c>
      <c r="AH379">
        <v>0</v>
      </c>
      <c r="AI379">
        <v>0</v>
      </c>
      <c r="AJ379">
        <v>0</v>
      </c>
      <c r="AK379">
        <v>0</v>
      </c>
      <c r="AL379" t="s">
        <v>317</v>
      </c>
      <c r="AM379" t="s">
        <v>245</v>
      </c>
      <c r="AN379" t="s">
        <v>318</v>
      </c>
      <c r="AO379" t="s">
        <v>7437</v>
      </c>
      <c r="AP379" t="s">
        <v>7438</v>
      </c>
      <c r="AQ379" t="s">
        <v>74</v>
      </c>
      <c r="AR379" t="s">
        <v>7439</v>
      </c>
      <c r="AS379" t="s">
        <v>7440</v>
      </c>
      <c r="AT379" t="s">
        <v>7014</v>
      </c>
      <c r="AU379">
        <v>2023</v>
      </c>
      <c r="AV379" t="s">
        <v>74</v>
      </c>
      <c r="AW379" t="s">
        <v>74</v>
      </c>
      <c r="AX379" t="s">
        <v>74</v>
      </c>
      <c r="AY379" t="s">
        <v>74</v>
      </c>
      <c r="AZ379" t="s">
        <v>74</v>
      </c>
      <c r="BA379" t="s">
        <v>74</v>
      </c>
      <c r="BB379" t="s">
        <v>74</v>
      </c>
      <c r="BC379" t="s">
        <v>74</v>
      </c>
      <c r="BD379" t="s">
        <v>74</v>
      </c>
      <c r="BE379" t="s">
        <v>7441</v>
      </c>
      <c r="BF379" t="str">
        <f>HYPERLINK("http://dx.doi.org/10.1007/s42247-023-00551-7","http://dx.doi.org/10.1007/s42247-023-00551-7")</f>
        <v>http://dx.doi.org/10.1007/s42247-023-00551-7</v>
      </c>
      <c r="BG379" t="s">
        <v>74</v>
      </c>
      <c r="BH379" t="s">
        <v>2079</v>
      </c>
      <c r="BI379">
        <v>19</v>
      </c>
      <c r="BJ379" t="s">
        <v>5216</v>
      </c>
      <c r="BK379" t="s">
        <v>97</v>
      </c>
      <c r="BL379" t="s">
        <v>2293</v>
      </c>
      <c r="BM379" t="s">
        <v>7442</v>
      </c>
      <c r="BN379" t="s">
        <v>74</v>
      </c>
      <c r="BO379" t="s">
        <v>74</v>
      </c>
      <c r="BP379" t="s">
        <v>74</v>
      </c>
      <c r="BQ379" t="s">
        <v>74</v>
      </c>
      <c r="BR379" t="s">
        <v>99</v>
      </c>
      <c r="BS379" t="s">
        <v>7443</v>
      </c>
      <c r="BT379" t="str">
        <f>HYPERLINK("https%3A%2F%2Fwww.webofscience.com%2Fwos%2Fwoscc%2Ffull-record%2FWOS:001062132500002","View Full Record in Web of Science")</f>
        <v>View Full Record in Web of Science</v>
      </c>
    </row>
    <row r="380" spans="1:72" x14ac:dyDescent="0.15">
      <c r="A380" t="s">
        <v>72</v>
      </c>
      <c r="B380" t="s">
        <v>7444</v>
      </c>
      <c r="C380" t="s">
        <v>74</v>
      </c>
      <c r="D380" t="s">
        <v>74</v>
      </c>
      <c r="E380" t="s">
        <v>74</v>
      </c>
      <c r="F380" t="s">
        <v>7445</v>
      </c>
      <c r="G380" t="s">
        <v>74</v>
      </c>
      <c r="H380" t="s">
        <v>74</v>
      </c>
      <c r="I380" t="s">
        <v>7446</v>
      </c>
      <c r="J380" t="s">
        <v>2320</v>
      </c>
      <c r="K380" t="s">
        <v>74</v>
      </c>
      <c r="L380" t="s">
        <v>74</v>
      </c>
      <c r="M380" t="s">
        <v>78</v>
      </c>
      <c r="N380" t="s">
        <v>1246</v>
      </c>
      <c r="O380" t="s">
        <v>74</v>
      </c>
      <c r="P380" t="s">
        <v>74</v>
      </c>
      <c r="Q380" t="s">
        <v>74</v>
      </c>
      <c r="R380" t="s">
        <v>74</v>
      </c>
      <c r="S380" t="s">
        <v>74</v>
      </c>
      <c r="T380" t="s">
        <v>7447</v>
      </c>
      <c r="U380" t="s">
        <v>7448</v>
      </c>
      <c r="V380" t="s">
        <v>7449</v>
      </c>
      <c r="W380" t="s">
        <v>7450</v>
      </c>
      <c r="X380" t="s">
        <v>74</v>
      </c>
      <c r="Y380" t="s">
        <v>7451</v>
      </c>
      <c r="Z380" t="s">
        <v>7452</v>
      </c>
      <c r="AA380" t="s">
        <v>74</v>
      </c>
      <c r="AB380" t="s">
        <v>7453</v>
      </c>
      <c r="AC380" t="s">
        <v>74</v>
      </c>
      <c r="AD380" t="s">
        <v>74</v>
      </c>
      <c r="AE380" t="s">
        <v>74</v>
      </c>
      <c r="AF380" t="s">
        <v>74</v>
      </c>
      <c r="AG380">
        <v>45</v>
      </c>
      <c r="AH380">
        <v>0</v>
      </c>
      <c r="AI380">
        <v>0</v>
      </c>
      <c r="AJ380">
        <v>0</v>
      </c>
      <c r="AK380">
        <v>0</v>
      </c>
      <c r="AL380" t="s">
        <v>117</v>
      </c>
      <c r="AM380" t="s">
        <v>118</v>
      </c>
      <c r="AN380" t="s">
        <v>119</v>
      </c>
      <c r="AO380" t="s">
        <v>2327</v>
      </c>
      <c r="AP380" t="s">
        <v>2328</v>
      </c>
      <c r="AQ380" t="s">
        <v>74</v>
      </c>
      <c r="AR380" t="s">
        <v>2329</v>
      </c>
      <c r="AS380" t="s">
        <v>2330</v>
      </c>
      <c r="AT380" t="s">
        <v>7014</v>
      </c>
      <c r="AU380">
        <v>2023</v>
      </c>
      <c r="AV380" t="s">
        <v>74</v>
      </c>
      <c r="AW380" t="s">
        <v>74</v>
      </c>
      <c r="AX380" t="s">
        <v>74</v>
      </c>
      <c r="AY380" t="s">
        <v>74</v>
      </c>
      <c r="AZ380" t="s">
        <v>74</v>
      </c>
      <c r="BA380" t="s">
        <v>74</v>
      </c>
      <c r="BB380" t="s">
        <v>74</v>
      </c>
      <c r="BC380" t="s">
        <v>74</v>
      </c>
      <c r="BD380" t="s">
        <v>74</v>
      </c>
      <c r="BE380" t="s">
        <v>7454</v>
      </c>
      <c r="BF380" t="str">
        <f>HYPERLINK("http://dx.doi.org/10.1007/s00202-023-01991-4","http://dx.doi.org/10.1007/s00202-023-01991-4")</f>
        <v>http://dx.doi.org/10.1007/s00202-023-01991-4</v>
      </c>
      <c r="BG380" t="s">
        <v>74</v>
      </c>
      <c r="BH380" t="s">
        <v>2079</v>
      </c>
      <c r="BI380">
        <v>18</v>
      </c>
      <c r="BJ380" t="s">
        <v>2333</v>
      </c>
      <c r="BK380" t="s">
        <v>126</v>
      </c>
      <c r="BL380" t="s">
        <v>277</v>
      </c>
      <c r="BM380" t="s">
        <v>7455</v>
      </c>
      <c r="BN380" t="s">
        <v>74</v>
      </c>
      <c r="BO380" t="s">
        <v>74</v>
      </c>
      <c r="BP380" t="s">
        <v>74</v>
      </c>
      <c r="BQ380" t="s">
        <v>74</v>
      </c>
      <c r="BR380" t="s">
        <v>99</v>
      </c>
      <c r="BS380" t="s">
        <v>7456</v>
      </c>
      <c r="BT380" t="str">
        <f>HYPERLINK("https%3A%2F%2Fwww.webofscience.com%2Fwos%2Fwoscc%2Ffull-record%2FWOS:001058990000002","View Full Record in Web of Science")</f>
        <v>View Full Record in Web of Science</v>
      </c>
    </row>
    <row r="381" spans="1:72" x14ac:dyDescent="0.15">
      <c r="A381" t="s">
        <v>72</v>
      </c>
      <c r="B381" t="s">
        <v>7457</v>
      </c>
      <c r="C381" t="s">
        <v>74</v>
      </c>
      <c r="D381" t="s">
        <v>74</v>
      </c>
      <c r="E381" t="s">
        <v>74</v>
      </c>
      <c r="F381" t="s">
        <v>7458</v>
      </c>
      <c r="G381" t="s">
        <v>74</v>
      </c>
      <c r="H381" t="s">
        <v>74</v>
      </c>
      <c r="I381" t="s">
        <v>7459</v>
      </c>
      <c r="J381" t="s">
        <v>5433</v>
      </c>
      <c r="K381" t="s">
        <v>74</v>
      </c>
      <c r="L381" t="s">
        <v>74</v>
      </c>
      <c r="M381" t="s">
        <v>78</v>
      </c>
      <c r="N381" t="s">
        <v>79</v>
      </c>
      <c r="O381" t="s">
        <v>74</v>
      </c>
      <c r="P381" t="s">
        <v>74</v>
      </c>
      <c r="Q381" t="s">
        <v>74</v>
      </c>
      <c r="R381" t="s">
        <v>74</v>
      </c>
      <c r="S381" t="s">
        <v>74</v>
      </c>
      <c r="T381" t="s">
        <v>7460</v>
      </c>
      <c r="U381" t="s">
        <v>7461</v>
      </c>
      <c r="V381" t="s">
        <v>7462</v>
      </c>
      <c r="W381" t="s">
        <v>7463</v>
      </c>
      <c r="X381" t="s">
        <v>7464</v>
      </c>
      <c r="Y381" t="s">
        <v>7465</v>
      </c>
      <c r="Z381" t="s">
        <v>7466</v>
      </c>
      <c r="AA381" t="s">
        <v>74</v>
      </c>
      <c r="AB381" t="s">
        <v>74</v>
      </c>
      <c r="AC381" t="s">
        <v>7467</v>
      </c>
      <c r="AD381" t="s">
        <v>7467</v>
      </c>
      <c r="AE381" t="s">
        <v>7468</v>
      </c>
      <c r="AF381" t="s">
        <v>74</v>
      </c>
      <c r="AG381">
        <v>59</v>
      </c>
      <c r="AH381">
        <v>0</v>
      </c>
      <c r="AI381">
        <v>0</v>
      </c>
      <c r="AJ381">
        <v>2</v>
      </c>
      <c r="AK381">
        <v>2</v>
      </c>
      <c r="AL381" t="s">
        <v>443</v>
      </c>
      <c r="AM381" t="s">
        <v>245</v>
      </c>
      <c r="AN381" t="s">
        <v>444</v>
      </c>
      <c r="AO381" t="s">
        <v>74</v>
      </c>
      <c r="AP381" t="s">
        <v>5442</v>
      </c>
      <c r="AQ381" t="s">
        <v>74</v>
      </c>
      <c r="AR381" t="s">
        <v>5443</v>
      </c>
      <c r="AS381" t="s">
        <v>5444</v>
      </c>
      <c r="AT381" t="s">
        <v>7098</v>
      </c>
      <c r="AU381">
        <v>2023</v>
      </c>
      <c r="AV381">
        <v>21</v>
      </c>
      <c r="AW381">
        <v>1</v>
      </c>
      <c r="AX381" t="s">
        <v>74</v>
      </c>
      <c r="AY381" t="s">
        <v>74</v>
      </c>
      <c r="AZ381" t="s">
        <v>74</v>
      </c>
      <c r="BA381" t="s">
        <v>74</v>
      </c>
      <c r="BB381" t="s">
        <v>74</v>
      </c>
      <c r="BC381" t="s">
        <v>74</v>
      </c>
      <c r="BD381">
        <v>95</v>
      </c>
      <c r="BE381" t="s">
        <v>7469</v>
      </c>
      <c r="BF381" t="str">
        <f>HYPERLINK("http://dx.doi.org/10.1186/s12969-023-00884-x","http://dx.doi.org/10.1186/s12969-023-00884-x")</f>
        <v>http://dx.doi.org/10.1186/s12969-023-00884-x</v>
      </c>
      <c r="BG381" t="s">
        <v>74</v>
      </c>
      <c r="BH381" t="s">
        <v>74</v>
      </c>
      <c r="BI381">
        <v>11</v>
      </c>
      <c r="BJ381" t="s">
        <v>5446</v>
      </c>
      <c r="BK381" t="s">
        <v>126</v>
      </c>
      <c r="BL381" t="s">
        <v>5446</v>
      </c>
      <c r="BM381" t="s">
        <v>7470</v>
      </c>
      <c r="BN381">
        <v>37670340</v>
      </c>
      <c r="BO381" t="s">
        <v>302</v>
      </c>
      <c r="BP381" t="s">
        <v>74</v>
      </c>
      <c r="BQ381" t="s">
        <v>74</v>
      </c>
      <c r="BR381" t="s">
        <v>99</v>
      </c>
      <c r="BS381" t="s">
        <v>7471</v>
      </c>
      <c r="BT381" t="str">
        <f>HYPERLINK("https%3A%2F%2Fwww.webofscience.com%2Fwos%2Fwoscc%2Ffull-record%2FWOS:001059037100001","View Full Record in Web of Science")</f>
        <v>View Full Record in Web of Science</v>
      </c>
    </row>
    <row r="382" spans="1:72" x14ac:dyDescent="0.15">
      <c r="A382" t="s">
        <v>72</v>
      </c>
      <c r="B382" t="s">
        <v>7472</v>
      </c>
      <c r="C382" t="s">
        <v>74</v>
      </c>
      <c r="D382" t="s">
        <v>74</v>
      </c>
      <c r="E382" t="s">
        <v>74</v>
      </c>
      <c r="F382" t="s">
        <v>7473</v>
      </c>
      <c r="G382" t="s">
        <v>74</v>
      </c>
      <c r="H382" t="s">
        <v>74</v>
      </c>
      <c r="I382" t="s">
        <v>7474</v>
      </c>
      <c r="J382" t="s">
        <v>7475</v>
      </c>
      <c r="K382" t="s">
        <v>74</v>
      </c>
      <c r="L382" t="s">
        <v>74</v>
      </c>
      <c r="M382" t="s">
        <v>78</v>
      </c>
      <c r="N382" t="s">
        <v>1246</v>
      </c>
      <c r="O382" t="s">
        <v>74</v>
      </c>
      <c r="P382" t="s">
        <v>74</v>
      </c>
      <c r="Q382" t="s">
        <v>74</v>
      </c>
      <c r="R382" t="s">
        <v>74</v>
      </c>
      <c r="S382" t="s">
        <v>74</v>
      </c>
      <c r="T382" t="s">
        <v>7476</v>
      </c>
      <c r="U382" t="s">
        <v>7477</v>
      </c>
      <c r="V382" t="s">
        <v>7478</v>
      </c>
      <c r="W382" t="s">
        <v>7479</v>
      </c>
      <c r="X382" t="s">
        <v>7480</v>
      </c>
      <c r="Y382" t="s">
        <v>7481</v>
      </c>
      <c r="Z382" t="s">
        <v>7482</v>
      </c>
      <c r="AA382" t="s">
        <v>74</v>
      </c>
      <c r="AB382" t="s">
        <v>7483</v>
      </c>
      <c r="AC382" t="s">
        <v>7484</v>
      </c>
      <c r="AD382" t="s">
        <v>7484</v>
      </c>
      <c r="AE382" t="s">
        <v>7485</v>
      </c>
      <c r="AF382" t="s">
        <v>74</v>
      </c>
      <c r="AG382">
        <v>21</v>
      </c>
      <c r="AH382">
        <v>0</v>
      </c>
      <c r="AI382">
        <v>0</v>
      </c>
      <c r="AJ382">
        <v>1</v>
      </c>
      <c r="AK382">
        <v>1</v>
      </c>
      <c r="AL382" t="s">
        <v>1500</v>
      </c>
      <c r="AM382" t="s">
        <v>1501</v>
      </c>
      <c r="AN382" t="s">
        <v>1502</v>
      </c>
      <c r="AO382" t="s">
        <v>7486</v>
      </c>
      <c r="AP382" t="s">
        <v>7487</v>
      </c>
      <c r="AQ382" t="s">
        <v>74</v>
      </c>
      <c r="AR382" t="s">
        <v>7488</v>
      </c>
      <c r="AS382" t="s">
        <v>7489</v>
      </c>
      <c r="AT382" t="s">
        <v>7014</v>
      </c>
      <c r="AU382">
        <v>2023</v>
      </c>
      <c r="AV382" t="s">
        <v>74</v>
      </c>
      <c r="AW382" t="s">
        <v>74</v>
      </c>
      <c r="AX382" t="s">
        <v>74</v>
      </c>
      <c r="AY382" t="s">
        <v>74</v>
      </c>
      <c r="AZ382" t="s">
        <v>74</v>
      </c>
      <c r="BA382" t="s">
        <v>74</v>
      </c>
      <c r="BB382" t="s">
        <v>74</v>
      </c>
      <c r="BC382" t="s">
        <v>74</v>
      </c>
      <c r="BD382" t="s">
        <v>74</v>
      </c>
      <c r="BE382" t="s">
        <v>7490</v>
      </c>
      <c r="BF382" t="str">
        <f>HYPERLINK("http://dx.doi.org/10.1007/s12185-023-03653-4","http://dx.doi.org/10.1007/s12185-023-03653-4")</f>
        <v>http://dx.doi.org/10.1007/s12185-023-03653-4</v>
      </c>
      <c r="BG382" t="s">
        <v>74</v>
      </c>
      <c r="BH382" t="s">
        <v>2079</v>
      </c>
      <c r="BI382">
        <v>9</v>
      </c>
      <c r="BJ382" t="s">
        <v>7491</v>
      </c>
      <c r="BK382" t="s">
        <v>126</v>
      </c>
      <c r="BL382" t="s">
        <v>7491</v>
      </c>
      <c r="BM382" t="s">
        <v>7492</v>
      </c>
      <c r="BN382">
        <v>37668833</v>
      </c>
      <c r="BO382" t="s">
        <v>74</v>
      </c>
      <c r="BP382" t="s">
        <v>74</v>
      </c>
      <c r="BQ382" t="s">
        <v>74</v>
      </c>
      <c r="BR382" t="s">
        <v>99</v>
      </c>
      <c r="BS382" t="s">
        <v>7493</v>
      </c>
      <c r="BT382" t="str">
        <f>HYPERLINK("https%3A%2F%2Fwww.webofscience.com%2Fwos%2Fwoscc%2Ffull-record%2FWOS:001058917000001","View Full Record in Web of Science")</f>
        <v>View Full Record in Web of Science</v>
      </c>
    </row>
    <row r="383" spans="1:72" x14ac:dyDescent="0.15">
      <c r="A383" t="s">
        <v>72</v>
      </c>
      <c r="B383" t="s">
        <v>7494</v>
      </c>
      <c r="C383" t="s">
        <v>74</v>
      </c>
      <c r="D383" t="s">
        <v>74</v>
      </c>
      <c r="E383" t="s">
        <v>74</v>
      </c>
      <c r="F383" t="s">
        <v>7495</v>
      </c>
      <c r="G383" t="s">
        <v>74</v>
      </c>
      <c r="H383" t="s">
        <v>74</v>
      </c>
      <c r="I383" t="s">
        <v>7496</v>
      </c>
      <c r="J383" t="s">
        <v>7497</v>
      </c>
      <c r="K383" t="s">
        <v>74</v>
      </c>
      <c r="L383" t="s">
        <v>74</v>
      </c>
      <c r="M383" t="s">
        <v>78</v>
      </c>
      <c r="N383" t="s">
        <v>79</v>
      </c>
      <c r="O383" t="s">
        <v>74</v>
      </c>
      <c r="P383" t="s">
        <v>74</v>
      </c>
      <c r="Q383" t="s">
        <v>74</v>
      </c>
      <c r="R383" t="s">
        <v>74</v>
      </c>
      <c r="S383" t="s">
        <v>74</v>
      </c>
      <c r="T383" t="s">
        <v>7498</v>
      </c>
      <c r="U383" t="s">
        <v>7499</v>
      </c>
      <c r="V383" t="s">
        <v>7500</v>
      </c>
      <c r="W383" t="s">
        <v>7501</v>
      </c>
      <c r="X383" t="s">
        <v>6260</v>
      </c>
      <c r="Y383" t="s">
        <v>7502</v>
      </c>
      <c r="Z383" t="s">
        <v>7503</v>
      </c>
      <c r="AA383" t="s">
        <v>74</v>
      </c>
      <c r="AB383" t="s">
        <v>74</v>
      </c>
      <c r="AC383" t="s">
        <v>932</v>
      </c>
      <c r="AD383" t="s">
        <v>932</v>
      </c>
      <c r="AE383" t="s">
        <v>932</v>
      </c>
      <c r="AF383" t="s">
        <v>74</v>
      </c>
      <c r="AG383">
        <v>28</v>
      </c>
      <c r="AH383">
        <v>0</v>
      </c>
      <c r="AI383">
        <v>0</v>
      </c>
      <c r="AJ383">
        <v>0</v>
      </c>
      <c r="AK383">
        <v>0</v>
      </c>
      <c r="AL383" t="s">
        <v>117</v>
      </c>
      <c r="AM383" t="s">
        <v>118</v>
      </c>
      <c r="AN383" t="s">
        <v>119</v>
      </c>
      <c r="AO383" t="s">
        <v>7504</v>
      </c>
      <c r="AP383" t="s">
        <v>74</v>
      </c>
      <c r="AQ383" t="s">
        <v>74</v>
      </c>
      <c r="AR383" t="s">
        <v>7505</v>
      </c>
      <c r="AS383" t="s">
        <v>7506</v>
      </c>
      <c r="AT383" t="s">
        <v>7098</v>
      </c>
      <c r="AU383">
        <v>2023</v>
      </c>
      <c r="AV383">
        <v>10</v>
      </c>
      <c r="AW383">
        <v>1</v>
      </c>
      <c r="AX383" t="s">
        <v>74</v>
      </c>
      <c r="AY383" t="s">
        <v>74</v>
      </c>
      <c r="AZ383" t="s">
        <v>74</v>
      </c>
      <c r="BA383" t="s">
        <v>74</v>
      </c>
      <c r="BB383" t="s">
        <v>74</v>
      </c>
      <c r="BC383" t="s">
        <v>74</v>
      </c>
      <c r="BD383">
        <v>33</v>
      </c>
      <c r="BE383" t="s">
        <v>7507</v>
      </c>
      <c r="BF383" t="str">
        <f>HYPERLINK("http://dx.doi.org/10.1186/s40691-023-00352-w","http://dx.doi.org/10.1186/s40691-023-00352-w")</f>
        <v>http://dx.doi.org/10.1186/s40691-023-00352-w</v>
      </c>
      <c r="BG383" t="s">
        <v>74</v>
      </c>
      <c r="BH383" t="s">
        <v>74</v>
      </c>
      <c r="BI383">
        <v>16</v>
      </c>
      <c r="BJ383" t="s">
        <v>7508</v>
      </c>
      <c r="BK383" t="s">
        <v>126</v>
      </c>
      <c r="BL383" t="s">
        <v>2293</v>
      </c>
      <c r="BM383" t="s">
        <v>7509</v>
      </c>
      <c r="BN383" t="s">
        <v>74</v>
      </c>
      <c r="BO383" t="s">
        <v>302</v>
      </c>
      <c r="BP383" t="s">
        <v>74</v>
      </c>
      <c r="BQ383" t="s">
        <v>74</v>
      </c>
      <c r="BR383" t="s">
        <v>99</v>
      </c>
      <c r="BS383" t="s">
        <v>7510</v>
      </c>
      <c r="BT383" t="str">
        <f>HYPERLINK("https%3A%2F%2Fwww.webofscience.com%2Fwos%2Fwoscc%2Ffull-record%2FWOS:001059750400001","View Full Record in Web of Science")</f>
        <v>View Full Record in Web of Science</v>
      </c>
    </row>
    <row r="384" spans="1:72" x14ac:dyDescent="0.15">
      <c r="A384" t="s">
        <v>72</v>
      </c>
      <c r="B384" t="s">
        <v>7511</v>
      </c>
      <c r="C384" t="s">
        <v>74</v>
      </c>
      <c r="D384" t="s">
        <v>74</v>
      </c>
      <c r="E384" t="s">
        <v>74</v>
      </c>
      <c r="F384" t="s">
        <v>7512</v>
      </c>
      <c r="G384" t="s">
        <v>74</v>
      </c>
      <c r="H384" t="s">
        <v>74</v>
      </c>
      <c r="I384" t="s">
        <v>7513</v>
      </c>
      <c r="J384" t="s">
        <v>7514</v>
      </c>
      <c r="K384" t="s">
        <v>74</v>
      </c>
      <c r="L384" t="s">
        <v>74</v>
      </c>
      <c r="M384" t="s">
        <v>78</v>
      </c>
      <c r="N384" t="s">
        <v>1246</v>
      </c>
      <c r="O384" t="s">
        <v>74</v>
      </c>
      <c r="P384" t="s">
        <v>74</v>
      </c>
      <c r="Q384" t="s">
        <v>74</v>
      </c>
      <c r="R384" t="s">
        <v>74</v>
      </c>
      <c r="S384" t="s">
        <v>74</v>
      </c>
      <c r="T384" t="s">
        <v>7515</v>
      </c>
      <c r="U384" t="s">
        <v>7516</v>
      </c>
      <c r="V384" t="s">
        <v>7517</v>
      </c>
      <c r="W384" t="s">
        <v>7518</v>
      </c>
      <c r="X384" t="s">
        <v>7519</v>
      </c>
      <c r="Y384" t="s">
        <v>7520</v>
      </c>
      <c r="Z384" t="s">
        <v>7521</v>
      </c>
      <c r="AA384" t="s">
        <v>74</v>
      </c>
      <c r="AB384" t="s">
        <v>74</v>
      </c>
      <c r="AC384" t="s">
        <v>74</v>
      </c>
      <c r="AD384" t="s">
        <v>74</v>
      </c>
      <c r="AE384" t="s">
        <v>74</v>
      </c>
      <c r="AF384" t="s">
        <v>74</v>
      </c>
      <c r="AG384">
        <v>23</v>
      </c>
      <c r="AH384">
        <v>0</v>
      </c>
      <c r="AI384">
        <v>0</v>
      </c>
      <c r="AJ384">
        <v>0</v>
      </c>
      <c r="AK384">
        <v>0</v>
      </c>
      <c r="AL384" t="s">
        <v>844</v>
      </c>
      <c r="AM384" t="s">
        <v>845</v>
      </c>
      <c r="AN384" t="s">
        <v>933</v>
      </c>
      <c r="AO384" t="s">
        <v>7522</v>
      </c>
      <c r="AP384" t="s">
        <v>7523</v>
      </c>
      <c r="AQ384" t="s">
        <v>74</v>
      </c>
      <c r="AR384" t="s">
        <v>7524</v>
      </c>
      <c r="AS384" t="s">
        <v>7525</v>
      </c>
      <c r="AT384" t="s">
        <v>7014</v>
      </c>
      <c r="AU384">
        <v>2023</v>
      </c>
      <c r="AV384" t="s">
        <v>74</v>
      </c>
      <c r="AW384" t="s">
        <v>74</v>
      </c>
      <c r="AX384" t="s">
        <v>74</v>
      </c>
      <c r="AY384" t="s">
        <v>74</v>
      </c>
      <c r="AZ384" t="s">
        <v>74</v>
      </c>
      <c r="BA384" t="s">
        <v>74</v>
      </c>
      <c r="BB384" t="s">
        <v>74</v>
      </c>
      <c r="BC384" t="s">
        <v>74</v>
      </c>
      <c r="BD384" t="s">
        <v>74</v>
      </c>
      <c r="BE384" t="s">
        <v>7526</v>
      </c>
      <c r="BF384" t="str">
        <f>HYPERLINK("http://dx.doi.org/10.1007/s42835-023-01639-0","http://dx.doi.org/10.1007/s42835-023-01639-0")</f>
        <v>http://dx.doi.org/10.1007/s42835-023-01639-0</v>
      </c>
      <c r="BG384" t="s">
        <v>74</v>
      </c>
      <c r="BH384" t="s">
        <v>2079</v>
      </c>
      <c r="BI384">
        <v>10</v>
      </c>
      <c r="BJ384" t="s">
        <v>2333</v>
      </c>
      <c r="BK384" t="s">
        <v>126</v>
      </c>
      <c r="BL384" t="s">
        <v>277</v>
      </c>
      <c r="BM384" t="s">
        <v>7527</v>
      </c>
      <c r="BN384" t="s">
        <v>74</v>
      </c>
      <c r="BO384" t="s">
        <v>183</v>
      </c>
      <c r="BP384" t="s">
        <v>74</v>
      </c>
      <c r="BQ384" t="s">
        <v>74</v>
      </c>
      <c r="BR384" t="s">
        <v>99</v>
      </c>
      <c r="BS384" t="s">
        <v>7528</v>
      </c>
      <c r="BT384" t="str">
        <f>HYPERLINK("https%3A%2F%2Fwww.webofscience.com%2Fwos%2Fwoscc%2Ffull-record%2FWOS:001058998200003","View Full Record in Web of Science")</f>
        <v>View Full Record in Web of Science</v>
      </c>
    </row>
    <row r="385" spans="1:72" x14ac:dyDescent="0.15">
      <c r="A385" t="s">
        <v>72</v>
      </c>
      <c r="B385" t="s">
        <v>7529</v>
      </c>
      <c r="C385" t="s">
        <v>74</v>
      </c>
      <c r="D385" t="s">
        <v>74</v>
      </c>
      <c r="E385" t="s">
        <v>74</v>
      </c>
      <c r="F385" t="s">
        <v>7530</v>
      </c>
      <c r="G385" t="s">
        <v>74</v>
      </c>
      <c r="H385" t="s">
        <v>74</v>
      </c>
      <c r="I385" t="s">
        <v>7531</v>
      </c>
      <c r="J385" t="s">
        <v>7532</v>
      </c>
      <c r="K385" t="s">
        <v>74</v>
      </c>
      <c r="L385" t="s">
        <v>74</v>
      </c>
      <c r="M385" t="s">
        <v>78</v>
      </c>
      <c r="N385" t="s">
        <v>79</v>
      </c>
      <c r="O385" t="s">
        <v>74</v>
      </c>
      <c r="P385" t="s">
        <v>74</v>
      </c>
      <c r="Q385" t="s">
        <v>74</v>
      </c>
      <c r="R385" t="s">
        <v>74</v>
      </c>
      <c r="S385" t="s">
        <v>74</v>
      </c>
      <c r="T385" t="s">
        <v>7533</v>
      </c>
      <c r="U385" t="s">
        <v>7534</v>
      </c>
      <c r="V385" t="s">
        <v>7535</v>
      </c>
      <c r="W385" t="s">
        <v>7536</v>
      </c>
      <c r="X385" t="s">
        <v>7537</v>
      </c>
      <c r="Y385" t="s">
        <v>7538</v>
      </c>
      <c r="Z385" t="s">
        <v>7539</v>
      </c>
      <c r="AA385" t="s">
        <v>74</v>
      </c>
      <c r="AB385" t="s">
        <v>7540</v>
      </c>
      <c r="AC385" t="s">
        <v>7541</v>
      </c>
      <c r="AD385" t="s">
        <v>7541</v>
      </c>
      <c r="AE385" t="s">
        <v>7541</v>
      </c>
      <c r="AF385" t="s">
        <v>74</v>
      </c>
      <c r="AG385">
        <v>32</v>
      </c>
      <c r="AH385">
        <v>0</v>
      </c>
      <c r="AI385">
        <v>0</v>
      </c>
      <c r="AJ385">
        <v>1</v>
      </c>
      <c r="AK385">
        <v>1</v>
      </c>
      <c r="AL385" t="s">
        <v>443</v>
      </c>
      <c r="AM385" t="s">
        <v>245</v>
      </c>
      <c r="AN385" t="s">
        <v>444</v>
      </c>
      <c r="AO385" t="s">
        <v>74</v>
      </c>
      <c r="AP385" t="s">
        <v>7542</v>
      </c>
      <c r="AQ385" t="s">
        <v>74</v>
      </c>
      <c r="AR385" t="s">
        <v>7543</v>
      </c>
      <c r="AS385" t="s">
        <v>7544</v>
      </c>
      <c r="AT385" t="s">
        <v>7098</v>
      </c>
      <c r="AU385">
        <v>2023</v>
      </c>
      <c r="AV385">
        <v>5</v>
      </c>
      <c r="AW385">
        <v>1</v>
      </c>
      <c r="AX385" t="s">
        <v>74</v>
      </c>
      <c r="AY385" t="s">
        <v>74</v>
      </c>
      <c r="AZ385" t="s">
        <v>74</v>
      </c>
      <c r="BA385" t="s">
        <v>74</v>
      </c>
      <c r="BB385" t="s">
        <v>74</v>
      </c>
      <c r="BC385" t="s">
        <v>74</v>
      </c>
      <c r="BD385">
        <v>41</v>
      </c>
      <c r="BE385" t="s">
        <v>7545</v>
      </c>
      <c r="BF385" t="str">
        <f>HYPERLINK("http://dx.doi.org/10.1186/s42523-023-00263-7","http://dx.doi.org/10.1186/s42523-023-00263-7")</f>
        <v>http://dx.doi.org/10.1186/s42523-023-00263-7</v>
      </c>
      <c r="BG385" t="s">
        <v>74</v>
      </c>
      <c r="BH385" t="s">
        <v>74</v>
      </c>
      <c r="BI385">
        <v>12</v>
      </c>
      <c r="BJ385" t="s">
        <v>7546</v>
      </c>
      <c r="BK385" t="s">
        <v>97</v>
      </c>
      <c r="BL385" t="s">
        <v>7546</v>
      </c>
      <c r="BM385" t="s">
        <v>7547</v>
      </c>
      <c r="BN385">
        <v>37670379</v>
      </c>
      <c r="BO385" t="s">
        <v>302</v>
      </c>
      <c r="BP385" t="s">
        <v>74</v>
      </c>
      <c r="BQ385" t="s">
        <v>74</v>
      </c>
      <c r="BR385" t="s">
        <v>99</v>
      </c>
      <c r="BS385" t="s">
        <v>7548</v>
      </c>
      <c r="BT385" t="str">
        <f>HYPERLINK("https%3A%2F%2Fwww.webofscience.com%2Fwos%2Fwoscc%2Ffull-record%2FWOS:001058904000001","View Full Record in Web of Science")</f>
        <v>View Full Record in Web of Science</v>
      </c>
    </row>
    <row r="386" spans="1:72" x14ac:dyDescent="0.15">
      <c r="A386" t="s">
        <v>72</v>
      </c>
      <c r="B386" t="s">
        <v>7549</v>
      </c>
      <c r="C386" t="s">
        <v>74</v>
      </c>
      <c r="D386" t="s">
        <v>74</v>
      </c>
      <c r="E386" t="s">
        <v>74</v>
      </c>
      <c r="F386" t="s">
        <v>7550</v>
      </c>
      <c r="G386" t="s">
        <v>74</v>
      </c>
      <c r="H386" t="s">
        <v>74</v>
      </c>
      <c r="I386" t="s">
        <v>7551</v>
      </c>
      <c r="J386" t="s">
        <v>7552</v>
      </c>
      <c r="K386" t="s">
        <v>74</v>
      </c>
      <c r="L386" t="s">
        <v>74</v>
      </c>
      <c r="M386" t="s">
        <v>78</v>
      </c>
      <c r="N386" t="s">
        <v>1246</v>
      </c>
      <c r="O386" t="s">
        <v>74</v>
      </c>
      <c r="P386" t="s">
        <v>74</v>
      </c>
      <c r="Q386" t="s">
        <v>74</v>
      </c>
      <c r="R386" t="s">
        <v>74</v>
      </c>
      <c r="S386" t="s">
        <v>74</v>
      </c>
      <c r="T386" t="s">
        <v>7553</v>
      </c>
      <c r="U386" t="s">
        <v>7554</v>
      </c>
      <c r="V386" t="s">
        <v>7555</v>
      </c>
      <c r="W386" t="s">
        <v>7556</v>
      </c>
      <c r="X386" t="s">
        <v>7557</v>
      </c>
      <c r="Y386" t="s">
        <v>7558</v>
      </c>
      <c r="Z386" t="s">
        <v>7559</v>
      </c>
      <c r="AA386" t="s">
        <v>74</v>
      </c>
      <c r="AB386" t="s">
        <v>74</v>
      </c>
      <c r="AC386" t="s">
        <v>74</v>
      </c>
      <c r="AD386" t="s">
        <v>74</v>
      </c>
      <c r="AE386" t="s">
        <v>74</v>
      </c>
      <c r="AF386" t="s">
        <v>74</v>
      </c>
      <c r="AG386">
        <v>46</v>
      </c>
      <c r="AH386">
        <v>0</v>
      </c>
      <c r="AI386">
        <v>0</v>
      </c>
      <c r="AJ386">
        <v>1</v>
      </c>
      <c r="AK386">
        <v>1</v>
      </c>
      <c r="AL386" t="s">
        <v>117</v>
      </c>
      <c r="AM386" t="s">
        <v>627</v>
      </c>
      <c r="AN386" t="s">
        <v>628</v>
      </c>
      <c r="AO386" t="s">
        <v>7560</v>
      </c>
      <c r="AP386" t="s">
        <v>7561</v>
      </c>
      <c r="AQ386" t="s">
        <v>74</v>
      </c>
      <c r="AR386" t="s">
        <v>7562</v>
      </c>
      <c r="AS386" t="s">
        <v>7563</v>
      </c>
      <c r="AT386" t="s">
        <v>7014</v>
      </c>
      <c r="AU386">
        <v>2023</v>
      </c>
      <c r="AV386" t="s">
        <v>74</v>
      </c>
      <c r="AW386" t="s">
        <v>74</v>
      </c>
      <c r="AX386" t="s">
        <v>74</v>
      </c>
      <c r="AY386" t="s">
        <v>74</v>
      </c>
      <c r="AZ386" t="s">
        <v>74</v>
      </c>
      <c r="BA386" t="s">
        <v>74</v>
      </c>
      <c r="BB386" t="s">
        <v>74</v>
      </c>
      <c r="BC386" t="s">
        <v>74</v>
      </c>
      <c r="BD386" t="s">
        <v>74</v>
      </c>
      <c r="BE386" t="s">
        <v>7564</v>
      </c>
      <c r="BF386" t="str">
        <f>HYPERLINK("http://dx.doi.org/10.1007/s10592-023-01564-9","http://dx.doi.org/10.1007/s10592-023-01564-9")</f>
        <v>http://dx.doi.org/10.1007/s10592-023-01564-9</v>
      </c>
      <c r="BG386" t="s">
        <v>74</v>
      </c>
      <c r="BH386" t="s">
        <v>2079</v>
      </c>
      <c r="BI386">
        <v>9</v>
      </c>
      <c r="BJ386" t="s">
        <v>7565</v>
      </c>
      <c r="BK386" t="s">
        <v>126</v>
      </c>
      <c r="BL386" t="s">
        <v>7566</v>
      </c>
      <c r="BM386" t="s">
        <v>7567</v>
      </c>
      <c r="BN386" t="s">
        <v>74</v>
      </c>
      <c r="BO386" t="s">
        <v>74</v>
      </c>
      <c r="BP386" t="s">
        <v>74</v>
      </c>
      <c r="BQ386" t="s">
        <v>74</v>
      </c>
      <c r="BR386" t="s">
        <v>99</v>
      </c>
      <c r="BS386" t="s">
        <v>7568</v>
      </c>
      <c r="BT386" t="str">
        <f>HYPERLINK("https%3A%2F%2Fwww.webofscience.com%2Fwos%2Fwoscc%2Ffull-record%2FWOS:001062123300001","View Full Record in Web of Science")</f>
        <v>View Full Record in Web of Science</v>
      </c>
    </row>
    <row r="387" spans="1:72" x14ac:dyDescent="0.15">
      <c r="A387" t="s">
        <v>72</v>
      </c>
      <c r="B387" t="s">
        <v>7569</v>
      </c>
      <c r="C387" t="s">
        <v>74</v>
      </c>
      <c r="D387" t="s">
        <v>74</v>
      </c>
      <c r="E387" t="s">
        <v>74</v>
      </c>
      <c r="F387" t="s">
        <v>7570</v>
      </c>
      <c r="G387" t="s">
        <v>74</v>
      </c>
      <c r="H387" t="s">
        <v>74</v>
      </c>
      <c r="I387" t="s">
        <v>7571</v>
      </c>
      <c r="J387" t="s">
        <v>7572</v>
      </c>
      <c r="K387" t="s">
        <v>74</v>
      </c>
      <c r="L387" t="s">
        <v>74</v>
      </c>
      <c r="M387" t="s">
        <v>78</v>
      </c>
      <c r="N387" t="s">
        <v>2174</v>
      </c>
      <c r="O387" t="s">
        <v>74</v>
      </c>
      <c r="P387" t="s">
        <v>74</v>
      </c>
      <c r="Q387" t="s">
        <v>74</v>
      </c>
      <c r="R387" t="s">
        <v>74</v>
      </c>
      <c r="S387" t="s">
        <v>74</v>
      </c>
      <c r="T387" t="s">
        <v>7573</v>
      </c>
      <c r="U387" t="s">
        <v>7574</v>
      </c>
      <c r="V387" t="s">
        <v>7575</v>
      </c>
      <c r="W387" t="s">
        <v>7576</v>
      </c>
      <c r="X387" t="s">
        <v>7577</v>
      </c>
      <c r="Y387" t="s">
        <v>7578</v>
      </c>
      <c r="Z387" t="s">
        <v>7579</v>
      </c>
      <c r="AA387" t="s">
        <v>74</v>
      </c>
      <c r="AB387" t="s">
        <v>74</v>
      </c>
      <c r="AC387" t="s">
        <v>7580</v>
      </c>
      <c r="AD387" t="s">
        <v>7580</v>
      </c>
      <c r="AE387" t="s">
        <v>7581</v>
      </c>
      <c r="AF387" t="s">
        <v>74</v>
      </c>
      <c r="AG387">
        <v>176</v>
      </c>
      <c r="AH387">
        <v>0</v>
      </c>
      <c r="AI387">
        <v>0</v>
      </c>
      <c r="AJ387">
        <v>1</v>
      </c>
      <c r="AK387">
        <v>1</v>
      </c>
      <c r="AL387" t="s">
        <v>117</v>
      </c>
      <c r="AM387" t="s">
        <v>118</v>
      </c>
      <c r="AN387" t="s">
        <v>119</v>
      </c>
      <c r="AO387" t="s">
        <v>7582</v>
      </c>
      <c r="AP387" t="s">
        <v>7583</v>
      </c>
      <c r="AQ387" t="s">
        <v>74</v>
      </c>
      <c r="AR387" t="s">
        <v>7584</v>
      </c>
      <c r="AS387" t="s">
        <v>7585</v>
      </c>
      <c r="AT387" t="s">
        <v>7014</v>
      </c>
      <c r="AU387">
        <v>2023</v>
      </c>
      <c r="AV387" t="s">
        <v>74</v>
      </c>
      <c r="AW387" t="s">
        <v>74</v>
      </c>
      <c r="AX387" t="s">
        <v>74</v>
      </c>
      <c r="AY387" t="s">
        <v>74</v>
      </c>
      <c r="AZ387" t="s">
        <v>74</v>
      </c>
      <c r="BA387" t="s">
        <v>74</v>
      </c>
      <c r="BB387" t="s">
        <v>74</v>
      </c>
      <c r="BC387" t="s">
        <v>74</v>
      </c>
      <c r="BD387" t="s">
        <v>74</v>
      </c>
      <c r="BE387" t="s">
        <v>7586</v>
      </c>
      <c r="BF387" t="str">
        <f>HYPERLINK("http://dx.doi.org/10.1007/s00595-023-02741-6","http://dx.doi.org/10.1007/s00595-023-02741-6")</f>
        <v>http://dx.doi.org/10.1007/s00595-023-02741-6</v>
      </c>
      <c r="BG387" t="s">
        <v>74</v>
      </c>
      <c r="BH387" t="s">
        <v>2079</v>
      </c>
      <c r="BI387">
        <v>18</v>
      </c>
      <c r="BJ387" t="s">
        <v>2373</v>
      </c>
      <c r="BK387" t="s">
        <v>126</v>
      </c>
      <c r="BL387" t="s">
        <v>2373</v>
      </c>
      <c r="BM387" t="s">
        <v>7587</v>
      </c>
      <c r="BN387">
        <v>37668735</v>
      </c>
      <c r="BO387" t="s">
        <v>74</v>
      </c>
      <c r="BP387" t="s">
        <v>74</v>
      </c>
      <c r="BQ387" t="s">
        <v>74</v>
      </c>
      <c r="BR387" t="s">
        <v>99</v>
      </c>
      <c r="BS387" t="s">
        <v>7588</v>
      </c>
      <c r="BT387" t="str">
        <f>HYPERLINK("https%3A%2F%2Fwww.webofscience.com%2Fwos%2Fwoscc%2Ffull-record%2FWOS:001058921700001","View Full Record in Web of Science")</f>
        <v>View Full Record in Web of Science</v>
      </c>
    </row>
    <row r="388" spans="1:72" x14ac:dyDescent="0.15">
      <c r="A388" t="s">
        <v>72</v>
      </c>
      <c r="B388" t="s">
        <v>7589</v>
      </c>
      <c r="C388" t="s">
        <v>74</v>
      </c>
      <c r="D388" t="s">
        <v>74</v>
      </c>
      <c r="E388" t="s">
        <v>74</v>
      </c>
      <c r="F388" t="s">
        <v>7590</v>
      </c>
      <c r="G388" t="s">
        <v>74</v>
      </c>
      <c r="H388" t="s">
        <v>74</v>
      </c>
      <c r="I388" t="s">
        <v>7591</v>
      </c>
      <c r="J388" t="s">
        <v>5179</v>
      </c>
      <c r="K388" t="s">
        <v>74</v>
      </c>
      <c r="L388" t="s">
        <v>74</v>
      </c>
      <c r="M388" t="s">
        <v>78</v>
      </c>
      <c r="N388" t="s">
        <v>1246</v>
      </c>
      <c r="O388" t="s">
        <v>74</v>
      </c>
      <c r="P388" t="s">
        <v>74</v>
      </c>
      <c r="Q388" t="s">
        <v>74</v>
      </c>
      <c r="R388" t="s">
        <v>74</v>
      </c>
      <c r="S388" t="s">
        <v>74</v>
      </c>
      <c r="T388" t="s">
        <v>7592</v>
      </c>
      <c r="U388" t="s">
        <v>7593</v>
      </c>
      <c r="V388" t="s">
        <v>7594</v>
      </c>
      <c r="W388" t="s">
        <v>7595</v>
      </c>
      <c r="X388" t="s">
        <v>7596</v>
      </c>
      <c r="Y388" t="s">
        <v>7597</v>
      </c>
      <c r="Z388" t="s">
        <v>7598</v>
      </c>
      <c r="AA388" t="s">
        <v>74</v>
      </c>
      <c r="AB388" t="s">
        <v>7599</v>
      </c>
      <c r="AC388" t="s">
        <v>7600</v>
      </c>
      <c r="AD388" t="s">
        <v>4976</v>
      </c>
      <c r="AE388" t="s">
        <v>7601</v>
      </c>
      <c r="AF388" t="s">
        <v>74</v>
      </c>
      <c r="AG388">
        <v>29</v>
      </c>
      <c r="AH388">
        <v>0</v>
      </c>
      <c r="AI388">
        <v>0</v>
      </c>
      <c r="AJ388">
        <v>2</v>
      </c>
      <c r="AK388">
        <v>2</v>
      </c>
      <c r="AL388" t="s">
        <v>317</v>
      </c>
      <c r="AM388" t="s">
        <v>245</v>
      </c>
      <c r="AN388" t="s">
        <v>318</v>
      </c>
      <c r="AO388" t="s">
        <v>5187</v>
      </c>
      <c r="AP388" t="s">
        <v>5188</v>
      </c>
      <c r="AQ388" t="s">
        <v>74</v>
      </c>
      <c r="AR388" t="s">
        <v>5189</v>
      </c>
      <c r="AS388" t="s">
        <v>5190</v>
      </c>
      <c r="AT388" t="s">
        <v>7014</v>
      </c>
      <c r="AU388">
        <v>2023</v>
      </c>
      <c r="AV388" t="s">
        <v>74</v>
      </c>
      <c r="AW388" t="s">
        <v>74</v>
      </c>
      <c r="AX388" t="s">
        <v>74</v>
      </c>
      <c r="AY388" t="s">
        <v>74</v>
      </c>
      <c r="AZ388" t="s">
        <v>74</v>
      </c>
      <c r="BA388" t="s">
        <v>74</v>
      </c>
      <c r="BB388" t="s">
        <v>74</v>
      </c>
      <c r="BC388" t="s">
        <v>74</v>
      </c>
      <c r="BD388" t="s">
        <v>74</v>
      </c>
      <c r="BE388" t="s">
        <v>7602</v>
      </c>
      <c r="BF388" t="str">
        <f>HYPERLINK("http://dx.doi.org/10.1007/s40435-023-01295-2","http://dx.doi.org/10.1007/s40435-023-01295-2")</f>
        <v>http://dx.doi.org/10.1007/s40435-023-01295-2</v>
      </c>
      <c r="BG388" t="s">
        <v>74</v>
      </c>
      <c r="BH388" t="s">
        <v>2079</v>
      </c>
      <c r="BI388">
        <v>11</v>
      </c>
      <c r="BJ388" t="s">
        <v>5192</v>
      </c>
      <c r="BK388" t="s">
        <v>97</v>
      </c>
      <c r="BL388" t="s">
        <v>5193</v>
      </c>
      <c r="BM388" t="s">
        <v>7603</v>
      </c>
      <c r="BN388" t="s">
        <v>74</v>
      </c>
      <c r="BO388" t="s">
        <v>74</v>
      </c>
      <c r="BP388" t="s">
        <v>74</v>
      </c>
      <c r="BQ388" t="s">
        <v>74</v>
      </c>
      <c r="BR388" t="s">
        <v>99</v>
      </c>
      <c r="BS388" t="s">
        <v>7604</v>
      </c>
      <c r="BT388" t="str">
        <f>HYPERLINK("https%3A%2F%2Fwww.webofscience.com%2Fwos%2Fwoscc%2Ffull-record%2FWOS:001058973900002","View Full Record in Web of Science")</f>
        <v>View Full Record in Web of Science</v>
      </c>
    </row>
    <row r="389" spans="1:72" x14ac:dyDescent="0.15">
      <c r="A389" t="s">
        <v>72</v>
      </c>
      <c r="B389" t="s">
        <v>7605</v>
      </c>
      <c r="C389" t="s">
        <v>74</v>
      </c>
      <c r="D389" t="s">
        <v>74</v>
      </c>
      <c r="E389" t="s">
        <v>74</v>
      </c>
      <c r="F389" t="s">
        <v>7606</v>
      </c>
      <c r="G389" t="s">
        <v>74</v>
      </c>
      <c r="H389" t="s">
        <v>74</v>
      </c>
      <c r="I389" t="s">
        <v>7607</v>
      </c>
      <c r="J389" t="s">
        <v>7608</v>
      </c>
      <c r="K389" t="s">
        <v>74</v>
      </c>
      <c r="L389" t="s">
        <v>74</v>
      </c>
      <c r="M389" t="s">
        <v>78</v>
      </c>
      <c r="N389" t="s">
        <v>1246</v>
      </c>
      <c r="O389" t="s">
        <v>74</v>
      </c>
      <c r="P389" t="s">
        <v>74</v>
      </c>
      <c r="Q389" t="s">
        <v>74</v>
      </c>
      <c r="R389" t="s">
        <v>74</v>
      </c>
      <c r="S389" t="s">
        <v>74</v>
      </c>
      <c r="T389" t="s">
        <v>7609</v>
      </c>
      <c r="U389" t="s">
        <v>74</v>
      </c>
      <c r="V389" t="s">
        <v>7610</v>
      </c>
      <c r="W389" t="s">
        <v>7611</v>
      </c>
      <c r="X389" t="s">
        <v>7612</v>
      </c>
      <c r="Y389" t="s">
        <v>7613</v>
      </c>
      <c r="Z389" t="s">
        <v>7614</v>
      </c>
      <c r="AA389" t="s">
        <v>74</v>
      </c>
      <c r="AB389" t="s">
        <v>74</v>
      </c>
      <c r="AC389" t="s">
        <v>7615</v>
      </c>
      <c r="AD389" t="s">
        <v>7616</v>
      </c>
      <c r="AE389" t="s">
        <v>7617</v>
      </c>
      <c r="AF389" t="s">
        <v>74</v>
      </c>
      <c r="AG389">
        <v>35</v>
      </c>
      <c r="AH389">
        <v>0</v>
      </c>
      <c r="AI389">
        <v>0</v>
      </c>
      <c r="AJ389">
        <v>0</v>
      </c>
      <c r="AK389">
        <v>0</v>
      </c>
      <c r="AL389" t="s">
        <v>117</v>
      </c>
      <c r="AM389" t="s">
        <v>118</v>
      </c>
      <c r="AN389" t="s">
        <v>119</v>
      </c>
      <c r="AO389" t="s">
        <v>7618</v>
      </c>
      <c r="AP389" t="s">
        <v>7619</v>
      </c>
      <c r="AQ389" t="s">
        <v>74</v>
      </c>
      <c r="AR389" t="s">
        <v>7620</v>
      </c>
      <c r="AS389" t="s">
        <v>7621</v>
      </c>
      <c r="AT389" t="s">
        <v>7014</v>
      </c>
      <c r="AU389">
        <v>2023</v>
      </c>
      <c r="AV389" t="s">
        <v>74</v>
      </c>
      <c r="AW389" t="s">
        <v>74</v>
      </c>
      <c r="AX389" t="s">
        <v>74</v>
      </c>
      <c r="AY389" t="s">
        <v>74</v>
      </c>
      <c r="AZ389" t="s">
        <v>74</v>
      </c>
      <c r="BA389" t="s">
        <v>74</v>
      </c>
      <c r="BB389" t="s">
        <v>74</v>
      </c>
      <c r="BC389" t="s">
        <v>74</v>
      </c>
      <c r="BD389" t="s">
        <v>74</v>
      </c>
      <c r="BE389" t="s">
        <v>7622</v>
      </c>
      <c r="BF389" t="str">
        <f>HYPERLINK("http://dx.doi.org/10.1007/s00262-023-03513-4","http://dx.doi.org/10.1007/s00262-023-03513-4")</f>
        <v>http://dx.doi.org/10.1007/s00262-023-03513-4</v>
      </c>
      <c r="BG389" t="s">
        <v>74</v>
      </c>
      <c r="BH389" t="s">
        <v>2079</v>
      </c>
      <c r="BI389">
        <v>15</v>
      </c>
      <c r="BJ389" t="s">
        <v>7623</v>
      </c>
      <c r="BK389" t="s">
        <v>126</v>
      </c>
      <c r="BL389" t="s">
        <v>7623</v>
      </c>
      <c r="BM389" t="s">
        <v>7624</v>
      </c>
      <c r="BN389">
        <v>37668711</v>
      </c>
      <c r="BO389" t="s">
        <v>183</v>
      </c>
      <c r="BP389" t="s">
        <v>74</v>
      </c>
      <c r="BQ389" t="s">
        <v>74</v>
      </c>
      <c r="BR389" t="s">
        <v>99</v>
      </c>
      <c r="BS389" t="s">
        <v>7625</v>
      </c>
      <c r="BT389" t="str">
        <f>HYPERLINK("https%3A%2F%2Fwww.webofscience.com%2Fwos%2Fwoscc%2Ffull-record%2FWOS:001062743200003","View Full Record in Web of Science")</f>
        <v>View Full Record in Web of Science</v>
      </c>
    </row>
    <row r="390" spans="1:72" x14ac:dyDescent="0.15">
      <c r="A390" t="s">
        <v>72</v>
      </c>
      <c r="B390" t="s">
        <v>7626</v>
      </c>
      <c r="C390" t="s">
        <v>74</v>
      </c>
      <c r="D390" t="s">
        <v>74</v>
      </c>
      <c r="E390" t="s">
        <v>74</v>
      </c>
      <c r="F390" t="s">
        <v>7627</v>
      </c>
      <c r="G390" t="s">
        <v>74</v>
      </c>
      <c r="H390" t="s">
        <v>74</v>
      </c>
      <c r="I390" t="s">
        <v>7628</v>
      </c>
      <c r="J390" t="s">
        <v>5265</v>
      </c>
      <c r="K390" t="s">
        <v>74</v>
      </c>
      <c r="L390" t="s">
        <v>74</v>
      </c>
      <c r="M390" t="s">
        <v>78</v>
      </c>
      <c r="N390" t="s">
        <v>1246</v>
      </c>
      <c r="O390" t="s">
        <v>74</v>
      </c>
      <c r="P390" t="s">
        <v>74</v>
      </c>
      <c r="Q390" t="s">
        <v>74</v>
      </c>
      <c r="R390" t="s">
        <v>74</v>
      </c>
      <c r="S390" t="s">
        <v>74</v>
      </c>
      <c r="T390" t="s">
        <v>74</v>
      </c>
      <c r="U390" t="s">
        <v>74</v>
      </c>
      <c r="V390" t="s">
        <v>74</v>
      </c>
      <c r="W390" t="s">
        <v>7629</v>
      </c>
      <c r="X390" t="s">
        <v>74</v>
      </c>
      <c r="Y390" t="s">
        <v>7630</v>
      </c>
      <c r="Z390" t="s">
        <v>7631</v>
      </c>
      <c r="AA390" t="s">
        <v>74</v>
      </c>
      <c r="AB390" t="s">
        <v>74</v>
      </c>
      <c r="AC390" t="s">
        <v>7632</v>
      </c>
      <c r="AD390" t="s">
        <v>7632</v>
      </c>
      <c r="AE390" t="s">
        <v>7633</v>
      </c>
      <c r="AF390" t="s">
        <v>74</v>
      </c>
      <c r="AG390">
        <v>0</v>
      </c>
      <c r="AH390">
        <v>0</v>
      </c>
      <c r="AI390">
        <v>0</v>
      </c>
      <c r="AJ390">
        <v>0</v>
      </c>
      <c r="AK390">
        <v>0</v>
      </c>
      <c r="AL390" t="s">
        <v>117</v>
      </c>
      <c r="AM390" t="s">
        <v>118</v>
      </c>
      <c r="AN390" t="s">
        <v>119</v>
      </c>
      <c r="AO390" t="s">
        <v>5273</v>
      </c>
      <c r="AP390" t="s">
        <v>5274</v>
      </c>
      <c r="AQ390" t="s">
        <v>74</v>
      </c>
      <c r="AR390" t="s">
        <v>5275</v>
      </c>
      <c r="AS390" t="s">
        <v>5276</v>
      </c>
      <c r="AT390" t="s">
        <v>7014</v>
      </c>
      <c r="AU390">
        <v>2023</v>
      </c>
      <c r="AV390" t="s">
        <v>74</v>
      </c>
      <c r="AW390" t="s">
        <v>74</v>
      </c>
      <c r="AX390" t="s">
        <v>74</v>
      </c>
      <c r="AY390" t="s">
        <v>74</v>
      </c>
      <c r="AZ390" t="s">
        <v>74</v>
      </c>
      <c r="BA390" t="s">
        <v>74</v>
      </c>
      <c r="BB390" t="s">
        <v>74</v>
      </c>
      <c r="BC390" t="s">
        <v>74</v>
      </c>
      <c r="BD390" t="s">
        <v>74</v>
      </c>
      <c r="BE390" t="s">
        <v>7634</v>
      </c>
      <c r="BF390" t="str">
        <f>HYPERLINK("http://dx.doi.org/10.1007/s00134-023-07207-4","http://dx.doi.org/10.1007/s00134-023-07207-4")</f>
        <v>http://dx.doi.org/10.1007/s00134-023-07207-4</v>
      </c>
      <c r="BG390" t="s">
        <v>74</v>
      </c>
      <c r="BH390" t="s">
        <v>2079</v>
      </c>
      <c r="BI390">
        <v>2</v>
      </c>
      <c r="BJ390" t="s">
        <v>2251</v>
      </c>
      <c r="BK390" t="s">
        <v>126</v>
      </c>
      <c r="BL390" t="s">
        <v>1239</v>
      </c>
      <c r="BM390" t="s">
        <v>7635</v>
      </c>
      <c r="BN390">
        <v>37668676</v>
      </c>
      <c r="BO390" t="s">
        <v>74</v>
      </c>
      <c r="BP390" t="s">
        <v>74</v>
      </c>
      <c r="BQ390" t="s">
        <v>74</v>
      </c>
      <c r="BR390" t="s">
        <v>99</v>
      </c>
      <c r="BS390" t="s">
        <v>7636</v>
      </c>
      <c r="BT390" t="str">
        <f>HYPERLINK("https%3A%2F%2Fwww.webofscience.com%2Fwos%2Fwoscc%2Ffull-record%2FWOS:001062160700002","View Full Record in Web of Science")</f>
        <v>View Full Record in Web of Science</v>
      </c>
    </row>
    <row r="391" spans="1:72" x14ac:dyDescent="0.15">
      <c r="A391" t="s">
        <v>72</v>
      </c>
      <c r="B391" t="s">
        <v>7637</v>
      </c>
      <c r="C391" t="s">
        <v>74</v>
      </c>
      <c r="D391" t="s">
        <v>74</v>
      </c>
      <c r="E391" t="s">
        <v>74</v>
      </c>
      <c r="F391" t="s">
        <v>7638</v>
      </c>
      <c r="G391" t="s">
        <v>74</v>
      </c>
      <c r="H391" t="s">
        <v>74</v>
      </c>
      <c r="I391" t="s">
        <v>7639</v>
      </c>
      <c r="J391" t="s">
        <v>7640</v>
      </c>
      <c r="K391" t="s">
        <v>74</v>
      </c>
      <c r="L391" t="s">
        <v>74</v>
      </c>
      <c r="M391" t="s">
        <v>78</v>
      </c>
      <c r="N391" t="s">
        <v>1246</v>
      </c>
      <c r="O391" t="s">
        <v>74</v>
      </c>
      <c r="P391" t="s">
        <v>74</v>
      </c>
      <c r="Q391" t="s">
        <v>74</v>
      </c>
      <c r="R391" t="s">
        <v>74</v>
      </c>
      <c r="S391" t="s">
        <v>74</v>
      </c>
      <c r="T391" t="s">
        <v>7641</v>
      </c>
      <c r="U391" t="s">
        <v>7642</v>
      </c>
      <c r="V391" t="s">
        <v>7643</v>
      </c>
      <c r="W391" t="s">
        <v>7644</v>
      </c>
      <c r="X391" t="s">
        <v>7645</v>
      </c>
      <c r="Y391" t="s">
        <v>7646</v>
      </c>
      <c r="Z391" t="s">
        <v>7647</v>
      </c>
      <c r="AA391" t="s">
        <v>74</v>
      </c>
      <c r="AB391" t="s">
        <v>74</v>
      </c>
      <c r="AC391" t="s">
        <v>7648</v>
      </c>
      <c r="AD391" t="s">
        <v>7649</v>
      </c>
      <c r="AE391" t="s">
        <v>7650</v>
      </c>
      <c r="AF391" t="s">
        <v>74</v>
      </c>
      <c r="AG391">
        <v>53</v>
      </c>
      <c r="AH391">
        <v>0</v>
      </c>
      <c r="AI391">
        <v>0</v>
      </c>
      <c r="AJ391">
        <v>0</v>
      </c>
      <c r="AK391">
        <v>0</v>
      </c>
      <c r="AL391" t="s">
        <v>317</v>
      </c>
      <c r="AM391" t="s">
        <v>245</v>
      </c>
      <c r="AN391" t="s">
        <v>318</v>
      </c>
      <c r="AO391" t="s">
        <v>7651</v>
      </c>
      <c r="AP391" t="s">
        <v>7652</v>
      </c>
      <c r="AQ391" t="s">
        <v>74</v>
      </c>
      <c r="AR391" t="s">
        <v>7653</v>
      </c>
      <c r="AS391" t="s">
        <v>7654</v>
      </c>
      <c r="AT391" t="s">
        <v>7655</v>
      </c>
      <c r="AU391">
        <v>2023</v>
      </c>
      <c r="AV391" t="s">
        <v>74</v>
      </c>
      <c r="AW391" t="s">
        <v>74</v>
      </c>
      <c r="AX391" t="s">
        <v>74</v>
      </c>
      <c r="AY391" t="s">
        <v>74</v>
      </c>
      <c r="AZ391" t="s">
        <v>74</v>
      </c>
      <c r="BA391" t="s">
        <v>74</v>
      </c>
      <c r="BB391" t="s">
        <v>74</v>
      </c>
      <c r="BC391" t="s">
        <v>74</v>
      </c>
      <c r="BD391" t="s">
        <v>74</v>
      </c>
      <c r="BE391" t="s">
        <v>7656</v>
      </c>
      <c r="BF391" t="str">
        <f>HYPERLINK("http://dx.doi.org/10.1007/s10888-023-09586-6","http://dx.doi.org/10.1007/s10888-023-09586-6")</f>
        <v>http://dx.doi.org/10.1007/s10888-023-09586-6</v>
      </c>
      <c r="BG391" t="s">
        <v>74</v>
      </c>
      <c r="BH391" t="s">
        <v>2079</v>
      </c>
      <c r="BI391">
        <v>32</v>
      </c>
      <c r="BJ391" t="s">
        <v>2781</v>
      </c>
      <c r="BK391" t="s">
        <v>425</v>
      </c>
      <c r="BL391" t="s">
        <v>426</v>
      </c>
      <c r="BM391" t="s">
        <v>7657</v>
      </c>
      <c r="BN391" t="s">
        <v>74</v>
      </c>
      <c r="BO391" t="s">
        <v>1183</v>
      </c>
      <c r="BP391" t="s">
        <v>74</v>
      </c>
      <c r="BQ391" t="s">
        <v>74</v>
      </c>
      <c r="BR391" t="s">
        <v>99</v>
      </c>
      <c r="BS391" t="s">
        <v>7658</v>
      </c>
      <c r="BT391" t="str">
        <f>HYPERLINK("https%3A%2F%2Fwww.webofscience.com%2Fwos%2Fwoscc%2Ffull-record%2FWOS:001058244900001","View Full Record in Web of Science")</f>
        <v>View Full Record in Web of Science</v>
      </c>
    </row>
    <row r="392" spans="1:72" x14ac:dyDescent="0.15">
      <c r="A392" t="s">
        <v>72</v>
      </c>
      <c r="B392" t="s">
        <v>7659</v>
      </c>
      <c r="C392" t="s">
        <v>74</v>
      </c>
      <c r="D392" t="s">
        <v>74</v>
      </c>
      <c r="E392" t="s">
        <v>74</v>
      </c>
      <c r="F392" t="s">
        <v>7660</v>
      </c>
      <c r="G392" t="s">
        <v>74</v>
      </c>
      <c r="H392" t="s">
        <v>74</v>
      </c>
      <c r="I392" t="s">
        <v>7661</v>
      </c>
      <c r="J392" t="s">
        <v>6103</v>
      </c>
      <c r="K392" t="s">
        <v>74</v>
      </c>
      <c r="L392" t="s">
        <v>74</v>
      </c>
      <c r="M392" t="s">
        <v>78</v>
      </c>
      <c r="N392" t="s">
        <v>1246</v>
      </c>
      <c r="O392" t="s">
        <v>74</v>
      </c>
      <c r="P392" t="s">
        <v>74</v>
      </c>
      <c r="Q392" t="s">
        <v>74</v>
      </c>
      <c r="R392" t="s">
        <v>74</v>
      </c>
      <c r="S392" t="s">
        <v>74</v>
      </c>
      <c r="T392" t="s">
        <v>7662</v>
      </c>
      <c r="U392" t="s">
        <v>7663</v>
      </c>
      <c r="V392" t="s">
        <v>7664</v>
      </c>
      <c r="W392" t="s">
        <v>7665</v>
      </c>
      <c r="X392" t="s">
        <v>7666</v>
      </c>
      <c r="Y392" t="s">
        <v>7667</v>
      </c>
      <c r="Z392" t="s">
        <v>7668</v>
      </c>
      <c r="AA392" t="s">
        <v>74</v>
      </c>
      <c r="AB392" t="s">
        <v>74</v>
      </c>
      <c r="AC392" t="s">
        <v>7669</v>
      </c>
      <c r="AD392" t="s">
        <v>7669</v>
      </c>
      <c r="AE392" t="s">
        <v>7669</v>
      </c>
      <c r="AF392" t="s">
        <v>74</v>
      </c>
      <c r="AG392">
        <v>40</v>
      </c>
      <c r="AH392">
        <v>0</v>
      </c>
      <c r="AI392">
        <v>0</v>
      </c>
      <c r="AJ392">
        <v>0</v>
      </c>
      <c r="AK392">
        <v>0</v>
      </c>
      <c r="AL392" t="s">
        <v>172</v>
      </c>
      <c r="AM392" t="s">
        <v>173</v>
      </c>
      <c r="AN392" t="s">
        <v>174</v>
      </c>
      <c r="AO392" t="s">
        <v>6111</v>
      </c>
      <c r="AP392" t="s">
        <v>6112</v>
      </c>
      <c r="AQ392" t="s">
        <v>74</v>
      </c>
      <c r="AR392" t="s">
        <v>6103</v>
      </c>
      <c r="AS392" t="s">
        <v>6113</v>
      </c>
      <c r="AT392" t="s">
        <v>7655</v>
      </c>
      <c r="AU392">
        <v>2023</v>
      </c>
      <c r="AV392" t="s">
        <v>74</v>
      </c>
      <c r="AW392" t="s">
        <v>74</v>
      </c>
      <c r="AX392" t="s">
        <v>74</v>
      </c>
      <c r="AY392" t="s">
        <v>74</v>
      </c>
      <c r="AZ392" t="s">
        <v>74</v>
      </c>
      <c r="BA392" t="s">
        <v>74</v>
      </c>
      <c r="BB392" t="s">
        <v>74</v>
      </c>
      <c r="BC392" t="s">
        <v>74</v>
      </c>
      <c r="BD392" t="s">
        <v>74</v>
      </c>
      <c r="BE392" t="s">
        <v>7670</v>
      </c>
      <c r="BF392" t="str">
        <f>HYPERLINK("http://dx.doi.org/10.1007/s11581-023-05185-7","http://dx.doi.org/10.1007/s11581-023-05185-7")</f>
        <v>http://dx.doi.org/10.1007/s11581-023-05185-7</v>
      </c>
      <c r="BG392" t="s">
        <v>74</v>
      </c>
      <c r="BH392" t="s">
        <v>2079</v>
      </c>
      <c r="BI392">
        <v>10</v>
      </c>
      <c r="BJ392" t="s">
        <v>6115</v>
      </c>
      <c r="BK392" t="s">
        <v>126</v>
      </c>
      <c r="BL392" t="s">
        <v>6116</v>
      </c>
      <c r="BM392" t="s">
        <v>7671</v>
      </c>
      <c r="BN392" t="s">
        <v>74</v>
      </c>
      <c r="BO392" t="s">
        <v>74</v>
      </c>
      <c r="BP392" t="s">
        <v>74</v>
      </c>
      <c r="BQ392" t="s">
        <v>74</v>
      </c>
      <c r="BR392" t="s">
        <v>99</v>
      </c>
      <c r="BS392" t="s">
        <v>7672</v>
      </c>
      <c r="BT392" t="str">
        <f>HYPERLINK("https%3A%2F%2Fwww.webofscience.com%2Fwos%2Fwoscc%2Ffull-record%2FWOS:001061902700003","View Full Record in Web of Science")</f>
        <v>View Full Record in Web of Science</v>
      </c>
    </row>
    <row r="393" spans="1:72" x14ac:dyDescent="0.15">
      <c r="A393" t="s">
        <v>72</v>
      </c>
      <c r="B393" t="s">
        <v>7673</v>
      </c>
      <c r="C393" t="s">
        <v>74</v>
      </c>
      <c r="D393" t="s">
        <v>74</v>
      </c>
      <c r="E393" t="s">
        <v>74</v>
      </c>
      <c r="F393" t="s">
        <v>7674</v>
      </c>
      <c r="G393" t="s">
        <v>74</v>
      </c>
      <c r="H393" t="s">
        <v>74</v>
      </c>
      <c r="I393" t="s">
        <v>7675</v>
      </c>
      <c r="J393" t="s">
        <v>7676</v>
      </c>
      <c r="K393" t="s">
        <v>74</v>
      </c>
      <c r="L393" t="s">
        <v>74</v>
      </c>
      <c r="M393" t="s">
        <v>78</v>
      </c>
      <c r="N393" t="s">
        <v>79</v>
      </c>
      <c r="O393" t="s">
        <v>74</v>
      </c>
      <c r="P393" t="s">
        <v>74</v>
      </c>
      <c r="Q393" t="s">
        <v>74</v>
      </c>
      <c r="R393" t="s">
        <v>74</v>
      </c>
      <c r="S393" t="s">
        <v>74</v>
      </c>
      <c r="T393" t="s">
        <v>7677</v>
      </c>
      <c r="U393" t="s">
        <v>7678</v>
      </c>
      <c r="V393" t="s">
        <v>7679</v>
      </c>
      <c r="W393" t="s">
        <v>7680</v>
      </c>
      <c r="X393" t="s">
        <v>7681</v>
      </c>
      <c r="Y393" t="s">
        <v>7682</v>
      </c>
      <c r="Z393" t="s">
        <v>7683</v>
      </c>
      <c r="AA393" t="s">
        <v>74</v>
      </c>
      <c r="AB393" t="s">
        <v>74</v>
      </c>
      <c r="AC393" t="s">
        <v>932</v>
      </c>
      <c r="AD393" t="s">
        <v>932</v>
      </c>
      <c r="AE393" t="s">
        <v>932</v>
      </c>
      <c r="AF393" t="s">
        <v>74</v>
      </c>
      <c r="AG393">
        <v>37</v>
      </c>
      <c r="AH393">
        <v>0</v>
      </c>
      <c r="AI393">
        <v>0</v>
      </c>
      <c r="AJ393">
        <v>0</v>
      </c>
      <c r="AK393">
        <v>0</v>
      </c>
      <c r="AL393" t="s">
        <v>443</v>
      </c>
      <c r="AM393" t="s">
        <v>245</v>
      </c>
      <c r="AN393" t="s">
        <v>444</v>
      </c>
      <c r="AO393" t="s">
        <v>74</v>
      </c>
      <c r="AP393" t="s">
        <v>7684</v>
      </c>
      <c r="AQ393" t="s">
        <v>74</v>
      </c>
      <c r="AR393" t="s">
        <v>7676</v>
      </c>
      <c r="AS393" t="s">
        <v>7685</v>
      </c>
      <c r="AT393" t="s">
        <v>7686</v>
      </c>
      <c r="AU393">
        <v>2023</v>
      </c>
      <c r="AV393">
        <v>24</v>
      </c>
      <c r="AW393">
        <v>1</v>
      </c>
      <c r="AX393" t="s">
        <v>74</v>
      </c>
      <c r="AY393" t="s">
        <v>74</v>
      </c>
      <c r="AZ393" t="s">
        <v>74</v>
      </c>
      <c r="BA393" t="s">
        <v>74</v>
      </c>
      <c r="BB393" t="s">
        <v>74</v>
      </c>
      <c r="BC393" t="s">
        <v>74</v>
      </c>
      <c r="BD393">
        <v>50</v>
      </c>
      <c r="BE393" t="s">
        <v>7687</v>
      </c>
      <c r="BF393" t="str">
        <f>HYPERLINK("http://dx.doi.org/10.1186/s12863-023-01155-0","http://dx.doi.org/10.1186/s12863-023-01155-0")</f>
        <v>http://dx.doi.org/10.1186/s12863-023-01155-0</v>
      </c>
      <c r="BG393" t="s">
        <v>74</v>
      </c>
      <c r="BH393" t="s">
        <v>74</v>
      </c>
      <c r="BI393">
        <v>11</v>
      </c>
      <c r="BJ393" t="s">
        <v>3740</v>
      </c>
      <c r="BK393" t="s">
        <v>126</v>
      </c>
      <c r="BL393" t="s">
        <v>3740</v>
      </c>
      <c r="BM393" t="s">
        <v>7688</v>
      </c>
      <c r="BN393">
        <v>37667186</v>
      </c>
      <c r="BO393" t="s">
        <v>540</v>
      </c>
      <c r="BP393" t="s">
        <v>74</v>
      </c>
      <c r="BQ393" t="s">
        <v>74</v>
      </c>
      <c r="BR393" t="s">
        <v>99</v>
      </c>
      <c r="BS393" t="s">
        <v>7689</v>
      </c>
      <c r="BT393" t="str">
        <f>HYPERLINK("https%3A%2F%2Fwww.webofscience.com%2Fwos%2Fwoscc%2Ffull-record%2FWOS:001059824200001","View Full Record in Web of Science")</f>
        <v>View Full Record in Web of Science</v>
      </c>
    </row>
    <row r="394" spans="1:72" x14ac:dyDescent="0.15">
      <c r="A394" t="s">
        <v>72</v>
      </c>
      <c r="B394" t="s">
        <v>7690</v>
      </c>
      <c r="C394" t="s">
        <v>74</v>
      </c>
      <c r="D394" t="s">
        <v>74</v>
      </c>
      <c r="E394" t="s">
        <v>74</v>
      </c>
      <c r="F394" t="s">
        <v>7691</v>
      </c>
      <c r="G394" t="s">
        <v>74</v>
      </c>
      <c r="H394" t="s">
        <v>74</v>
      </c>
      <c r="I394" t="s">
        <v>7692</v>
      </c>
      <c r="J394" t="s">
        <v>7693</v>
      </c>
      <c r="K394" t="s">
        <v>74</v>
      </c>
      <c r="L394" t="s">
        <v>74</v>
      </c>
      <c r="M394" t="s">
        <v>78</v>
      </c>
      <c r="N394" t="s">
        <v>1246</v>
      </c>
      <c r="O394" t="s">
        <v>74</v>
      </c>
      <c r="P394" t="s">
        <v>74</v>
      </c>
      <c r="Q394" t="s">
        <v>74</v>
      </c>
      <c r="R394" t="s">
        <v>74</v>
      </c>
      <c r="S394" t="s">
        <v>74</v>
      </c>
      <c r="T394" t="s">
        <v>7694</v>
      </c>
      <c r="U394" t="s">
        <v>7695</v>
      </c>
      <c r="V394" t="s">
        <v>7696</v>
      </c>
      <c r="W394" t="s">
        <v>7697</v>
      </c>
      <c r="X394" t="s">
        <v>7698</v>
      </c>
      <c r="Y394" t="s">
        <v>7699</v>
      </c>
      <c r="Z394" t="s">
        <v>7700</v>
      </c>
      <c r="AA394" t="s">
        <v>74</v>
      </c>
      <c r="AB394" t="s">
        <v>74</v>
      </c>
      <c r="AC394" t="s">
        <v>7701</v>
      </c>
      <c r="AD394" t="s">
        <v>7702</v>
      </c>
      <c r="AE394" t="s">
        <v>7703</v>
      </c>
      <c r="AF394" t="s">
        <v>74</v>
      </c>
      <c r="AG394">
        <v>59</v>
      </c>
      <c r="AH394">
        <v>0</v>
      </c>
      <c r="AI394">
        <v>0</v>
      </c>
      <c r="AJ394">
        <v>0</v>
      </c>
      <c r="AK394">
        <v>0</v>
      </c>
      <c r="AL394" t="s">
        <v>269</v>
      </c>
      <c r="AM394" t="s">
        <v>118</v>
      </c>
      <c r="AN394" t="s">
        <v>270</v>
      </c>
      <c r="AO394" t="s">
        <v>7704</v>
      </c>
      <c r="AP394" t="s">
        <v>7705</v>
      </c>
      <c r="AQ394" t="s">
        <v>74</v>
      </c>
      <c r="AR394" t="s">
        <v>7706</v>
      </c>
      <c r="AS394" t="s">
        <v>7707</v>
      </c>
      <c r="AT394" t="s">
        <v>7655</v>
      </c>
      <c r="AU394">
        <v>2023</v>
      </c>
      <c r="AV394" t="s">
        <v>74</v>
      </c>
      <c r="AW394" t="s">
        <v>74</v>
      </c>
      <c r="AX394" t="s">
        <v>74</v>
      </c>
      <c r="AY394" t="s">
        <v>74</v>
      </c>
      <c r="AZ394" t="s">
        <v>74</v>
      </c>
      <c r="BA394" t="s">
        <v>74</v>
      </c>
      <c r="BB394" t="s">
        <v>74</v>
      </c>
      <c r="BC394" t="s">
        <v>74</v>
      </c>
      <c r="BD394" t="s">
        <v>74</v>
      </c>
      <c r="BE394" t="s">
        <v>7708</v>
      </c>
      <c r="BF394" t="str">
        <f>HYPERLINK("http://dx.doi.org/10.1007/s10895-023-03422","http://dx.doi.org/10.1007/s10895-023-03422")</f>
        <v>http://dx.doi.org/10.1007/s10895-023-03422</v>
      </c>
      <c r="BG394" t="s">
        <v>74</v>
      </c>
      <c r="BH394" t="s">
        <v>2079</v>
      </c>
      <c r="BI394">
        <v>9</v>
      </c>
      <c r="BJ394" t="s">
        <v>7709</v>
      </c>
      <c r="BK394" t="s">
        <v>126</v>
      </c>
      <c r="BL394" t="s">
        <v>7710</v>
      </c>
      <c r="BM394" t="s">
        <v>7711</v>
      </c>
      <c r="BN394" t="s">
        <v>74</v>
      </c>
      <c r="BO394" t="s">
        <v>74</v>
      </c>
      <c r="BP394" t="s">
        <v>74</v>
      </c>
      <c r="BQ394" t="s">
        <v>74</v>
      </c>
      <c r="BR394" t="s">
        <v>99</v>
      </c>
      <c r="BS394" t="s">
        <v>7712</v>
      </c>
      <c r="BT394" t="str">
        <f>HYPERLINK("https%3A%2F%2Fwww.webofscience.com%2Fwos%2Fwoscc%2Ffull-record%2FWOS:001061906800002","View Full Record in Web of Science")</f>
        <v>View Full Record in Web of Science</v>
      </c>
    </row>
    <row r="395" spans="1:72" x14ac:dyDescent="0.15">
      <c r="A395" t="s">
        <v>72</v>
      </c>
      <c r="B395" t="s">
        <v>7713</v>
      </c>
      <c r="C395" t="s">
        <v>74</v>
      </c>
      <c r="D395" t="s">
        <v>74</v>
      </c>
      <c r="E395" t="s">
        <v>74</v>
      </c>
      <c r="F395" t="s">
        <v>7714</v>
      </c>
      <c r="G395" t="s">
        <v>74</v>
      </c>
      <c r="H395" t="s">
        <v>74</v>
      </c>
      <c r="I395" t="s">
        <v>7715</v>
      </c>
      <c r="J395" t="s">
        <v>7716</v>
      </c>
      <c r="K395" t="s">
        <v>74</v>
      </c>
      <c r="L395" t="s">
        <v>74</v>
      </c>
      <c r="M395" t="s">
        <v>78</v>
      </c>
      <c r="N395" t="s">
        <v>79</v>
      </c>
      <c r="O395" t="s">
        <v>74</v>
      </c>
      <c r="P395" t="s">
        <v>74</v>
      </c>
      <c r="Q395" t="s">
        <v>74</v>
      </c>
      <c r="R395" t="s">
        <v>74</v>
      </c>
      <c r="S395" t="s">
        <v>74</v>
      </c>
      <c r="T395" t="s">
        <v>7717</v>
      </c>
      <c r="U395" t="s">
        <v>7718</v>
      </c>
      <c r="V395" t="s">
        <v>7719</v>
      </c>
      <c r="W395" t="s">
        <v>7720</v>
      </c>
      <c r="X395" t="s">
        <v>7721</v>
      </c>
      <c r="Y395" t="s">
        <v>7722</v>
      </c>
      <c r="Z395" t="s">
        <v>7723</v>
      </c>
      <c r="AA395" t="s">
        <v>74</v>
      </c>
      <c r="AB395" t="s">
        <v>74</v>
      </c>
      <c r="AC395" t="s">
        <v>7724</v>
      </c>
      <c r="AD395" t="s">
        <v>7725</v>
      </c>
      <c r="AE395" t="s">
        <v>7726</v>
      </c>
      <c r="AF395" t="s">
        <v>74</v>
      </c>
      <c r="AG395">
        <v>80</v>
      </c>
      <c r="AH395">
        <v>0</v>
      </c>
      <c r="AI395">
        <v>0</v>
      </c>
      <c r="AJ395">
        <v>0</v>
      </c>
      <c r="AK395">
        <v>0</v>
      </c>
      <c r="AL395" t="s">
        <v>443</v>
      </c>
      <c r="AM395" t="s">
        <v>245</v>
      </c>
      <c r="AN395" t="s">
        <v>444</v>
      </c>
      <c r="AO395" t="s">
        <v>7727</v>
      </c>
      <c r="AP395" t="s">
        <v>74</v>
      </c>
      <c r="AQ395" t="s">
        <v>74</v>
      </c>
      <c r="AR395" t="s">
        <v>7716</v>
      </c>
      <c r="AS395" t="s">
        <v>7728</v>
      </c>
      <c r="AT395" t="s">
        <v>7686</v>
      </c>
      <c r="AU395">
        <v>2023</v>
      </c>
      <c r="AV395">
        <v>24</v>
      </c>
      <c r="AW395">
        <v>1</v>
      </c>
      <c r="AX395" t="s">
        <v>74</v>
      </c>
      <c r="AY395" t="s">
        <v>74</v>
      </c>
      <c r="AZ395" t="s">
        <v>74</v>
      </c>
      <c r="BA395" t="s">
        <v>74</v>
      </c>
      <c r="BB395" t="s">
        <v>74</v>
      </c>
      <c r="BC395" t="s">
        <v>74</v>
      </c>
      <c r="BD395">
        <v>520</v>
      </c>
      <c r="BE395" t="s">
        <v>7729</v>
      </c>
      <c r="BF395" t="str">
        <f>HYPERLINK("http://dx.doi.org/10.1186/s12864-023-09627-4","http://dx.doi.org/10.1186/s12864-023-09627-4")</f>
        <v>http://dx.doi.org/10.1186/s12864-023-09627-4</v>
      </c>
      <c r="BG395" t="s">
        <v>74</v>
      </c>
      <c r="BH395" t="s">
        <v>74</v>
      </c>
      <c r="BI395">
        <v>12</v>
      </c>
      <c r="BJ395" t="s">
        <v>4881</v>
      </c>
      <c r="BK395" t="s">
        <v>126</v>
      </c>
      <c r="BL395" t="s">
        <v>4881</v>
      </c>
      <c r="BM395" t="s">
        <v>7730</v>
      </c>
      <c r="BN395">
        <v>37667205</v>
      </c>
      <c r="BO395" t="s">
        <v>302</v>
      </c>
      <c r="BP395" t="s">
        <v>74</v>
      </c>
      <c r="BQ395" t="s">
        <v>74</v>
      </c>
      <c r="BR395" t="s">
        <v>99</v>
      </c>
      <c r="BS395" t="s">
        <v>7731</v>
      </c>
      <c r="BT395" t="str">
        <f>HYPERLINK("https%3A%2F%2Fwww.webofscience.com%2Fwos%2Fwoscc%2Ffull-record%2FWOS:001062997800002","View Full Record in Web of Science")</f>
        <v>View Full Record in Web of Science</v>
      </c>
    </row>
    <row r="396" spans="1:72" x14ac:dyDescent="0.15">
      <c r="A396" t="s">
        <v>72</v>
      </c>
      <c r="B396" t="s">
        <v>7732</v>
      </c>
      <c r="C396" t="s">
        <v>74</v>
      </c>
      <c r="D396" t="s">
        <v>74</v>
      </c>
      <c r="E396" t="s">
        <v>74</v>
      </c>
      <c r="F396" t="s">
        <v>7733</v>
      </c>
      <c r="G396" t="s">
        <v>74</v>
      </c>
      <c r="H396" t="s">
        <v>74</v>
      </c>
      <c r="I396" t="s">
        <v>7734</v>
      </c>
      <c r="J396" t="s">
        <v>7693</v>
      </c>
      <c r="K396" t="s">
        <v>74</v>
      </c>
      <c r="L396" t="s">
        <v>74</v>
      </c>
      <c r="M396" t="s">
        <v>78</v>
      </c>
      <c r="N396" t="s">
        <v>1246</v>
      </c>
      <c r="O396" t="s">
        <v>74</v>
      </c>
      <c r="P396" t="s">
        <v>74</v>
      </c>
      <c r="Q396" t="s">
        <v>74</v>
      </c>
      <c r="R396" t="s">
        <v>74</v>
      </c>
      <c r="S396" t="s">
        <v>74</v>
      </c>
      <c r="T396" t="s">
        <v>7735</v>
      </c>
      <c r="U396" t="s">
        <v>7736</v>
      </c>
      <c r="V396" t="s">
        <v>7737</v>
      </c>
      <c r="W396" t="s">
        <v>7738</v>
      </c>
      <c r="X396" t="s">
        <v>7739</v>
      </c>
      <c r="Y396" t="s">
        <v>7740</v>
      </c>
      <c r="Z396" t="s">
        <v>7741</v>
      </c>
      <c r="AA396" t="s">
        <v>74</v>
      </c>
      <c r="AB396" t="s">
        <v>74</v>
      </c>
      <c r="AC396" t="s">
        <v>7742</v>
      </c>
      <c r="AD396" t="s">
        <v>7743</v>
      </c>
      <c r="AE396" t="s">
        <v>7744</v>
      </c>
      <c r="AF396" t="s">
        <v>74</v>
      </c>
      <c r="AG396">
        <v>26</v>
      </c>
      <c r="AH396">
        <v>0</v>
      </c>
      <c r="AI396">
        <v>0</v>
      </c>
      <c r="AJ396">
        <v>0</v>
      </c>
      <c r="AK396">
        <v>0</v>
      </c>
      <c r="AL396" t="s">
        <v>269</v>
      </c>
      <c r="AM396" t="s">
        <v>118</v>
      </c>
      <c r="AN396" t="s">
        <v>270</v>
      </c>
      <c r="AO396" t="s">
        <v>7704</v>
      </c>
      <c r="AP396" t="s">
        <v>7705</v>
      </c>
      <c r="AQ396" t="s">
        <v>74</v>
      </c>
      <c r="AR396" t="s">
        <v>7706</v>
      </c>
      <c r="AS396" t="s">
        <v>7707</v>
      </c>
      <c r="AT396" t="s">
        <v>7655</v>
      </c>
      <c r="AU396">
        <v>2023</v>
      </c>
      <c r="AV396" t="s">
        <v>74</v>
      </c>
      <c r="AW396" t="s">
        <v>74</v>
      </c>
      <c r="AX396" t="s">
        <v>74</v>
      </c>
      <c r="AY396" t="s">
        <v>74</v>
      </c>
      <c r="AZ396" t="s">
        <v>74</v>
      </c>
      <c r="BA396" t="s">
        <v>74</v>
      </c>
      <c r="BB396" t="s">
        <v>74</v>
      </c>
      <c r="BC396" t="s">
        <v>74</v>
      </c>
      <c r="BD396" t="s">
        <v>74</v>
      </c>
      <c r="BE396" t="s">
        <v>7745</v>
      </c>
      <c r="BF396" t="str">
        <f>HYPERLINK("http://dx.doi.org/10.1007/s10895-023-03413","http://dx.doi.org/10.1007/s10895-023-03413")</f>
        <v>http://dx.doi.org/10.1007/s10895-023-03413</v>
      </c>
      <c r="BG396" t="s">
        <v>74</v>
      </c>
      <c r="BH396" t="s">
        <v>2079</v>
      </c>
      <c r="BI396">
        <v>8</v>
      </c>
      <c r="BJ396" t="s">
        <v>7709</v>
      </c>
      <c r="BK396" t="s">
        <v>126</v>
      </c>
      <c r="BL396" t="s">
        <v>7710</v>
      </c>
      <c r="BM396" t="s">
        <v>7711</v>
      </c>
      <c r="BN396" t="s">
        <v>74</v>
      </c>
      <c r="BO396" t="s">
        <v>74</v>
      </c>
      <c r="BP396" t="s">
        <v>74</v>
      </c>
      <c r="BQ396" t="s">
        <v>74</v>
      </c>
      <c r="BR396" t="s">
        <v>99</v>
      </c>
      <c r="BS396" t="s">
        <v>7746</v>
      </c>
      <c r="BT396" t="str">
        <f>HYPERLINK("https%3A%2F%2Fwww.webofscience.com%2Fwos%2Fwoscc%2Ffull-record%2FWOS:001061906800005","View Full Record in Web of Science")</f>
        <v>View Full Record in Web of Science</v>
      </c>
    </row>
    <row r="397" spans="1:72" x14ac:dyDescent="0.15">
      <c r="A397" t="s">
        <v>72</v>
      </c>
      <c r="B397" t="s">
        <v>7747</v>
      </c>
      <c r="C397" t="s">
        <v>74</v>
      </c>
      <c r="D397" t="s">
        <v>74</v>
      </c>
      <c r="E397" t="s">
        <v>74</v>
      </c>
      <c r="F397" t="s">
        <v>7748</v>
      </c>
      <c r="G397" t="s">
        <v>74</v>
      </c>
      <c r="H397" t="s">
        <v>74</v>
      </c>
      <c r="I397" t="s">
        <v>7749</v>
      </c>
      <c r="J397" t="s">
        <v>7750</v>
      </c>
      <c r="K397" t="s">
        <v>74</v>
      </c>
      <c r="L397" t="s">
        <v>74</v>
      </c>
      <c r="M397" t="s">
        <v>78</v>
      </c>
      <c r="N397" t="s">
        <v>1246</v>
      </c>
      <c r="O397" t="s">
        <v>74</v>
      </c>
      <c r="P397" t="s">
        <v>74</v>
      </c>
      <c r="Q397" t="s">
        <v>74</v>
      </c>
      <c r="R397" t="s">
        <v>74</v>
      </c>
      <c r="S397" t="s">
        <v>74</v>
      </c>
      <c r="T397" t="s">
        <v>7751</v>
      </c>
      <c r="U397" t="s">
        <v>7752</v>
      </c>
      <c r="V397" t="s">
        <v>7753</v>
      </c>
      <c r="W397" t="s">
        <v>7754</v>
      </c>
      <c r="X397" t="s">
        <v>7755</v>
      </c>
      <c r="Y397" t="s">
        <v>7756</v>
      </c>
      <c r="Z397" t="s">
        <v>7757</v>
      </c>
      <c r="AA397" t="s">
        <v>74</v>
      </c>
      <c r="AB397" t="s">
        <v>74</v>
      </c>
      <c r="AC397" t="s">
        <v>74</v>
      </c>
      <c r="AD397" t="s">
        <v>74</v>
      </c>
      <c r="AE397" t="s">
        <v>74</v>
      </c>
      <c r="AF397" t="s">
        <v>74</v>
      </c>
      <c r="AG397">
        <v>43</v>
      </c>
      <c r="AH397">
        <v>0</v>
      </c>
      <c r="AI397">
        <v>0</v>
      </c>
      <c r="AJ397">
        <v>1</v>
      </c>
      <c r="AK397">
        <v>1</v>
      </c>
      <c r="AL397" t="s">
        <v>117</v>
      </c>
      <c r="AM397" t="s">
        <v>118</v>
      </c>
      <c r="AN397" t="s">
        <v>119</v>
      </c>
      <c r="AO397" t="s">
        <v>7758</v>
      </c>
      <c r="AP397" t="s">
        <v>7759</v>
      </c>
      <c r="AQ397" t="s">
        <v>74</v>
      </c>
      <c r="AR397" t="s">
        <v>7760</v>
      </c>
      <c r="AS397" t="s">
        <v>7761</v>
      </c>
      <c r="AT397" t="s">
        <v>7655</v>
      </c>
      <c r="AU397">
        <v>2023</v>
      </c>
      <c r="AV397" t="s">
        <v>74</v>
      </c>
      <c r="AW397" t="s">
        <v>74</v>
      </c>
      <c r="AX397" t="s">
        <v>74</v>
      </c>
      <c r="AY397" t="s">
        <v>74</v>
      </c>
      <c r="AZ397" t="s">
        <v>74</v>
      </c>
      <c r="BA397" t="s">
        <v>74</v>
      </c>
      <c r="BB397" t="s">
        <v>74</v>
      </c>
      <c r="BC397" t="s">
        <v>74</v>
      </c>
      <c r="BD397" t="s">
        <v>74</v>
      </c>
      <c r="BE397" t="s">
        <v>7762</v>
      </c>
      <c r="BF397" t="str">
        <f>HYPERLINK("http://dx.doi.org/10.1007/s00330-023-10100-9","http://dx.doi.org/10.1007/s00330-023-10100-9")</f>
        <v>http://dx.doi.org/10.1007/s00330-023-10100-9</v>
      </c>
      <c r="BG397" t="s">
        <v>74</v>
      </c>
      <c r="BH397" t="s">
        <v>2079</v>
      </c>
      <c r="BI397">
        <v>12</v>
      </c>
      <c r="BJ397" t="s">
        <v>2396</v>
      </c>
      <c r="BK397" t="s">
        <v>126</v>
      </c>
      <c r="BL397" t="s">
        <v>2396</v>
      </c>
      <c r="BM397" t="s">
        <v>7763</v>
      </c>
      <c r="BN397">
        <v>37665392</v>
      </c>
      <c r="BO397" t="s">
        <v>183</v>
      </c>
      <c r="BP397" t="s">
        <v>74</v>
      </c>
      <c r="BQ397" t="s">
        <v>74</v>
      </c>
      <c r="BR397" t="s">
        <v>99</v>
      </c>
      <c r="BS397" t="s">
        <v>7764</v>
      </c>
      <c r="BT397" t="str">
        <f>HYPERLINK("https%3A%2F%2Fwww.webofscience.com%2Fwos%2Fwoscc%2Ffull-record%2FWOS:001061890500001","View Full Record in Web of Science")</f>
        <v>View Full Record in Web of Science</v>
      </c>
    </row>
    <row r="398" spans="1:72" x14ac:dyDescent="0.15">
      <c r="A398" t="s">
        <v>72</v>
      </c>
      <c r="B398" t="s">
        <v>7765</v>
      </c>
      <c r="C398" t="s">
        <v>74</v>
      </c>
      <c r="D398" t="s">
        <v>74</v>
      </c>
      <c r="E398" t="s">
        <v>74</v>
      </c>
      <c r="F398" t="s">
        <v>7766</v>
      </c>
      <c r="G398" t="s">
        <v>74</v>
      </c>
      <c r="H398" t="s">
        <v>74</v>
      </c>
      <c r="I398" t="s">
        <v>7767</v>
      </c>
      <c r="J398" t="s">
        <v>6851</v>
      </c>
      <c r="K398" t="s">
        <v>74</v>
      </c>
      <c r="L398" t="s">
        <v>74</v>
      </c>
      <c r="M398" t="s">
        <v>78</v>
      </c>
      <c r="N398" t="s">
        <v>1246</v>
      </c>
      <c r="O398" t="s">
        <v>74</v>
      </c>
      <c r="P398" t="s">
        <v>74</v>
      </c>
      <c r="Q398" t="s">
        <v>74</v>
      </c>
      <c r="R398" t="s">
        <v>74</v>
      </c>
      <c r="S398" t="s">
        <v>74</v>
      </c>
      <c r="T398" t="s">
        <v>7768</v>
      </c>
      <c r="U398" t="s">
        <v>7769</v>
      </c>
      <c r="V398" t="s">
        <v>7770</v>
      </c>
      <c r="W398" t="s">
        <v>7771</v>
      </c>
      <c r="X398" t="s">
        <v>7772</v>
      </c>
      <c r="Y398" t="s">
        <v>7773</v>
      </c>
      <c r="Z398" t="s">
        <v>7774</v>
      </c>
      <c r="AA398" t="s">
        <v>74</v>
      </c>
      <c r="AB398" t="s">
        <v>74</v>
      </c>
      <c r="AC398" t="s">
        <v>74</v>
      </c>
      <c r="AD398" t="s">
        <v>74</v>
      </c>
      <c r="AE398" t="s">
        <v>74</v>
      </c>
      <c r="AF398" t="s">
        <v>74</v>
      </c>
      <c r="AG398">
        <v>26</v>
      </c>
      <c r="AH398">
        <v>0</v>
      </c>
      <c r="AI398">
        <v>0</v>
      </c>
      <c r="AJ398">
        <v>0</v>
      </c>
      <c r="AK398">
        <v>0</v>
      </c>
      <c r="AL398" t="s">
        <v>117</v>
      </c>
      <c r="AM398" t="s">
        <v>118</v>
      </c>
      <c r="AN398" t="s">
        <v>119</v>
      </c>
      <c r="AO398" t="s">
        <v>6862</v>
      </c>
      <c r="AP398" t="s">
        <v>6863</v>
      </c>
      <c r="AQ398" t="s">
        <v>74</v>
      </c>
      <c r="AR398" t="s">
        <v>6864</v>
      </c>
      <c r="AS398" t="s">
        <v>6865</v>
      </c>
      <c r="AT398" t="s">
        <v>7655</v>
      </c>
      <c r="AU398">
        <v>2023</v>
      </c>
      <c r="AV398" t="s">
        <v>74</v>
      </c>
      <c r="AW398" t="s">
        <v>74</v>
      </c>
      <c r="AX398" t="s">
        <v>74</v>
      </c>
      <c r="AY398" t="s">
        <v>74</v>
      </c>
      <c r="AZ398" t="s">
        <v>74</v>
      </c>
      <c r="BA398" t="s">
        <v>74</v>
      </c>
      <c r="BB398" t="s">
        <v>74</v>
      </c>
      <c r="BC398" t="s">
        <v>74</v>
      </c>
      <c r="BD398" t="s">
        <v>74</v>
      </c>
      <c r="BE398" t="s">
        <v>7775</v>
      </c>
      <c r="BF398" t="str">
        <f>HYPERLINK("http://dx.doi.org/10.1007/s00432-023-05351-4","http://dx.doi.org/10.1007/s00432-023-05351-4")</f>
        <v>http://dx.doi.org/10.1007/s00432-023-05351-4</v>
      </c>
      <c r="BG398" t="s">
        <v>74</v>
      </c>
      <c r="BH398" t="s">
        <v>2079</v>
      </c>
      <c r="BI398">
        <v>10</v>
      </c>
      <c r="BJ398" t="s">
        <v>1951</v>
      </c>
      <c r="BK398" t="s">
        <v>126</v>
      </c>
      <c r="BL398" t="s">
        <v>1951</v>
      </c>
      <c r="BM398" t="s">
        <v>7776</v>
      </c>
      <c r="BN398">
        <v>37665405</v>
      </c>
      <c r="BO398" t="s">
        <v>74</v>
      </c>
      <c r="BP398" t="s">
        <v>74</v>
      </c>
      <c r="BQ398" t="s">
        <v>74</v>
      </c>
      <c r="BR398" t="s">
        <v>99</v>
      </c>
      <c r="BS398" t="s">
        <v>7777</v>
      </c>
      <c r="BT398" t="str">
        <f>HYPERLINK("https%3A%2F%2Fwww.webofscience.com%2Fwos%2Fwoscc%2Ffull-record%2FWOS:001058317400001","View Full Record in Web of Science")</f>
        <v>View Full Record in Web of Science</v>
      </c>
    </row>
    <row r="399" spans="1:72" x14ac:dyDescent="0.15">
      <c r="A399" t="s">
        <v>72</v>
      </c>
      <c r="B399" t="s">
        <v>7778</v>
      </c>
      <c r="C399" t="s">
        <v>74</v>
      </c>
      <c r="D399" t="s">
        <v>74</v>
      </c>
      <c r="E399" t="s">
        <v>74</v>
      </c>
      <c r="F399" t="s">
        <v>7779</v>
      </c>
      <c r="G399" t="s">
        <v>74</v>
      </c>
      <c r="H399" t="s">
        <v>74</v>
      </c>
      <c r="I399" t="s">
        <v>7780</v>
      </c>
      <c r="J399" t="s">
        <v>3562</v>
      </c>
      <c r="K399" t="s">
        <v>74</v>
      </c>
      <c r="L399" t="s">
        <v>74</v>
      </c>
      <c r="M399" t="s">
        <v>78</v>
      </c>
      <c r="N399" t="s">
        <v>79</v>
      </c>
      <c r="O399" t="s">
        <v>74</v>
      </c>
      <c r="P399" t="s">
        <v>74</v>
      </c>
      <c r="Q399" t="s">
        <v>74</v>
      </c>
      <c r="R399" t="s">
        <v>74</v>
      </c>
      <c r="S399" t="s">
        <v>74</v>
      </c>
      <c r="T399" t="s">
        <v>7781</v>
      </c>
      <c r="U399" t="s">
        <v>74</v>
      </c>
      <c r="V399" t="s">
        <v>7782</v>
      </c>
      <c r="W399" t="s">
        <v>7783</v>
      </c>
      <c r="X399" t="s">
        <v>7784</v>
      </c>
      <c r="Y399" t="s">
        <v>7785</v>
      </c>
      <c r="Z399" t="s">
        <v>7786</v>
      </c>
      <c r="AA399" t="s">
        <v>74</v>
      </c>
      <c r="AB399" t="s">
        <v>74</v>
      </c>
      <c r="AC399" t="s">
        <v>7787</v>
      </c>
      <c r="AD399" t="s">
        <v>7787</v>
      </c>
      <c r="AE399" t="s">
        <v>7788</v>
      </c>
      <c r="AF399" t="s">
        <v>74</v>
      </c>
      <c r="AG399">
        <v>59</v>
      </c>
      <c r="AH399">
        <v>0</v>
      </c>
      <c r="AI399">
        <v>0</v>
      </c>
      <c r="AJ399">
        <v>0</v>
      </c>
      <c r="AK399">
        <v>0</v>
      </c>
      <c r="AL399" t="s">
        <v>443</v>
      </c>
      <c r="AM399" t="s">
        <v>245</v>
      </c>
      <c r="AN399" t="s">
        <v>444</v>
      </c>
      <c r="AO399" t="s">
        <v>3570</v>
      </c>
      <c r="AP399" t="s">
        <v>74</v>
      </c>
      <c r="AQ399" t="s">
        <v>74</v>
      </c>
      <c r="AR399" t="s">
        <v>3571</v>
      </c>
      <c r="AS399" t="s">
        <v>3572</v>
      </c>
      <c r="AT399" t="s">
        <v>7686</v>
      </c>
      <c r="AU399">
        <v>2023</v>
      </c>
      <c r="AV399">
        <v>23</v>
      </c>
      <c r="AW399">
        <v>1</v>
      </c>
      <c r="AX399" t="s">
        <v>74</v>
      </c>
      <c r="AY399" t="s">
        <v>74</v>
      </c>
      <c r="AZ399" t="s">
        <v>74</v>
      </c>
      <c r="BA399" t="s">
        <v>74</v>
      </c>
      <c r="BB399" t="s">
        <v>74</v>
      </c>
      <c r="BC399" t="s">
        <v>74</v>
      </c>
      <c r="BD399">
        <v>296</v>
      </c>
      <c r="BE399" t="s">
        <v>7789</v>
      </c>
      <c r="BF399" t="str">
        <f>HYPERLINK("http://dx.doi.org/10.1186/s12871-023-02248-0","http://dx.doi.org/10.1186/s12871-023-02248-0")</f>
        <v>http://dx.doi.org/10.1186/s12871-023-02248-0</v>
      </c>
      <c r="BG399" t="s">
        <v>74</v>
      </c>
      <c r="BH399" t="s">
        <v>74</v>
      </c>
      <c r="BI399">
        <v>16</v>
      </c>
      <c r="BJ399" t="s">
        <v>3574</v>
      </c>
      <c r="BK399" t="s">
        <v>126</v>
      </c>
      <c r="BL399" t="s">
        <v>3574</v>
      </c>
      <c r="BM399" t="s">
        <v>7790</v>
      </c>
      <c r="BN399">
        <v>37667258</v>
      </c>
      <c r="BO399" t="s">
        <v>3356</v>
      </c>
      <c r="BP399" t="s">
        <v>74</v>
      </c>
      <c r="BQ399" t="s">
        <v>74</v>
      </c>
      <c r="BR399" t="s">
        <v>99</v>
      </c>
      <c r="BS399" t="s">
        <v>7791</v>
      </c>
      <c r="BT399" t="str">
        <f>HYPERLINK("https%3A%2F%2Fwww.webofscience.com%2Fwos%2Fwoscc%2Ffull-record%2FWOS:001061910600001","View Full Record in Web of Science")</f>
        <v>View Full Record in Web of Science</v>
      </c>
    </row>
    <row r="400" spans="1:72" x14ac:dyDescent="0.15">
      <c r="A400" t="s">
        <v>72</v>
      </c>
      <c r="B400" t="s">
        <v>7792</v>
      </c>
      <c r="C400" t="s">
        <v>74</v>
      </c>
      <c r="D400" t="s">
        <v>74</v>
      </c>
      <c r="E400" t="s">
        <v>74</v>
      </c>
      <c r="F400" t="s">
        <v>7793</v>
      </c>
      <c r="G400" t="s">
        <v>74</v>
      </c>
      <c r="H400" t="s">
        <v>74</v>
      </c>
      <c r="I400" t="s">
        <v>7794</v>
      </c>
      <c r="J400" t="s">
        <v>7795</v>
      </c>
      <c r="K400" t="s">
        <v>74</v>
      </c>
      <c r="L400" t="s">
        <v>74</v>
      </c>
      <c r="M400" t="s">
        <v>78</v>
      </c>
      <c r="N400" t="s">
        <v>79</v>
      </c>
      <c r="O400" t="s">
        <v>74</v>
      </c>
      <c r="P400" t="s">
        <v>74</v>
      </c>
      <c r="Q400" t="s">
        <v>74</v>
      </c>
      <c r="R400" t="s">
        <v>74</v>
      </c>
      <c r="S400" t="s">
        <v>74</v>
      </c>
      <c r="T400" t="s">
        <v>7796</v>
      </c>
      <c r="U400" t="s">
        <v>74</v>
      </c>
      <c r="V400" t="s">
        <v>7797</v>
      </c>
      <c r="W400" t="s">
        <v>7798</v>
      </c>
      <c r="X400" t="s">
        <v>3535</v>
      </c>
      <c r="Y400" t="s">
        <v>7799</v>
      </c>
      <c r="Z400" t="s">
        <v>7800</v>
      </c>
      <c r="AA400" t="s">
        <v>74</v>
      </c>
      <c r="AB400" t="s">
        <v>74</v>
      </c>
      <c r="AC400" t="s">
        <v>7801</v>
      </c>
      <c r="AD400" t="s">
        <v>7802</v>
      </c>
      <c r="AE400" t="s">
        <v>7803</v>
      </c>
      <c r="AF400" t="s">
        <v>74</v>
      </c>
      <c r="AG400">
        <v>22</v>
      </c>
      <c r="AH400">
        <v>0</v>
      </c>
      <c r="AI400">
        <v>0</v>
      </c>
      <c r="AJ400">
        <v>1</v>
      </c>
      <c r="AK400">
        <v>1</v>
      </c>
      <c r="AL400" t="s">
        <v>117</v>
      </c>
      <c r="AM400" t="s">
        <v>118</v>
      </c>
      <c r="AN400" t="s">
        <v>119</v>
      </c>
      <c r="AO400" t="s">
        <v>7804</v>
      </c>
      <c r="AP400" t="s">
        <v>7805</v>
      </c>
      <c r="AQ400" t="s">
        <v>74</v>
      </c>
      <c r="AR400" t="s">
        <v>7806</v>
      </c>
      <c r="AS400" t="s">
        <v>7807</v>
      </c>
      <c r="AT400" t="s">
        <v>7686</v>
      </c>
      <c r="AU400">
        <v>2023</v>
      </c>
      <c r="AV400">
        <v>42</v>
      </c>
      <c r="AW400">
        <v>2</v>
      </c>
      <c r="AX400" t="s">
        <v>74</v>
      </c>
      <c r="AY400" t="s">
        <v>74</v>
      </c>
      <c r="AZ400" t="s">
        <v>74</v>
      </c>
      <c r="BA400" t="s">
        <v>74</v>
      </c>
      <c r="BB400" t="s">
        <v>74</v>
      </c>
      <c r="BC400" t="s">
        <v>74</v>
      </c>
      <c r="BD400">
        <v>45</v>
      </c>
      <c r="BE400" t="s">
        <v>7808</v>
      </c>
      <c r="BF400" t="str">
        <f>HYPERLINK("http://dx.doi.org/10.1007/s10894-023-00373-9","http://dx.doi.org/10.1007/s10894-023-00373-9")</f>
        <v>http://dx.doi.org/10.1007/s10894-023-00373-9</v>
      </c>
      <c r="BG400" t="s">
        <v>74</v>
      </c>
      <c r="BH400" t="s">
        <v>74</v>
      </c>
      <c r="BI400">
        <v>12</v>
      </c>
      <c r="BJ400" t="s">
        <v>7809</v>
      </c>
      <c r="BK400" t="s">
        <v>126</v>
      </c>
      <c r="BL400" t="s">
        <v>7809</v>
      </c>
      <c r="BM400" t="s">
        <v>7810</v>
      </c>
      <c r="BN400" t="s">
        <v>74</v>
      </c>
      <c r="BO400" t="s">
        <v>183</v>
      </c>
      <c r="BP400" t="s">
        <v>74</v>
      </c>
      <c r="BQ400" t="s">
        <v>74</v>
      </c>
      <c r="BR400" t="s">
        <v>99</v>
      </c>
      <c r="BS400" t="s">
        <v>7811</v>
      </c>
      <c r="BT400" t="str">
        <f>HYPERLINK("https%3A%2F%2Fwww.webofscience.com%2Fwos%2Fwoscc%2Ffull-record%2FWOS:001059084700001","View Full Record in Web of Science")</f>
        <v>View Full Record in Web of Science</v>
      </c>
    </row>
    <row r="401" spans="1:72" x14ac:dyDescent="0.15">
      <c r="A401" t="s">
        <v>72</v>
      </c>
      <c r="B401" t="s">
        <v>7812</v>
      </c>
      <c r="C401" t="s">
        <v>74</v>
      </c>
      <c r="D401" t="s">
        <v>74</v>
      </c>
      <c r="E401" t="s">
        <v>74</v>
      </c>
      <c r="F401" t="s">
        <v>7813</v>
      </c>
      <c r="G401" t="s">
        <v>74</v>
      </c>
      <c r="H401" t="s">
        <v>74</v>
      </c>
      <c r="I401" t="s">
        <v>7814</v>
      </c>
      <c r="J401" t="s">
        <v>7815</v>
      </c>
      <c r="K401" t="s">
        <v>74</v>
      </c>
      <c r="L401" t="s">
        <v>74</v>
      </c>
      <c r="M401" t="s">
        <v>78</v>
      </c>
      <c r="N401" t="s">
        <v>1246</v>
      </c>
      <c r="O401" t="s">
        <v>74</v>
      </c>
      <c r="P401" t="s">
        <v>74</v>
      </c>
      <c r="Q401" t="s">
        <v>74</v>
      </c>
      <c r="R401" t="s">
        <v>74</v>
      </c>
      <c r="S401" t="s">
        <v>74</v>
      </c>
      <c r="T401" t="s">
        <v>7816</v>
      </c>
      <c r="U401" t="s">
        <v>74</v>
      </c>
      <c r="V401" t="s">
        <v>7817</v>
      </c>
      <c r="W401" t="s">
        <v>7818</v>
      </c>
      <c r="X401" t="s">
        <v>7819</v>
      </c>
      <c r="Y401" t="s">
        <v>7820</v>
      </c>
      <c r="Z401" t="s">
        <v>7821</v>
      </c>
      <c r="AA401" t="s">
        <v>74</v>
      </c>
      <c r="AB401" t="s">
        <v>74</v>
      </c>
      <c r="AC401" t="s">
        <v>74</v>
      </c>
      <c r="AD401" t="s">
        <v>74</v>
      </c>
      <c r="AE401" t="s">
        <v>74</v>
      </c>
      <c r="AF401" t="s">
        <v>74</v>
      </c>
      <c r="AG401">
        <v>18</v>
      </c>
      <c r="AH401">
        <v>0</v>
      </c>
      <c r="AI401">
        <v>0</v>
      </c>
      <c r="AJ401">
        <v>0</v>
      </c>
      <c r="AK401">
        <v>0</v>
      </c>
      <c r="AL401" t="s">
        <v>117</v>
      </c>
      <c r="AM401" t="s">
        <v>627</v>
      </c>
      <c r="AN401" t="s">
        <v>628</v>
      </c>
      <c r="AO401" t="s">
        <v>7822</v>
      </c>
      <c r="AP401" t="s">
        <v>7823</v>
      </c>
      <c r="AQ401" t="s">
        <v>74</v>
      </c>
      <c r="AR401" t="s">
        <v>7824</v>
      </c>
      <c r="AS401" t="s">
        <v>7825</v>
      </c>
      <c r="AT401" t="s">
        <v>7655</v>
      </c>
      <c r="AU401">
        <v>2023</v>
      </c>
      <c r="AV401" t="s">
        <v>74</v>
      </c>
      <c r="AW401" t="s">
        <v>74</v>
      </c>
      <c r="AX401" t="s">
        <v>74</v>
      </c>
      <c r="AY401" t="s">
        <v>74</v>
      </c>
      <c r="AZ401" t="s">
        <v>74</v>
      </c>
      <c r="BA401" t="s">
        <v>74</v>
      </c>
      <c r="BB401" t="s">
        <v>74</v>
      </c>
      <c r="BC401" t="s">
        <v>74</v>
      </c>
      <c r="BD401" t="s">
        <v>74</v>
      </c>
      <c r="BE401" t="s">
        <v>7826</v>
      </c>
      <c r="BF401" t="str">
        <f>HYPERLINK("http://dx.doi.org/10.1007/s11118-023-10095-4","http://dx.doi.org/10.1007/s11118-023-10095-4")</f>
        <v>http://dx.doi.org/10.1007/s11118-023-10095-4</v>
      </c>
      <c r="BG401" t="s">
        <v>74</v>
      </c>
      <c r="BH401" t="s">
        <v>2079</v>
      </c>
      <c r="BI401">
        <v>16</v>
      </c>
      <c r="BJ401" t="s">
        <v>228</v>
      </c>
      <c r="BK401" t="s">
        <v>126</v>
      </c>
      <c r="BL401" t="s">
        <v>228</v>
      </c>
      <c r="BM401" t="s">
        <v>7827</v>
      </c>
      <c r="BN401" t="s">
        <v>74</v>
      </c>
      <c r="BO401" t="s">
        <v>327</v>
      </c>
      <c r="BP401" t="s">
        <v>74</v>
      </c>
      <c r="BQ401" t="s">
        <v>74</v>
      </c>
      <c r="BR401" t="s">
        <v>99</v>
      </c>
      <c r="BS401" t="s">
        <v>7828</v>
      </c>
      <c r="BT401" t="str">
        <f>HYPERLINK("https%3A%2F%2Fwww.webofscience.com%2Fwos%2Fwoscc%2Ffull-record%2FWOS:001058298800001","View Full Record in Web of Science")</f>
        <v>View Full Record in Web of Science</v>
      </c>
    </row>
    <row r="402" spans="1:72" x14ac:dyDescent="0.15">
      <c r="A402" t="s">
        <v>72</v>
      </c>
      <c r="B402" t="s">
        <v>7829</v>
      </c>
      <c r="C402" t="s">
        <v>74</v>
      </c>
      <c r="D402" t="s">
        <v>74</v>
      </c>
      <c r="E402" t="s">
        <v>74</v>
      </c>
      <c r="F402" t="s">
        <v>7830</v>
      </c>
      <c r="G402" t="s">
        <v>74</v>
      </c>
      <c r="H402" t="s">
        <v>74</v>
      </c>
      <c r="I402" t="s">
        <v>7831</v>
      </c>
      <c r="J402" t="s">
        <v>6215</v>
      </c>
      <c r="K402" t="s">
        <v>74</v>
      </c>
      <c r="L402" t="s">
        <v>74</v>
      </c>
      <c r="M402" t="s">
        <v>78</v>
      </c>
      <c r="N402" t="s">
        <v>1246</v>
      </c>
      <c r="O402" t="s">
        <v>74</v>
      </c>
      <c r="P402" t="s">
        <v>74</v>
      </c>
      <c r="Q402" t="s">
        <v>74</v>
      </c>
      <c r="R402" t="s">
        <v>74</v>
      </c>
      <c r="S402" t="s">
        <v>74</v>
      </c>
      <c r="T402" t="s">
        <v>7832</v>
      </c>
      <c r="U402" t="s">
        <v>7833</v>
      </c>
      <c r="V402" t="s">
        <v>7834</v>
      </c>
      <c r="W402" t="s">
        <v>7835</v>
      </c>
      <c r="X402" t="s">
        <v>7836</v>
      </c>
      <c r="Y402" t="s">
        <v>7837</v>
      </c>
      <c r="Z402" t="s">
        <v>7838</v>
      </c>
      <c r="AA402" t="s">
        <v>74</v>
      </c>
      <c r="AB402" t="s">
        <v>7839</v>
      </c>
      <c r="AC402" t="s">
        <v>74</v>
      </c>
      <c r="AD402" t="s">
        <v>74</v>
      </c>
      <c r="AE402" t="s">
        <v>74</v>
      </c>
      <c r="AF402" t="s">
        <v>74</v>
      </c>
      <c r="AG402">
        <v>18</v>
      </c>
      <c r="AH402">
        <v>0</v>
      </c>
      <c r="AI402">
        <v>0</v>
      </c>
      <c r="AJ402">
        <v>0</v>
      </c>
      <c r="AK402">
        <v>0</v>
      </c>
      <c r="AL402" t="s">
        <v>117</v>
      </c>
      <c r="AM402" t="s">
        <v>118</v>
      </c>
      <c r="AN402" t="s">
        <v>119</v>
      </c>
      <c r="AO402" t="s">
        <v>6224</v>
      </c>
      <c r="AP402" t="s">
        <v>6225</v>
      </c>
      <c r="AQ402" t="s">
        <v>74</v>
      </c>
      <c r="AR402" t="s">
        <v>6226</v>
      </c>
      <c r="AS402" t="s">
        <v>6227</v>
      </c>
      <c r="AT402" t="s">
        <v>7655</v>
      </c>
      <c r="AU402">
        <v>2023</v>
      </c>
      <c r="AV402" t="s">
        <v>74</v>
      </c>
      <c r="AW402" t="s">
        <v>74</v>
      </c>
      <c r="AX402" t="s">
        <v>74</v>
      </c>
      <c r="AY402" t="s">
        <v>74</v>
      </c>
      <c r="AZ402" t="s">
        <v>74</v>
      </c>
      <c r="BA402" t="s">
        <v>74</v>
      </c>
      <c r="BB402" t="s">
        <v>74</v>
      </c>
      <c r="BC402" t="s">
        <v>74</v>
      </c>
      <c r="BD402" t="s">
        <v>74</v>
      </c>
      <c r="BE402" t="s">
        <v>7840</v>
      </c>
      <c r="BF402" t="str">
        <f>HYPERLINK("http://dx.doi.org/10.1007/s00256-023-04441-1","http://dx.doi.org/10.1007/s00256-023-04441-1")</f>
        <v>http://dx.doi.org/10.1007/s00256-023-04441-1</v>
      </c>
      <c r="BG402" t="s">
        <v>74</v>
      </c>
      <c r="BH402" t="s">
        <v>2079</v>
      </c>
      <c r="BI402">
        <v>6</v>
      </c>
      <c r="BJ402" t="s">
        <v>6229</v>
      </c>
      <c r="BK402" t="s">
        <v>126</v>
      </c>
      <c r="BL402" t="s">
        <v>6229</v>
      </c>
      <c r="BM402" t="s">
        <v>7841</v>
      </c>
      <c r="BN402">
        <v>37665347</v>
      </c>
      <c r="BO402" t="s">
        <v>74</v>
      </c>
      <c r="BP402" t="s">
        <v>74</v>
      </c>
      <c r="BQ402" t="s">
        <v>74</v>
      </c>
      <c r="BR402" t="s">
        <v>99</v>
      </c>
      <c r="BS402" t="s">
        <v>7842</v>
      </c>
      <c r="BT402" t="str">
        <f>HYPERLINK("https%3A%2F%2Fwww.webofscience.com%2Fwos%2Fwoscc%2Ffull-record%2FWOS:001058317200001","View Full Record in Web of Science")</f>
        <v>View Full Record in Web of Science</v>
      </c>
    </row>
    <row r="403" spans="1:72" x14ac:dyDescent="0.15">
      <c r="A403" t="s">
        <v>72</v>
      </c>
      <c r="B403" t="s">
        <v>7843</v>
      </c>
      <c r="C403" t="s">
        <v>74</v>
      </c>
      <c r="D403" t="s">
        <v>74</v>
      </c>
      <c r="E403" t="s">
        <v>74</v>
      </c>
      <c r="F403" t="s">
        <v>7844</v>
      </c>
      <c r="G403" t="s">
        <v>74</v>
      </c>
      <c r="H403" t="s">
        <v>74</v>
      </c>
      <c r="I403" t="s">
        <v>7845</v>
      </c>
      <c r="J403" t="s">
        <v>5838</v>
      </c>
      <c r="K403" t="s">
        <v>74</v>
      </c>
      <c r="L403" t="s">
        <v>74</v>
      </c>
      <c r="M403" t="s">
        <v>78</v>
      </c>
      <c r="N403" t="s">
        <v>1246</v>
      </c>
      <c r="O403" t="s">
        <v>74</v>
      </c>
      <c r="P403" t="s">
        <v>74</v>
      </c>
      <c r="Q403" t="s">
        <v>74</v>
      </c>
      <c r="R403" t="s">
        <v>74</v>
      </c>
      <c r="S403" t="s">
        <v>74</v>
      </c>
      <c r="T403" t="s">
        <v>7846</v>
      </c>
      <c r="U403" t="s">
        <v>7847</v>
      </c>
      <c r="V403" t="s">
        <v>7848</v>
      </c>
      <c r="W403" t="s">
        <v>7849</v>
      </c>
      <c r="X403" t="s">
        <v>7850</v>
      </c>
      <c r="Y403" t="s">
        <v>7851</v>
      </c>
      <c r="Z403" t="s">
        <v>7852</v>
      </c>
      <c r="AA403" t="s">
        <v>74</v>
      </c>
      <c r="AB403" t="s">
        <v>74</v>
      </c>
      <c r="AC403" t="s">
        <v>7853</v>
      </c>
      <c r="AD403" t="s">
        <v>7854</v>
      </c>
      <c r="AE403" t="s">
        <v>7855</v>
      </c>
      <c r="AF403" t="s">
        <v>74</v>
      </c>
      <c r="AG403">
        <v>49</v>
      </c>
      <c r="AH403">
        <v>0</v>
      </c>
      <c r="AI403">
        <v>0</v>
      </c>
      <c r="AJ403">
        <v>4</v>
      </c>
      <c r="AK403">
        <v>4</v>
      </c>
      <c r="AL403" t="s">
        <v>172</v>
      </c>
      <c r="AM403" t="s">
        <v>173</v>
      </c>
      <c r="AN403" t="s">
        <v>174</v>
      </c>
      <c r="AO403" t="s">
        <v>5848</v>
      </c>
      <c r="AP403" t="s">
        <v>5849</v>
      </c>
      <c r="AQ403" t="s">
        <v>74</v>
      </c>
      <c r="AR403" t="s">
        <v>5850</v>
      </c>
      <c r="AS403" t="s">
        <v>5851</v>
      </c>
      <c r="AT403" t="s">
        <v>7655</v>
      </c>
      <c r="AU403">
        <v>2023</v>
      </c>
      <c r="AV403" t="s">
        <v>74</v>
      </c>
      <c r="AW403" t="s">
        <v>74</v>
      </c>
      <c r="AX403" t="s">
        <v>74</v>
      </c>
      <c r="AY403" t="s">
        <v>74</v>
      </c>
      <c r="AZ403" t="s">
        <v>74</v>
      </c>
      <c r="BA403" t="s">
        <v>74</v>
      </c>
      <c r="BB403" t="s">
        <v>74</v>
      </c>
      <c r="BC403" t="s">
        <v>74</v>
      </c>
      <c r="BD403" t="s">
        <v>74</v>
      </c>
      <c r="BE403" t="s">
        <v>7856</v>
      </c>
      <c r="BF403" t="str">
        <f>HYPERLINK("http://dx.doi.org/10.1007/s40747-023-01221-1","http://dx.doi.org/10.1007/s40747-023-01221-1")</f>
        <v>http://dx.doi.org/10.1007/s40747-023-01221-1</v>
      </c>
      <c r="BG403" t="s">
        <v>74</v>
      </c>
      <c r="BH403" t="s">
        <v>2079</v>
      </c>
      <c r="BI403">
        <v>13</v>
      </c>
      <c r="BJ403" t="s">
        <v>5390</v>
      </c>
      <c r="BK403" t="s">
        <v>126</v>
      </c>
      <c r="BL403" t="s">
        <v>1139</v>
      </c>
      <c r="BM403" t="s">
        <v>7857</v>
      </c>
      <c r="BN403" t="s">
        <v>74</v>
      </c>
      <c r="BO403" t="s">
        <v>302</v>
      </c>
      <c r="BP403" t="s">
        <v>74</v>
      </c>
      <c r="BQ403" t="s">
        <v>74</v>
      </c>
      <c r="BR403" t="s">
        <v>99</v>
      </c>
      <c r="BS403" t="s">
        <v>7858</v>
      </c>
      <c r="BT403" t="str">
        <f>HYPERLINK("https%3A%2F%2Fwww.webofscience.com%2Fwos%2Fwoscc%2Ffull-record%2FWOS:001058214500002","View Full Record in Web of Science")</f>
        <v>View Full Record in Web of Science</v>
      </c>
    </row>
    <row r="404" spans="1:72" x14ac:dyDescent="0.15">
      <c r="A404" t="s">
        <v>72</v>
      </c>
      <c r="B404" t="s">
        <v>7859</v>
      </c>
      <c r="C404" t="s">
        <v>74</v>
      </c>
      <c r="D404" t="s">
        <v>74</v>
      </c>
      <c r="E404" t="s">
        <v>74</v>
      </c>
      <c r="F404" t="s">
        <v>7860</v>
      </c>
      <c r="G404" t="s">
        <v>74</v>
      </c>
      <c r="H404" t="s">
        <v>74</v>
      </c>
      <c r="I404" t="s">
        <v>7861</v>
      </c>
      <c r="J404" t="s">
        <v>4262</v>
      </c>
      <c r="K404" t="s">
        <v>74</v>
      </c>
      <c r="L404" t="s">
        <v>74</v>
      </c>
      <c r="M404" t="s">
        <v>78</v>
      </c>
      <c r="N404" t="s">
        <v>79</v>
      </c>
      <c r="O404" t="s">
        <v>74</v>
      </c>
      <c r="P404" t="s">
        <v>74</v>
      </c>
      <c r="Q404" t="s">
        <v>74</v>
      </c>
      <c r="R404" t="s">
        <v>74</v>
      </c>
      <c r="S404" t="s">
        <v>74</v>
      </c>
      <c r="T404" t="s">
        <v>7862</v>
      </c>
      <c r="U404" t="s">
        <v>7863</v>
      </c>
      <c r="V404" t="s">
        <v>7864</v>
      </c>
      <c r="W404" t="s">
        <v>7865</v>
      </c>
      <c r="X404" t="s">
        <v>7866</v>
      </c>
      <c r="Y404" t="s">
        <v>7867</v>
      </c>
      <c r="Z404" t="s">
        <v>7868</v>
      </c>
      <c r="AA404" t="s">
        <v>7869</v>
      </c>
      <c r="AB404" t="s">
        <v>7870</v>
      </c>
      <c r="AC404" t="s">
        <v>7871</v>
      </c>
      <c r="AD404" t="s">
        <v>7871</v>
      </c>
      <c r="AE404" t="s">
        <v>7871</v>
      </c>
      <c r="AF404" t="s">
        <v>74</v>
      </c>
      <c r="AG404">
        <v>59</v>
      </c>
      <c r="AH404">
        <v>0</v>
      </c>
      <c r="AI404">
        <v>0</v>
      </c>
      <c r="AJ404">
        <v>1</v>
      </c>
      <c r="AK404">
        <v>1</v>
      </c>
      <c r="AL404" t="s">
        <v>317</v>
      </c>
      <c r="AM404" t="s">
        <v>245</v>
      </c>
      <c r="AN404" t="s">
        <v>318</v>
      </c>
      <c r="AO404" t="s">
        <v>74</v>
      </c>
      <c r="AP404" t="s">
        <v>4273</v>
      </c>
      <c r="AQ404" t="s">
        <v>74</v>
      </c>
      <c r="AR404" t="s">
        <v>4274</v>
      </c>
      <c r="AS404" t="s">
        <v>4275</v>
      </c>
      <c r="AT404" t="s">
        <v>7686</v>
      </c>
      <c r="AU404">
        <v>2023</v>
      </c>
      <c r="AV404">
        <v>30</v>
      </c>
      <c r="AW404">
        <v>1</v>
      </c>
      <c r="AX404" t="s">
        <v>74</v>
      </c>
      <c r="AY404" t="s">
        <v>74</v>
      </c>
      <c r="AZ404" t="s">
        <v>74</v>
      </c>
      <c r="BA404" t="s">
        <v>74</v>
      </c>
      <c r="BB404" t="s">
        <v>74</v>
      </c>
      <c r="BC404" t="s">
        <v>74</v>
      </c>
      <c r="BD404">
        <v>72</v>
      </c>
      <c r="BE404" t="s">
        <v>7872</v>
      </c>
      <c r="BF404" t="str">
        <f>HYPERLINK("http://dx.doi.org/10.1186/s43045-023-00345-x","http://dx.doi.org/10.1186/s43045-023-00345-x")</f>
        <v>http://dx.doi.org/10.1186/s43045-023-00345-x</v>
      </c>
      <c r="BG404" t="s">
        <v>74</v>
      </c>
      <c r="BH404" t="s">
        <v>74</v>
      </c>
      <c r="BI404">
        <v>7</v>
      </c>
      <c r="BJ404" t="s">
        <v>3373</v>
      </c>
      <c r="BK404" t="s">
        <v>97</v>
      </c>
      <c r="BL404" t="s">
        <v>3373</v>
      </c>
      <c r="BM404" t="s">
        <v>7873</v>
      </c>
      <c r="BN404" t="s">
        <v>74</v>
      </c>
      <c r="BO404" t="s">
        <v>302</v>
      </c>
      <c r="BP404" t="s">
        <v>74</v>
      </c>
      <c r="BQ404" t="s">
        <v>74</v>
      </c>
      <c r="BR404" t="s">
        <v>99</v>
      </c>
      <c r="BS404" t="s">
        <v>7874</v>
      </c>
      <c r="BT404" t="str">
        <f>HYPERLINK("https%3A%2F%2Fwww.webofscience.com%2Fwos%2Fwoscc%2Ffull-record%2FWOS:001057480800001","View Full Record in Web of Science")</f>
        <v>View Full Record in Web of Science</v>
      </c>
    </row>
    <row r="405" spans="1:72" x14ac:dyDescent="0.15">
      <c r="A405" t="s">
        <v>72</v>
      </c>
      <c r="B405" t="s">
        <v>7875</v>
      </c>
      <c r="C405" t="s">
        <v>74</v>
      </c>
      <c r="D405" t="s">
        <v>74</v>
      </c>
      <c r="E405" t="s">
        <v>74</v>
      </c>
      <c r="F405" t="s">
        <v>7876</v>
      </c>
      <c r="G405" t="s">
        <v>74</v>
      </c>
      <c r="H405" t="s">
        <v>74</v>
      </c>
      <c r="I405" t="s">
        <v>7877</v>
      </c>
      <c r="J405" t="s">
        <v>7878</v>
      </c>
      <c r="K405" t="s">
        <v>74</v>
      </c>
      <c r="L405" t="s">
        <v>74</v>
      </c>
      <c r="M405" t="s">
        <v>78</v>
      </c>
      <c r="N405" t="s">
        <v>1246</v>
      </c>
      <c r="O405" t="s">
        <v>74</v>
      </c>
      <c r="P405" t="s">
        <v>74</v>
      </c>
      <c r="Q405" t="s">
        <v>74</v>
      </c>
      <c r="R405" t="s">
        <v>74</v>
      </c>
      <c r="S405" t="s">
        <v>74</v>
      </c>
      <c r="T405" t="s">
        <v>74</v>
      </c>
      <c r="U405" t="s">
        <v>7879</v>
      </c>
      <c r="V405" t="s">
        <v>7880</v>
      </c>
      <c r="W405" t="s">
        <v>7881</v>
      </c>
      <c r="X405" t="s">
        <v>7882</v>
      </c>
      <c r="Y405" t="s">
        <v>7883</v>
      </c>
      <c r="Z405" t="s">
        <v>7884</v>
      </c>
      <c r="AA405" t="s">
        <v>7885</v>
      </c>
      <c r="AB405" t="s">
        <v>7886</v>
      </c>
      <c r="AC405" t="s">
        <v>7887</v>
      </c>
      <c r="AD405" t="s">
        <v>7887</v>
      </c>
      <c r="AE405" t="s">
        <v>7887</v>
      </c>
      <c r="AF405" t="s">
        <v>74</v>
      </c>
      <c r="AG405">
        <v>89</v>
      </c>
      <c r="AH405">
        <v>0</v>
      </c>
      <c r="AI405">
        <v>0</v>
      </c>
      <c r="AJ405">
        <v>3</v>
      </c>
      <c r="AK405">
        <v>3</v>
      </c>
      <c r="AL405" t="s">
        <v>146</v>
      </c>
      <c r="AM405" t="s">
        <v>147</v>
      </c>
      <c r="AN405" t="s">
        <v>148</v>
      </c>
      <c r="AO405" t="s">
        <v>7888</v>
      </c>
      <c r="AP405" t="s">
        <v>7889</v>
      </c>
      <c r="AQ405" t="s">
        <v>74</v>
      </c>
      <c r="AR405" t="s">
        <v>7890</v>
      </c>
      <c r="AS405" t="s">
        <v>7891</v>
      </c>
      <c r="AT405" t="s">
        <v>7655</v>
      </c>
      <c r="AU405">
        <v>2023</v>
      </c>
      <c r="AV405" t="s">
        <v>74</v>
      </c>
      <c r="AW405" t="s">
        <v>74</v>
      </c>
      <c r="AX405" t="s">
        <v>74</v>
      </c>
      <c r="AY405" t="s">
        <v>74</v>
      </c>
      <c r="AZ405" t="s">
        <v>74</v>
      </c>
      <c r="BA405" t="s">
        <v>74</v>
      </c>
      <c r="BB405" t="s">
        <v>74</v>
      </c>
      <c r="BC405" t="s">
        <v>74</v>
      </c>
      <c r="BD405" t="s">
        <v>74</v>
      </c>
      <c r="BE405" t="s">
        <v>7892</v>
      </c>
      <c r="BF405" t="str">
        <f>HYPERLINK("http://dx.doi.org/10.1007/s00704-023-04626-7","http://dx.doi.org/10.1007/s00704-023-04626-7")</f>
        <v>http://dx.doi.org/10.1007/s00704-023-04626-7</v>
      </c>
      <c r="BG405" t="s">
        <v>74</v>
      </c>
      <c r="BH405" t="s">
        <v>2079</v>
      </c>
      <c r="BI405">
        <v>23</v>
      </c>
      <c r="BJ405" t="s">
        <v>5501</v>
      </c>
      <c r="BK405" t="s">
        <v>126</v>
      </c>
      <c r="BL405" t="s">
        <v>5501</v>
      </c>
      <c r="BM405" t="s">
        <v>7893</v>
      </c>
      <c r="BN405" t="s">
        <v>74</v>
      </c>
      <c r="BO405" t="s">
        <v>74</v>
      </c>
      <c r="BP405" t="s">
        <v>74</v>
      </c>
      <c r="BQ405" t="s">
        <v>74</v>
      </c>
      <c r="BR405" t="s">
        <v>99</v>
      </c>
      <c r="BS405" t="s">
        <v>7894</v>
      </c>
      <c r="BT405" t="str">
        <f>HYPERLINK("https%3A%2F%2Fwww.webofscience.com%2Fwos%2Fwoscc%2Ffull-record%2FWOS:001058325200005","View Full Record in Web of Science")</f>
        <v>View Full Record in Web of Science</v>
      </c>
    </row>
    <row r="406" spans="1:72" x14ac:dyDescent="0.15">
      <c r="A406" t="s">
        <v>72</v>
      </c>
      <c r="B406" t="s">
        <v>7895</v>
      </c>
      <c r="C406" t="s">
        <v>74</v>
      </c>
      <c r="D406" t="s">
        <v>74</v>
      </c>
      <c r="E406" t="s">
        <v>74</v>
      </c>
      <c r="F406" t="s">
        <v>7896</v>
      </c>
      <c r="G406" t="s">
        <v>74</v>
      </c>
      <c r="H406" t="s">
        <v>74</v>
      </c>
      <c r="I406" t="s">
        <v>7897</v>
      </c>
      <c r="J406" t="s">
        <v>6681</v>
      </c>
      <c r="K406" t="s">
        <v>74</v>
      </c>
      <c r="L406" t="s">
        <v>74</v>
      </c>
      <c r="M406" t="s">
        <v>78</v>
      </c>
      <c r="N406" t="s">
        <v>79</v>
      </c>
      <c r="O406" t="s">
        <v>74</v>
      </c>
      <c r="P406" t="s">
        <v>74</v>
      </c>
      <c r="Q406" t="s">
        <v>74</v>
      </c>
      <c r="R406" t="s">
        <v>74</v>
      </c>
      <c r="S406" t="s">
        <v>74</v>
      </c>
      <c r="T406" t="s">
        <v>7898</v>
      </c>
      <c r="U406" t="s">
        <v>7899</v>
      </c>
      <c r="V406" t="s">
        <v>7900</v>
      </c>
      <c r="W406" t="s">
        <v>7901</v>
      </c>
      <c r="X406" t="s">
        <v>7902</v>
      </c>
      <c r="Y406" t="s">
        <v>7903</v>
      </c>
      <c r="Z406" t="s">
        <v>7904</v>
      </c>
      <c r="AA406" t="s">
        <v>7905</v>
      </c>
      <c r="AB406" t="s">
        <v>7906</v>
      </c>
      <c r="AC406" t="s">
        <v>7907</v>
      </c>
      <c r="AD406" t="s">
        <v>7907</v>
      </c>
      <c r="AE406" t="s">
        <v>7907</v>
      </c>
      <c r="AF406" t="s">
        <v>74</v>
      </c>
      <c r="AG406">
        <v>68</v>
      </c>
      <c r="AH406">
        <v>0</v>
      </c>
      <c r="AI406">
        <v>0</v>
      </c>
      <c r="AJ406">
        <v>1</v>
      </c>
      <c r="AK406">
        <v>1</v>
      </c>
      <c r="AL406" t="s">
        <v>443</v>
      </c>
      <c r="AM406" t="s">
        <v>245</v>
      </c>
      <c r="AN406" t="s">
        <v>444</v>
      </c>
      <c r="AO406" t="s">
        <v>74</v>
      </c>
      <c r="AP406" t="s">
        <v>6691</v>
      </c>
      <c r="AQ406" t="s">
        <v>74</v>
      </c>
      <c r="AR406" t="s">
        <v>6692</v>
      </c>
      <c r="AS406" t="s">
        <v>6693</v>
      </c>
      <c r="AT406" t="s">
        <v>7686</v>
      </c>
      <c r="AU406">
        <v>2023</v>
      </c>
      <c r="AV406">
        <v>14</v>
      </c>
      <c r="AW406">
        <v>1</v>
      </c>
      <c r="AX406" t="s">
        <v>74</v>
      </c>
      <c r="AY406" t="s">
        <v>74</v>
      </c>
      <c r="AZ406" t="s">
        <v>74</v>
      </c>
      <c r="BA406" t="s">
        <v>74</v>
      </c>
      <c r="BB406" t="s">
        <v>74</v>
      </c>
      <c r="BC406" t="s">
        <v>74</v>
      </c>
      <c r="BD406">
        <v>236</v>
      </c>
      <c r="BE406" t="s">
        <v>7908</v>
      </c>
      <c r="BF406" t="str">
        <f>HYPERLINK("http://dx.doi.org/10.1186/s13287-023-03478-2","http://dx.doi.org/10.1186/s13287-023-03478-2")</f>
        <v>http://dx.doi.org/10.1186/s13287-023-03478-2</v>
      </c>
      <c r="BG406" t="s">
        <v>74</v>
      </c>
      <c r="BH406" t="s">
        <v>74</v>
      </c>
      <c r="BI406">
        <v>15</v>
      </c>
      <c r="BJ406" t="s">
        <v>6695</v>
      </c>
      <c r="BK406" t="s">
        <v>126</v>
      </c>
      <c r="BL406" t="s">
        <v>6696</v>
      </c>
      <c r="BM406" t="s">
        <v>7909</v>
      </c>
      <c r="BN406">
        <v>37667384</v>
      </c>
      <c r="BO406" t="s">
        <v>302</v>
      </c>
      <c r="BP406" t="s">
        <v>74</v>
      </c>
      <c r="BQ406" t="s">
        <v>74</v>
      </c>
      <c r="BR406" t="s">
        <v>99</v>
      </c>
      <c r="BS406" t="s">
        <v>7910</v>
      </c>
      <c r="BT406" t="str">
        <f>HYPERLINK("https%3A%2F%2Fwww.webofscience.com%2Fwos%2Fwoscc%2Ffull-record%2FWOS:001062949500003","View Full Record in Web of Science")</f>
        <v>View Full Record in Web of Science</v>
      </c>
    </row>
    <row r="407" spans="1:72" x14ac:dyDescent="0.15">
      <c r="A407" t="s">
        <v>72</v>
      </c>
      <c r="B407" t="s">
        <v>7911</v>
      </c>
      <c r="C407" t="s">
        <v>74</v>
      </c>
      <c r="D407" t="s">
        <v>74</v>
      </c>
      <c r="E407" t="s">
        <v>74</v>
      </c>
      <c r="F407" t="s">
        <v>7912</v>
      </c>
      <c r="G407" t="s">
        <v>74</v>
      </c>
      <c r="H407" t="s">
        <v>74</v>
      </c>
      <c r="I407" t="s">
        <v>7913</v>
      </c>
      <c r="J407" t="s">
        <v>7914</v>
      </c>
      <c r="K407" t="s">
        <v>74</v>
      </c>
      <c r="L407" t="s">
        <v>74</v>
      </c>
      <c r="M407" t="s">
        <v>78</v>
      </c>
      <c r="N407" t="s">
        <v>3055</v>
      </c>
      <c r="O407" t="s">
        <v>74</v>
      </c>
      <c r="P407" t="s">
        <v>74</v>
      </c>
      <c r="Q407" t="s">
        <v>74</v>
      </c>
      <c r="R407" t="s">
        <v>74</v>
      </c>
      <c r="S407" t="s">
        <v>74</v>
      </c>
      <c r="T407" t="s">
        <v>74</v>
      </c>
      <c r="U407" t="s">
        <v>74</v>
      </c>
      <c r="V407" t="s">
        <v>74</v>
      </c>
      <c r="W407" t="s">
        <v>7915</v>
      </c>
      <c r="X407" t="s">
        <v>840</v>
      </c>
      <c r="Y407" t="s">
        <v>7916</v>
      </c>
      <c r="Z407" t="s">
        <v>7917</v>
      </c>
      <c r="AA407" t="s">
        <v>74</v>
      </c>
      <c r="AB407" t="s">
        <v>74</v>
      </c>
      <c r="AC407" t="s">
        <v>74</v>
      </c>
      <c r="AD407" t="s">
        <v>74</v>
      </c>
      <c r="AE407" t="s">
        <v>74</v>
      </c>
      <c r="AF407" t="s">
        <v>74</v>
      </c>
      <c r="AG407">
        <v>3</v>
      </c>
      <c r="AH407">
        <v>0</v>
      </c>
      <c r="AI407">
        <v>0</v>
      </c>
      <c r="AJ407">
        <v>0</v>
      </c>
      <c r="AK407">
        <v>0</v>
      </c>
      <c r="AL407" t="s">
        <v>117</v>
      </c>
      <c r="AM407" t="s">
        <v>118</v>
      </c>
      <c r="AN407" t="s">
        <v>119</v>
      </c>
      <c r="AO407" t="s">
        <v>7918</v>
      </c>
      <c r="AP407" t="s">
        <v>7919</v>
      </c>
      <c r="AQ407" t="s">
        <v>74</v>
      </c>
      <c r="AR407" t="s">
        <v>7914</v>
      </c>
      <c r="AS407" t="s">
        <v>7920</v>
      </c>
      <c r="AT407" t="s">
        <v>7655</v>
      </c>
      <c r="AU407">
        <v>2023</v>
      </c>
      <c r="AV407" t="s">
        <v>74</v>
      </c>
      <c r="AW407" t="s">
        <v>74</v>
      </c>
      <c r="AX407" t="s">
        <v>74</v>
      </c>
      <c r="AY407" t="s">
        <v>74</v>
      </c>
      <c r="AZ407" t="s">
        <v>74</v>
      </c>
      <c r="BA407" t="s">
        <v>74</v>
      </c>
      <c r="BB407" t="s">
        <v>74</v>
      </c>
      <c r="BC407" t="s">
        <v>74</v>
      </c>
      <c r="BD407" t="s">
        <v>74</v>
      </c>
      <c r="BE407" t="s">
        <v>7921</v>
      </c>
      <c r="BF407" t="str">
        <f>HYPERLINK("http://dx.doi.org/10.1007/s10029-023-02880-2","http://dx.doi.org/10.1007/s10029-023-02880-2")</f>
        <v>http://dx.doi.org/10.1007/s10029-023-02880-2</v>
      </c>
      <c r="BG407" t="s">
        <v>74</v>
      </c>
      <c r="BH407" t="s">
        <v>2079</v>
      </c>
      <c r="BI407">
        <v>2</v>
      </c>
      <c r="BJ407" t="s">
        <v>2373</v>
      </c>
      <c r="BK407" t="s">
        <v>126</v>
      </c>
      <c r="BL407" t="s">
        <v>2373</v>
      </c>
      <c r="BM407" t="s">
        <v>7922</v>
      </c>
      <c r="BN407">
        <v>37665418</v>
      </c>
      <c r="BO407" t="s">
        <v>74</v>
      </c>
      <c r="BP407" t="s">
        <v>74</v>
      </c>
      <c r="BQ407" t="s">
        <v>74</v>
      </c>
      <c r="BR407" t="s">
        <v>99</v>
      </c>
      <c r="BS407" t="s">
        <v>7923</v>
      </c>
      <c r="BT407" t="str">
        <f>HYPERLINK("https%3A%2F%2Fwww.webofscience.com%2Fwos%2Fwoscc%2Ffull-record%2FWOS:001061887000001","View Full Record in Web of Science")</f>
        <v>View Full Record in Web of Science</v>
      </c>
    </row>
    <row r="408" spans="1:72" x14ac:dyDescent="0.15">
      <c r="A408" t="s">
        <v>72</v>
      </c>
      <c r="B408" t="s">
        <v>7924</v>
      </c>
      <c r="C408" t="s">
        <v>74</v>
      </c>
      <c r="D408" t="s">
        <v>74</v>
      </c>
      <c r="E408" t="s">
        <v>74</v>
      </c>
      <c r="F408" t="s">
        <v>7925</v>
      </c>
      <c r="G408" t="s">
        <v>74</v>
      </c>
      <c r="H408" t="s">
        <v>74</v>
      </c>
      <c r="I408" t="s">
        <v>7926</v>
      </c>
      <c r="J408" t="s">
        <v>7927</v>
      </c>
      <c r="K408" t="s">
        <v>74</v>
      </c>
      <c r="L408" t="s">
        <v>74</v>
      </c>
      <c r="M408" t="s">
        <v>78</v>
      </c>
      <c r="N408" t="s">
        <v>2174</v>
      </c>
      <c r="O408" t="s">
        <v>74</v>
      </c>
      <c r="P408" t="s">
        <v>74</v>
      </c>
      <c r="Q408" t="s">
        <v>74</v>
      </c>
      <c r="R408" t="s">
        <v>74</v>
      </c>
      <c r="S408" t="s">
        <v>74</v>
      </c>
      <c r="T408" t="s">
        <v>7928</v>
      </c>
      <c r="U408" t="s">
        <v>7929</v>
      </c>
      <c r="V408" t="s">
        <v>7930</v>
      </c>
      <c r="W408" t="s">
        <v>7931</v>
      </c>
      <c r="X408" t="s">
        <v>7932</v>
      </c>
      <c r="Y408" t="s">
        <v>7933</v>
      </c>
      <c r="Z408" t="s">
        <v>7934</v>
      </c>
      <c r="AA408" t="s">
        <v>74</v>
      </c>
      <c r="AB408" t="s">
        <v>7935</v>
      </c>
      <c r="AC408" t="s">
        <v>74</v>
      </c>
      <c r="AD408" t="s">
        <v>74</v>
      </c>
      <c r="AE408" t="s">
        <v>74</v>
      </c>
      <c r="AF408" t="s">
        <v>74</v>
      </c>
      <c r="AG408">
        <v>47</v>
      </c>
      <c r="AH408">
        <v>0</v>
      </c>
      <c r="AI408">
        <v>0</v>
      </c>
      <c r="AJ408">
        <v>0</v>
      </c>
      <c r="AK408">
        <v>0</v>
      </c>
      <c r="AL408" t="s">
        <v>117</v>
      </c>
      <c r="AM408" t="s">
        <v>118</v>
      </c>
      <c r="AN408" t="s">
        <v>119</v>
      </c>
      <c r="AO408" t="s">
        <v>7936</v>
      </c>
      <c r="AP408" t="s">
        <v>7937</v>
      </c>
      <c r="AQ408" t="s">
        <v>74</v>
      </c>
      <c r="AR408" t="s">
        <v>7938</v>
      </c>
      <c r="AS408" t="s">
        <v>7939</v>
      </c>
      <c r="AT408" t="s">
        <v>7655</v>
      </c>
      <c r="AU408">
        <v>2023</v>
      </c>
      <c r="AV408" t="s">
        <v>74</v>
      </c>
      <c r="AW408" t="s">
        <v>74</v>
      </c>
      <c r="AX408" t="s">
        <v>74</v>
      </c>
      <c r="AY408" t="s">
        <v>74</v>
      </c>
      <c r="AZ408" t="s">
        <v>74</v>
      </c>
      <c r="BA408" t="s">
        <v>74</v>
      </c>
      <c r="BB408" t="s">
        <v>74</v>
      </c>
      <c r="BC408" t="s">
        <v>74</v>
      </c>
      <c r="BD408" t="s">
        <v>74</v>
      </c>
      <c r="BE408" t="s">
        <v>7940</v>
      </c>
      <c r="BF408" t="str">
        <f>HYPERLINK("http://dx.doi.org/10.1007/s00402-023-05004-8","http://dx.doi.org/10.1007/s00402-023-05004-8")</f>
        <v>http://dx.doi.org/10.1007/s00402-023-05004-8</v>
      </c>
      <c r="BG408" t="s">
        <v>74</v>
      </c>
      <c r="BH408" t="s">
        <v>2079</v>
      </c>
      <c r="BI408">
        <v>10</v>
      </c>
      <c r="BJ408" t="s">
        <v>7941</v>
      </c>
      <c r="BK408" t="s">
        <v>126</v>
      </c>
      <c r="BL408" t="s">
        <v>7941</v>
      </c>
      <c r="BM408" t="s">
        <v>7942</v>
      </c>
      <c r="BN408">
        <v>37665353</v>
      </c>
      <c r="BO408" t="s">
        <v>74</v>
      </c>
      <c r="BP408" t="s">
        <v>74</v>
      </c>
      <c r="BQ408" t="s">
        <v>74</v>
      </c>
      <c r="BR408" t="s">
        <v>99</v>
      </c>
      <c r="BS408" t="s">
        <v>7943</v>
      </c>
      <c r="BT408" t="str">
        <f>HYPERLINK("https%3A%2F%2Fwww.webofscience.com%2Fwos%2Fwoscc%2Ffull-record%2FWOS:001061871700001","View Full Record in Web of Science")</f>
        <v>View Full Record in Web of Science</v>
      </c>
    </row>
    <row r="409" spans="1:72" x14ac:dyDescent="0.15">
      <c r="A409" t="s">
        <v>72</v>
      </c>
      <c r="B409" t="s">
        <v>7944</v>
      </c>
      <c r="C409" t="s">
        <v>74</v>
      </c>
      <c r="D409" t="s">
        <v>74</v>
      </c>
      <c r="E409" t="s">
        <v>74</v>
      </c>
      <c r="F409" t="s">
        <v>7945</v>
      </c>
      <c r="G409" t="s">
        <v>74</v>
      </c>
      <c r="H409" t="s">
        <v>74</v>
      </c>
      <c r="I409" t="s">
        <v>7946</v>
      </c>
      <c r="J409" t="s">
        <v>7023</v>
      </c>
      <c r="K409" t="s">
        <v>74</v>
      </c>
      <c r="L409" t="s">
        <v>74</v>
      </c>
      <c r="M409" t="s">
        <v>78</v>
      </c>
      <c r="N409" t="s">
        <v>1246</v>
      </c>
      <c r="O409" t="s">
        <v>74</v>
      </c>
      <c r="P409" t="s">
        <v>74</v>
      </c>
      <c r="Q409" t="s">
        <v>74</v>
      </c>
      <c r="R409" t="s">
        <v>74</v>
      </c>
      <c r="S409" t="s">
        <v>74</v>
      </c>
      <c r="T409" t="s">
        <v>7947</v>
      </c>
      <c r="U409" t="s">
        <v>7948</v>
      </c>
      <c r="V409" t="s">
        <v>7949</v>
      </c>
      <c r="W409" t="s">
        <v>7950</v>
      </c>
      <c r="X409" t="s">
        <v>7951</v>
      </c>
      <c r="Y409" t="s">
        <v>7952</v>
      </c>
      <c r="Z409" t="s">
        <v>7953</v>
      </c>
      <c r="AA409" t="s">
        <v>74</v>
      </c>
      <c r="AB409" t="s">
        <v>74</v>
      </c>
      <c r="AC409" t="s">
        <v>7954</v>
      </c>
      <c r="AD409" t="s">
        <v>7955</v>
      </c>
      <c r="AE409" t="s">
        <v>7956</v>
      </c>
      <c r="AF409" t="s">
        <v>74</v>
      </c>
      <c r="AG409">
        <v>32</v>
      </c>
      <c r="AH409">
        <v>0</v>
      </c>
      <c r="AI409">
        <v>0</v>
      </c>
      <c r="AJ409">
        <v>0</v>
      </c>
      <c r="AK409">
        <v>0</v>
      </c>
      <c r="AL409" t="s">
        <v>117</v>
      </c>
      <c r="AM409" t="s">
        <v>627</v>
      </c>
      <c r="AN409" t="s">
        <v>628</v>
      </c>
      <c r="AO409" t="s">
        <v>7033</v>
      </c>
      <c r="AP409" t="s">
        <v>7034</v>
      </c>
      <c r="AQ409" t="s">
        <v>74</v>
      </c>
      <c r="AR409" t="s">
        <v>7035</v>
      </c>
      <c r="AS409" t="s">
        <v>7036</v>
      </c>
      <c r="AT409" t="s">
        <v>7655</v>
      </c>
      <c r="AU409">
        <v>2023</v>
      </c>
      <c r="AV409" t="s">
        <v>74</v>
      </c>
      <c r="AW409" t="s">
        <v>74</v>
      </c>
      <c r="AX409" t="s">
        <v>74</v>
      </c>
      <c r="AY409" t="s">
        <v>74</v>
      </c>
      <c r="AZ409" t="s">
        <v>74</v>
      </c>
      <c r="BA409" t="s">
        <v>74</v>
      </c>
      <c r="BB409" t="s">
        <v>74</v>
      </c>
      <c r="BC409" t="s">
        <v>74</v>
      </c>
      <c r="BD409" t="s">
        <v>74</v>
      </c>
      <c r="BE409" t="s">
        <v>7957</v>
      </c>
      <c r="BF409" t="str">
        <f>HYPERLINK("http://dx.doi.org/10.1007/s10792-023-02858-0","http://dx.doi.org/10.1007/s10792-023-02858-0")</f>
        <v>http://dx.doi.org/10.1007/s10792-023-02858-0</v>
      </c>
      <c r="BG409" t="s">
        <v>74</v>
      </c>
      <c r="BH409" t="s">
        <v>2079</v>
      </c>
      <c r="BI409">
        <v>9</v>
      </c>
      <c r="BJ409" t="s">
        <v>7038</v>
      </c>
      <c r="BK409" t="s">
        <v>126</v>
      </c>
      <c r="BL409" t="s">
        <v>7038</v>
      </c>
      <c r="BM409" t="s">
        <v>7958</v>
      </c>
      <c r="BN409">
        <v>37665493</v>
      </c>
      <c r="BO409" t="s">
        <v>183</v>
      </c>
      <c r="BP409" t="s">
        <v>74</v>
      </c>
      <c r="BQ409" t="s">
        <v>74</v>
      </c>
      <c r="BR409" t="s">
        <v>99</v>
      </c>
      <c r="BS409" t="s">
        <v>7959</v>
      </c>
      <c r="BT409" t="str">
        <f>HYPERLINK("https%3A%2F%2Fwww.webofscience.com%2Fwos%2Fwoscc%2Ffull-record%2FWOS:001058299900002","View Full Record in Web of Science")</f>
        <v>View Full Record in Web of Science</v>
      </c>
    </row>
    <row r="410" spans="1:72" x14ac:dyDescent="0.15">
      <c r="A410" t="s">
        <v>72</v>
      </c>
      <c r="B410" t="s">
        <v>7960</v>
      </c>
      <c r="C410" t="s">
        <v>74</v>
      </c>
      <c r="D410" t="s">
        <v>74</v>
      </c>
      <c r="E410" t="s">
        <v>74</v>
      </c>
      <c r="F410" t="s">
        <v>7961</v>
      </c>
      <c r="G410" t="s">
        <v>74</v>
      </c>
      <c r="H410" t="s">
        <v>74</v>
      </c>
      <c r="I410" t="s">
        <v>7962</v>
      </c>
      <c r="J410" t="s">
        <v>7963</v>
      </c>
      <c r="K410" t="s">
        <v>74</v>
      </c>
      <c r="L410" t="s">
        <v>74</v>
      </c>
      <c r="M410" t="s">
        <v>78</v>
      </c>
      <c r="N410" t="s">
        <v>1246</v>
      </c>
      <c r="O410" t="s">
        <v>74</v>
      </c>
      <c r="P410" t="s">
        <v>74</v>
      </c>
      <c r="Q410" t="s">
        <v>74</v>
      </c>
      <c r="R410" t="s">
        <v>74</v>
      </c>
      <c r="S410" t="s">
        <v>74</v>
      </c>
      <c r="T410" t="s">
        <v>7964</v>
      </c>
      <c r="U410" t="s">
        <v>7965</v>
      </c>
      <c r="V410" t="s">
        <v>7966</v>
      </c>
      <c r="W410" t="s">
        <v>7967</v>
      </c>
      <c r="X410" t="s">
        <v>74</v>
      </c>
      <c r="Y410" t="s">
        <v>7968</v>
      </c>
      <c r="Z410" t="s">
        <v>7969</v>
      </c>
      <c r="AA410" t="s">
        <v>74</v>
      </c>
      <c r="AB410" t="s">
        <v>7970</v>
      </c>
      <c r="AC410" t="s">
        <v>7971</v>
      </c>
      <c r="AD410" t="s">
        <v>7972</v>
      </c>
      <c r="AE410" t="s">
        <v>7973</v>
      </c>
      <c r="AF410" t="s">
        <v>74</v>
      </c>
      <c r="AG410">
        <v>42</v>
      </c>
      <c r="AH410">
        <v>0</v>
      </c>
      <c r="AI410">
        <v>0</v>
      </c>
      <c r="AJ410">
        <v>0</v>
      </c>
      <c r="AK410">
        <v>0</v>
      </c>
      <c r="AL410" t="s">
        <v>5165</v>
      </c>
      <c r="AM410" t="s">
        <v>5166</v>
      </c>
      <c r="AN410" t="s">
        <v>5167</v>
      </c>
      <c r="AO410" t="s">
        <v>7974</v>
      </c>
      <c r="AP410" t="s">
        <v>7975</v>
      </c>
      <c r="AQ410" t="s">
        <v>74</v>
      </c>
      <c r="AR410" t="s">
        <v>7976</v>
      </c>
      <c r="AS410" t="s">
        <v>7977</v>
      </c>
      <c r="AT410" t="s">
        <v>7655</v>
      </c>
      <c r="AU410">
        <v>2023</v>
      </c>
      <c r="AV410" t="s">
        <v>74</v>
      </c>
      <c r="AW410" t="s">
        <v>74</v>
      </c>
      <c r="AX410" t="s">
        <v>74</v>
      </c>
      <c r="AY410" t="s">
        <v>74</v>
      </c>
      <c r="AZ410" t="s">
        <v>74</v>
      </c>
      <c r="BA410" t="s">
        <v>74</v>
      </c>
      <c r="BB410" t="s">
        <v>74</v>
      </c>
      <c r="BC410" t="s">
        <v>74</v>
      </c>
      <c r="BD410" t="s">
        <v>74</v>
      </c>
      <c r="BE410" t="s">
        <v>7978</v>
      </c>
      <c r="BF410" t="str">
        <f>HYPERLINK("http://dx.doi.org/10.1007/s11618-023-01182-8","http://dx.doi.org/10.1007/s11618-023-01182-8")</f>
        <v>http://dx.doi.org/10.1007/s11618-023-01182-8</v>
      </c>
      <c r="BG410" t="s">
        <v>74</v>
      </c>
      <c r="BH410" t="s">
        <v>2079</v>
      </c>
      <c r="BI410">
        <v>22</v>
      </c>
      <c r="BJ410" t="s">
        <v>3226</v>
      </c>
      <c r="BK410" t="s">
        <v>425</v>
      </c>
      <c r="BL410" t="s">
        <v>3226</v>
      </c>
      <c r="BM410" t="s">
        <v>7979</v>
      </c>
      <c r="BN410" t="s">
        <v>74</v>
      </c>
      <c r="BO410" t="s">
        <v>1183</v>
      </c>
      <c r="BP410" t="s">
        <v>74</v>
      </c>
      <c r="BQ410" t="s">
        <v>74</v>
      </c>
      <c r="BR410" t="s">
        <v>99</v>
      </c>
      <c r="BS410" t="s">
        <v>7980</v>
      </c>
      <c r="BT410" t="str">
        <f>HYPERLINK("https%3A%2F%2Fwww.webofscience.com%2Fwos%2Fwoscc%2Ffull-record%2FWOS:001062327000001","View Full Record in Web of Science")</f>
        <v>View Full Record in Web of Science</v>
      </c>
    </row>
    <row r="411" spans="1:72" x14ac:dyDescent="0.15">
      <c r="A411" t="s">
        <v>72</v>
      </c>
      <c r="B411" t="s">
        <v>7981</v>
      </c>
      <c r="C411" t="s">
        <v>74</v>
      </c>
      <c r="D411" t="s">
        <v>74</v>
      </c>
      <c r="E411" t="s">
        <v>74</v>
      </c>
      <c r="F411" t="s">
        <v>7982</v>
      </c>
      <c r="G411" t="s">
        <v>74</v>
      </c>
      <c r="H411" t="s">
        <v>74</v>
      </c>
      <c r="I411" t="s">
        <v>7983</v>
      </c>
      <c r="J411" t="s">
        <v>7288</v>
      </c>
      <c r="K411" t="s">
        <v>74</v>
      </c>
      <c r="L411" t="s">
        <v>74</v>
      </c>
      <c r="M411" t="s">
        <v>78</v>
      </c>
      <c r="N411" t="s">
        <v>1246</v>
      </c>
      <c r="O411" t="s">
        <v>74</v>
      </c>
      <c r="P411" t="s">
        <v>74</v>
      </c>
      <c r="Q411" t="s">
        <v>74</v>
      </c>
      <c r="R411" t="s">
        <v>74</v>
      </c>
      <c r="S411" t="s">
        <v>74</v>
      </c>
      <c r="T411" t="s">
        <v>7984</v>
      </c>
      <c r="U411" t="s">
        <v>7985</v>
      </c>
      <c r="V411" t="s">
        <v>7986</v>
      </c>
      <c r="W411" t="s">
        <v>7987</v>
      </c>
      <c r="X411" t="s">
        <v>7988</v>
      </c>
      <c r="Y411" t="s">
        <v>7989</v>
      </c>
      <c r="Z411" t="s">
        <v>7990</v>
      </c>
      <c r="AA411" t="s">
        <v>74</v>
      </c>
      <c r="AB411" t="s">
        <v>74</v>
      </c>
      <c r="AC411" t="s">
        <v>7991</v>
      </c>
      <c r="AD411" t="s">
        <v>7992</v>
      </c>
      <c r="AE411" t="s">
        <v>7993</v>
      </c>
      <c r="AF411" t="s">
        <v>74</v>
      </c>
      <c r="AG411">
        <v>59</v>
      </c>
      <c r="AH411">
        <v>0</v>
      </c>
      <c r="AI411">
        <v>0</v>
      </c>
      <c r="AJ411">
        <v>0</v>
      </c>
      <c r="AK411">
        <v>0</v>
      </c>
      <c r="AL411" t="s">
        <v>172</v>
      </c>
      <c r="AM411" t="s">
        <v>173</v>
      </c>
      <c r="AN411" t="s">
        <v>174</v>
      </c>
      <c r="AO411" t="s">
        <v>7298</v>
      </c>
      <c r="AP411" t="s">
        <v>7299</v>
      </c>
      <c r="AQ411" t="s">
        <v>74</v>
      </c>
      <c r="AR411" t="s">
        <v>7300</v>
      </c>
      <c r="AS411" t="s">
        <v>7301</v>
      </c>
      <c r="AT411" t="s">
        <v>7655</v>
      </c>
      <c r="AU411">
        <v>2023</v>
      </c>
      <c r="AV411" t="s">
        <v>74</v>
      </c>
      <c r="AW411" t="s">
        <v>74</v>
      </c>
      <c r="AX411" t="s">
        <v>74</v>
      </c>
      <c r="AY411" t="s">
        <v>74</v>
      </c>
      <c r="AZ411" t="s">
        <v>74</v>
      </c>
      <c r="BA411" t="s">
        <v>74</v>
      </c>
      <c r="BB411" t="s">
        <v>74</v>
      </c>
      <c r="BC411" t="s">
        <v>74</v>
      </c>
      <c r="BD411" t="s">
        <v>74</v>
      </c>
      <c r="BE411" t="s">
        <v>7994</v>
      </c>
      <c r="BF411" t="str">
        <f>HYPERLINK("http://dx.doi.org/10.1007/s13369-023-08203","http://dx.doi.org/10.1007/s13369-023-08203")</f>
        <v>http://dx.doi.org/10.1007/s13369-023-08203</v>
      </c>
      <c r="BG411" t="s">
        <v>74</v>
      </c>
      <c r="BH411" t="s">
        <v>2079</v>
      </c>
      <c r="BI411">
        <v>18</v>
      </c>
      <c r="BJ411" t="s">
        <v>1867</v>
      </c>
      <c r="BK411" t="s">
        <v>126</v>
      </c>
      <c r="BL411" t="s">
        <v>1868</v>
      </c>
      <c r="BM411" t="s">
        <v>7995</v>
      </c>
      <c r="BN411" t="s">
        <v>74</v>
      </c>
      <c r="BO411" t="s">
        <v>74</v>
      </c>
      <c r="BP411" t="s">
        <v>74</v>
      </c>
      <c r="BQ411" t="s">
        <v>74</v>
      </c>
      <c r="BR411" t="s">
        <v>99</v>
      </c>
      <c r="BS411" t="s">
        <v>7996</v>
      </c>
      <c r="BT411" t="str">
        <f>HYPERLINK("https%3A%2F%2Fwww.webofscience.com%2Fwos%2Fwoscc%2Ffull-record%2FWOS:001058284500002","View Full Record in Web of Science")</f>
        <v>View Full Record in Web of Science</v>
      </c>
    </row>
    <row r="412" spans="1:72" x14ac:dyDescent="0.15">
      <c r="A412" t="s">
        <v>72</v>
      </c>
      <c r="B412" t="s">
        <v>7997</v>
      </c>
      <c r="C412" t="s">
        <v>74</v>
      </c>
      <c r="D412" t="s">
        <v>74</v>
      </c>
      <c r="E412" t="s">
        <v>74</v>
      </c>
      <c r="F412" t="s">
        <v>7998</v>
      </c>
      <c r="G412" t="s">
        <v>74</v>
      </c>
      <c r="H412" t="s">
        <v>74</v>
      </c>
      <c r="I412" t="s">
        <v>7999</v>
      </c>
      <c r="J412" t="s">
        <v>8000</v>
      </c>
      <c r="K412" t="s">
        <v>74</v>
      </c>
      <c r="L412" t="s">
        <v>74</v>
      </c>
      <c r="M412" t="s">
        <v>78</v>
      </c>
      <c r="N412" t="s">
        <v>2174</v>
      </c>
      <c r="O412" t="s">
        <v>74</v>
      </c>
      <c r="P412" t="s">
        <v>74</v>
      </c>
      <c r="Q412" t="s">
        <v>74</v>
      </c>
      <c r="R412" t="s">
        <v>74</v>
      </c>
      <c r="S412" t="s">
        <v>74</v>
      </c>
      <c r="T412" t="s">
        <v>8001</v>
      </c>
      <c r="U412" t="s">
        <v>8002</v>
      </c>
      <c r="V412" t="s">
        <v>8003</v>
      </c>
      <c r="W412" t="s">
        <v>8004</v>
      </c>
      <c r="X412" t="s">
        <v>8005</v>
      </c>
      <c r="Y412" t="s">
        <v>8006</v>
      </c>
      <c r="Z412" t="s">
        <v>8007</v>
      </c>
      <c r="AA412" t="s">
        <v>74</v>
      </c>
      <c r="AB412" t="s">
        <v>74</v>
      </c>
      <c r="AC412" t="s">
        <v>8008</v>
      </c>
      <c r="AD412" t="s">
        <v>8009</v>
      </c>
      <c r="AE412" t="s">
        <v>8010</v>
      </c>
      <c r="AF412" t="s">
        <v>74</v>
      </c>
      <c r="AG412">
        <v>128</v>
      </c>
      <c r="AH412">
        <v>0</v>
      </c>
      <c r="AI412">
        <v>0</v>
      </c>
      <c r="AJ412">
        <v>0</v>
      </c>
      <c r="AK412">
        <v>0</v>
      </c>
      <c r="AL412" t="s">
        <v>269</v>
      </c>
      <c r="AM412" t="s">
        <v>118</v>
      </c>
      <c r="AN412" t="s">
        <v>270</v>
      </c>
      <c r="AO412" t="s">
        <v>8011</v>
      </c>
      <c r="AP412" t="s">
        <v>8012</v>
      </c>
      <c r="AQ412" t="s">
        <v>74</v>
      </c>
      <c r="AR412" t="s">
        <v>8013</v>
      </c>
      <c r="AS412" t="s">
        <v>8014</v>
      </c>
      <c r="AT412" t="s">
        <v>7655</v>
      </c>
      <c r="AU412">
        <v>2023</v>
      </c>
      <c r="AV412" t="s">
        <v>74</v>
      </c>
      <c r="AW412" t="s">
        <v>74</v>
      </c>
      <c r="AX412" t="s">
        <v>74</v>
      </c>
      <c r="AY412" t="s">
        <v>74</v>
      </c>
      <c r="AZ412" t="s">
        <v>74</v>
      </c>
      <c r="BA412" t="s">
        <v>74</v>
      </c>
      <c r="BB412" t="s">
        <v>74</v>
      </c>
      <c r="BC412" t="s">
        <v>74</v>
      </c>
      <c r="BD412" t="s">
        <v>74</v>
      </c>
      <c r="BE412" t="s">
        <v>8015</v>
      </c>
      <c r="BF412" t="str">
        <f>HYPERLINK("http://dx.doi.org/10.1007/s10571-023-01402","http://dx.doi.org/10.1007/s10571-023-01402")</f>
        <v>http://dx.doi.org/10.1007/s10571-023-01402</v>
      </c>
      <c r="BG412" t="s">
        <v>74</v>
      </c>
      <c r="BH412" t="s">
        <v>2079</v>
      </c>
      <c r="BI412">
        <v>18</v>
      </c>
      <c r="BJ412" t="s">
        <v>8016</v>
      </c>
      <c r="BK412" t="s">
        <v>126</v>
      </c>
      <c r="BL412" t="s">
        <v>8017</v>
      </c>
      <c r="BM412" t="s">
        <v>8018</v>
      </c>
      <c r="BN412" t="s">
        <v>74</v>
      </c>
      <c r="BO412" t="s">
        <v>74</v>
      </c>
      <c r="BP412" t="s">
        <v>74</v>
      </c>
      <c r="BQ412" t="s">
        <v>74</v>
      </c>
      <c r="BR412" t="s">
        <v>99</v>
      </c>
      <c r="BS412" t="s">
        <v>8019</v>
      </c>
      <c r="BT412" t="str">
        <f>HYPERLINK("https%3A%2F%2Fwww.webofscience.com%2Fwos%2Fwoscc%2Ffull-record%2FWOS:001058215600001","View Full Record in Web of Science")</f>
        <v>View Full Record in Web of Science</v>
      </c>
    </row>
    <row r="413" spans="1:72" x14ac:dyDescent="0.15">
      <c r="A413" t="s">
        <v>72</v>
      </c>
      <c r="B413" t="s">
        <v>8020</v>
      </c>
      <c r="C413" t="s">
        <v>74</v>
      </c>
      <c r="D413" t="s">
        <v>74</v>
      </c>
      <c r="E413" t="s">
        <v>74</v>
      </c>
      <c r="F413" t="s">
        <v>8021</v>
      </c>
      <c r="G413" t="s">
        <v>74</v>
      </c>
      <c r="H413" t="s">
        <v>74</v>
      </c>
      <c r="I413" t="s">
        <v>8022</v>
      </c>
      <c r="J413" t="s">
        <v>6750</v>
      </c>
      <c r="K413" t="s">
        <v>74</v>
      </c>
      <c r="L413" t="s">
        <v>74</v>
      </c>
      <c r="M413" t="s">
        <v>78</v>
      </c>
      <c r="N413" t="s">
        <v>2174</v>
      </c>
      <c r="O413" t="s">
        <v>74</v>
      </c>
      <c r="P413" t="s">
        <v>74</v>
      </c>
      <c r="Q413" t="s">
        <v>74</v>
      </c>
      <c r="R413" t="s">
        <v>74</v>
      </c>
      <c r="S413" t="s">
        <v>74</v>
      </c>
      <c r="T413" t="s">
        <v>8023</v>
      </c>
      <c r="U413" t="s">
        <v>8024</v>
      </c>
      <c r="V413" t="s">
        <v>8025</v>
      </c>
      <c r="W413" t="s">
        <v>8026</v>
      </c>
      <c r="X413" t="s">
        <v>8027</v>
      </c>
      <c r="Y413" t="s">
        <v>8028</v>
      </c>
      <c r="Z413" t="s">
        <v>8029</v>
      </c>
      <c r="AA413" t="s">
        <v>74</v>
      </c>
      <c r="AB413" t="s">
        <v>74</v>
      </c>
      <c r="AC413" t="s">
        <v>8030</v>
      </c>
      <c r="AD413" t="s">
        <v>8031</v>
      </c>
      <c r="AE413" t="s">
        <v>8032</v>
      </c>
      <c r="AF413" t="s">
        <v>74</v>
      </c>
      <c r="AG413">
        <v>184</v>
      </c>
      <c r="AH413">
        <v>0</v>
      </c>
      <c r="AI413">
        <v>0</v>
      </c>
      <c r="AJ413">
        <v>0</v>
      </c>
      <c r="AK413">
        <v>0</v>
      </c>
      <c r="AL413" t="s">
        <v>117</v>
      </c>
      <c r="AM413" t="s">
        <v>118</v>
      </c>
      <c r="AN413" t="s">
        <v>119</v>
      </c>
      <c r="AO413" t="s">
        <v>6761</v>
      </c>
      <c r="AP413" t="s">
        <v>6762</v>
      </c>
      <c r="AQ413" t="s">
        <v>74</v>
      </c>
      <c r="AR413" t="s">
        <v>6763</v>
      </c>
      <c r="AS413" t="s">
        <v>6764</v>
      </c>
      <c r="AT413" t="s">
        <v>7655</v>
      </c>
      <c r="AU413">
        <v>2023</v>
      </c>
      <c r="AV413" t="s">
        <v>74</v>
      </c>
      <c r="AW413" t="s">
        <v>74</v>
      </c>
      <c r="AX413" t="s">
        <v>74</v>
      </c>
      <c r="AY413" t="s">
        <v>74</v>
      </c>
      <c r="AZ413" t="s">
        <v>74</v>
      </c>
      <c r="BA413" t="s">
        <v>74</v>
      </c>
      <c r="BB413" t="s">
        <v>74</v>
      </c>
      <c r="BC413" t="s">
        <v>74</v>
      </c>
      <c r="BD413" t="s">
        <v>74</v>
      </c>
      <c r="BE413" t="s">
        <v>8033</v>
      </c>
      <c r="BF413" t="str">
        <f>HYPERLINK("http://dx.doi.org/10.1007/s00210-023-02679","http://dx.doi.org/10.1007/s00210-023-02679")</f>
        <v>http://dx.doi.org/10.1007/s00210-023-02679</v>
      </c>
      <c r="BG413" t="s">
        <v>74</v>
      </c>
      <c r="BH413" t="s">
        <v>2079</v>
      </c>
      <c r="BI413">
        <v>23</v>
      </c>
      <c r="BJ413" t="s">
        <v>1038</v>
      </c>
      <c r="BK413" t="s">
        <v>126</v>
      </c>
      <c r="BL413" t="s">
        <v>1038</v>
      </c>
      <c r="BM413" t="s">
        <v>8034</v>
      </c>
      <c r="BN413" t="s">
        <v>74</v>
      </c>
      <c r="BO413" t="s">
        <v>74</v>
      </c>
      <c r="BP413" t="s">
        <v>74</v>
      </c>
      <c r="BQ413" t="s">
        <v>74</v>
      </c>
      <c r="BR413" t="s">
        <v>99</v>
      </c>
      <c r="BS413" t="s">
        <v>8035</v>
      </c>
      <c r="BT413" t="str">
        <f>HYPERLINK("https%3A%2F%2Fwww.webofscience.com%2Fwos%2Fwoscc%2Ffull-record%2FWOS:001058247200001","View Full Record in Web of Science")</f>
        <v>View Full Record in Web of Science</v>
      </c>
    </row>
    <row r="414" spans="1:72" x14ac:dyDescent="0.15">
      <c r="A414" t="s">
        <v>72</v>
      </c>
      <c r="B414" t="s">
        <v>8036</v>
      </c>
      <c r="C414" t="s">
        <v>74</v>
      </c>
      <c r="D414" t="s">
        <v>74</v>
      </c>
      <c r="E414" t="s">
        <v>74</v>
      </c>
      <c r="F414" t="s">
        <v>8037</v>
      </c>
      <c r="G414" t="s">
        <v>74</v>
      </c>
      <c r="H414" t="s">
        <v>74</v>
      </c>
      <c r="I414" t="s">
        <v>8038</v>
      </c>
      <c r="J414" t="s">
        <v>5743</v>
      </c>
      <c r="K414" t="s">
        <v>74</v>
      </c>
      <c r="L414" t="s">
        <v>74</v>
      </c>
      <c r="M414" t="s">
        <v>78</v>
      </c>
      <c r="N414" t="s">
        <v>79</v>
      </c>
      <c r="O414" t="s">
        <v>74</v>
      </c>
      <c r="P414" t="s">
        <v>74</v>
      </c>
      <c r="Q414" t="s">
        <v>74</v>
      </c>
      <c r="R414" t="s">
        <v>74</v>
      </c>
      <c r="S414" t="s">
        <v>74</v>
      </c>
      <c r="T414" t="s">
        <v>8039</v>
      </c>
      <c r="U414" t="s">
        <v>8040</v>
      </c>
      <c r="V414" t="s">
        <v>8041</v>
      </c>
      <c r="W414" t="s">
        <v>8042</v>
      </c>
      <c r="X414" t="s">
        <v>8043</v>
      </c>
      <c r="Y414" t="s">
        <v>8044</v>
      </c>
      <c r="Z414" t="s">
        <v>8045</v>
      </c>
      <c r="AA414" t="s">
        <v>74</v>
      </c>
      <c r="AB414" t="s">
        <v>74</v>
      </c>
      <c r="AC414" t="s">
        <v>8046</v>
      </c>
      <c r="AD414" t="s">
        <v>8046</v>
      </c>
      <c r="AE414" t="s">
        <v>8047</v>
      </c>
      <c r="AF414" t="s">
        <v>74</v>
      </c>
      <c r="AG414">
        <v>65</v>
      </c>
      <c r="AH414">
        <v>0</v>
      </c>
      <c r="AI414">
        <v>0</v>
      </c>
      <c r="AJ414">
        <v>0</v>
      </c>
      <c r="AK414">
        <v>0</v>
      </c>
      <c r="AL414" t="s">
        <v>443</v>
      </c>
      <c r="AM414" t="s">
        <v>245</v>
      </c>
      <c r="AN414" t="s">
        <v>444</v>
      </c>
      <c r="AO414" t="s">
        <v>74</v>
      </c>
      <c r="AP414" t="s">
        <v>5752</v>
      </c>
      <c r="AQ414" t="s">
        <v>74</v>
      </c>
      <c r="AR414" t="s">
        <v>5743</v>
      </c>
      <c r="AS414" t="s">
        <v>5753</v>
      </c>
      <c r="AT414" t="s">
        <v>7686</v>
      </c>
      <c r="AU414">
        <v>2023</v>
      </c>
      <c r="AV414">
        <v>23</v>
      </c>
      <c r="AW414">
        <v>1</v>
      </c>
      <c r="AX414" t="s">
        <v>74</v>
      </c>
      <c r="AY414" t="s">
        <v>74</v>
      </c>
      <c r="AZ414" t="s">
        <v>74</v>
      </c>
      <c r="BA414" t="s">
        <v>74</v>
      </c>
      <c r="BB414" t="s">
        <v>74</v>
      </c>
      <c r="BC414" t="s">
        <v>74</v>
      </c>
      <c r="BD414">
        <v>1715</v>
      </c>
      <c r="BE414" t="s">
        <v>8048</v>
      </c>
      <c r="BF414" t="str">
        <f>HYPERLINK("http://dx.doi.org/10.1186/s12889-023-16472-3","http://dx.doi.org/10.1186/s12889-023-16472-3")</f>
        <v>http://dx.doi.org/10.1186/s12889-023-16472-3</v>
      </c>
      <c r="BG414" t="s">
        <v>74</v>
      </c>
      <c r="BH414" t="s">
        <v>74</v>
      </c>
      <c r="BI414">
        <v>14</v>
      </c>
      <c r="BJ414" t="s">
        <v>2744</v>
      </c>
      <c r="BK414" t="s">
        <v>126</v>
      </c>
      <c r="BL414" t="s">
        <v>2744</v>
      </c>
      <c r="BM414" t="s">
        <v>8049</v>
      </c>
      <c r="BN414">
        <v>37667247</v>
      </c>
      <c r="BO414" t="s">
        <v>302</v>
      </c>
      <c r="BP414" t="s">
        <v>74</v>
      </c>
      <c r="BQ414" t="s">
        <v>74</v>
      </c>
      <c r="BR414" t="s">
        <v>99</v>
      </c>
      <c r="BS414" t="s">
        <v>8050</v>
      </c>
      <c r="BT414" t="str">
        <f>HYPERLINK("https%3A%2F%2Fwww.webofscience.com%2Fwos%2Fwoscc%2Ffull-record%2FWOS:001061456200016","View Full Record in Web of Science")</f>
        <v>View Full Record in Web of Science</v>
      </c>
    </row>
    <row r="415" spans="1:72" x14ac:dyDescent="0.15">
      <c r="A415" t="s">
        <v>72</v>
      </c>
      <c r="B415" t="s">
        <v>8051</v>
      </c>
      <c r="C415" t="s">
        <v>74</v>
      </c>
      <c r="D415" t="s">
        <v>74</v>
      </c>
      <c r="E415" t="s">
        <v>74</v>
      </c>
      <c r="F415" t="s">
        <v>8052</v>
      </c>
      <c r="G415" t="s">
        <v>74</v>
      </c>
      <c r="H415" t="s">
        <v>74</v>
      </c>
      <c r="I415" t="s">
        <v>8053</v>
      </c>
      <c r="J415" t="s">
        <v>8054</v>
      </c>
      <c r="K415" t="s">
        <v>74</v>
      </c>
      <c r="L415" t="s">
        <v>74</v>
      </c>
      <c r="M415" t="s">
        <v>78</v>
      </c>
      <c r="N415" t="s">
        <v>1246</v>
      </c>
      <c r="O415" t="s">
        <v>74</v>
      </c>
      <c r="P415" t="s">
        <v>74</v>
      </c>
      <c r="Q415" t="s">
        <v>74</v>
      </c>
      <c r="R415" t="s">
        <v>74</v>
      </c>
      <c r="S415" t="s">
        <v>74</v>
      </c>
      <c r="T415" t="s">
        <v>8055</v>
      </c>
      <c r="U415" t="s">
        <v>8056</v>
      </c>
      <c r="V415" t="s">
        <v>8057</v>
      </c>
      <c r="W415" t="s">
        <v>8058</v>
      </c>
      <c r="X415" t="s">
        <v>4771</v>
      </c>
      <c r="Y415" t="s">
        <v>8059</v>
      </c>
      <c r="Z415" t="s">
        <v>8060</v>
      </c>
      <c r="AA415" t="s">
        <v>74</v>
      </c>
      <c r="AB415" t="s">
        <v>74</v>
      </c>
      <c r="AC415" t="s">
        <v>8061</v>
      </c>
      <c r="AD415" t="s">
        <v>8061</v>
      </c>
      <c r="AE415" t="s">
        <v>8061</v>
      </c>
      <c r="AF415" t="s">
        <v>74</v>
      </c>
      <c r="AG415">
        <v>46</v>
      </c>
      <c r="AH415">
        <v>0</v>
      </c>
      <c r="AI415">
        <v>0</v>
      </c>
      <c r="AJ415">
        <v>0</v>
      </c>
      <c r="AK415">
        <v>0</v>
      </c>
      <c r="AL415" t="s">
        <v>117</v>
      </c>
      <c r="AM415" t="s">
        <v>627</v>
      </c>
      <c r="AN415" t="s">
        <v>628</v>
      </c>
      <c r="AO415" t="s">
        <v>8062</v>
      </c>
      <c r="AP415" t="s">
        <v>8063</v>
      </c>
      <c r="AQ415" t="s">
        <v>74</v>
      </c>
      <c r="AR415" t="s">
        <v>8064</v>
      </c>
      <c r="AS415" t="s">
        <v>8065</v>
      </c>
      <c r="AT415" t="s">
        <v>7655</v>
      </c>
      <c r="AU415">
        <v>2023</v>
      </c>
      <c r="AV415" t="s">
        <v>74</v>
      </c>
      <c r="AW415" t="s">
        <v>74</v>
      </c>
      <c r="AX415" t="s">
        <v>74</v>
      </c>
      <c r="AY415" t="s">
        <v>74</v>
      </c>
      <c r="AZ415" t="s">
        <v>74</v>
      </c>
      <c r="BA415" t="s">
        <v>74</v>
      </c>
      <c r="BB415" t="s">
        <v>74</v>
      </c>
      <c r="BC415" t="s">
        <v>74</v>
      </c>
      <c r="BD415" t="s">
        <v>74</v>
      </c>
      <c r="BE415" t="s">
        <v>8066</v>
      </c>
      <c r="BF415" t="str">
        <f>HYPERLINK("http://dx.doi.org/10.1007/s11233-023-09125","http://dx.doi.org/10.1007/s11233-023-09125")</f>
        <v>http://dx.doi.org/10.1007/s11233-023-09125</v>
      </c>
      <c r="BG415" t="s">
        <v>74</v>
      </c>
      <c r="BH415" t="s">
        <v>2079</v>
      </c>
      <c r="BI415">
        <v>15</v>
      </c>
      <c r="BJ415" t="s">
        <v>3226</v>
      </c>
      <c r="BK415" t="s">
        <v>97</v>
      </c>
      <c r="BL415" t="s">
        <v>3226</v>
      </c>
      <c r="BM415" t="s">
        <v>8067</v>
      </c>
      <c r="BN415" t="s">
        <v>74</v>
      </c>
      <c r="BO415" t="s">
        <v>74</v>
      </c>
      <c r="BP415" t="s">
        <v>74</v>
      </c>
      <c r="BQ415" t="s">
        <v>74</v>
      </c>
      <c r="BR415" t="s">
        <v>99</v>
      </c>
      <c r="BS415" t="s">
        <v>8068</v>
      </c>
      <c r="BT415" t="str">
        <f>HYPERLINK("https%3A%2F%2Fwww.webofscience.com%2Fwos%2Fwoscc%2Ffull-record%2FWOS:001058214200001","View Full Record in Web of Science")</f>
        <v>View Full Record in Web of Science</v>
      </c>
    </row>
    <row r="416" spans="1:72" x14ac:dyDescent="0.15">
      <c r="A416" t="s">
        <v>72</v>
      </c>
      <c r="B416" t="s">
        <v>8069</v>
      </c>
      <c r="C416" t="s">
        <v>74</v>
      </c>
      <c r="D416" t="s">
        <v>74</v>
      </c>
      <c r="E416" t="s">
        <v>74</v>
      </c>
      <c r="F416" t="s">
        <v>8070</v>
      </c>
      <c r="G416" t="s">
        <v>74</v>
      </c>
      <c r="H416" t="s">
        <v>74</v>
      </c>
      <c r="I416" t="s">
        <v>8071</v>
      </c>
      <c r="J416" t="s">
        <v>8072</v>
      </c>
      <c r="K416" t="s">
        <v>74</v>
      </c>
      <c r="L416" t="s">
        <v>74</v>
      </c>
      <c r="M416" t="s">
        <v>78</v>
      </c>
      <c r="N416" t="s">
        <v>1246</v>
      </c>
      <c r="O416" t="s">
        <v>74</v>
      </c>
      <c r="P416" t="s">
        <v>74</v>
      </c>
      <c r="Q416" t="s">
        <v>74</v>
      </c>
      <c r="R416" t="s">
        <v>74</v>
      </c>
      <c r="S416" t="s">
        <v>74</v>
      </c>
      <c r="T416" t="s">
        <v>8073</v>
      </c>
      <c r="U416" t="s">
        <v>8074</v>
      </c>
      <c r="V416" t="s">
        <v>8075</v>
      </c>
      <c r="W416" t="s">
        <v>8076</v>
      </c>
      <c r="X416" t="s">
        <v>8077</v>
      </c>
      <c r="Y416" t="s">
        <v>8078</v>
      </c>
      <c r="Z416" t="s">
        <v>8079</v>
      </c>
      <c r="AA416" t="s">
        <v>74</v>
      </c>
      <c r="AB416" t="s">
        <v>74</v>
      </c>
      <c r="AC416" t="s">
        <v>8080</v>
      </c>
      <c r="AD416" t="s">
        <v>8080</v>
      </c>
      <c r="AE416" t="s">
        <v>8080</v>
      </c>
      <c r="AF416" t="s">
        <v>74</v>
      </c>
      <c r="AG416">
        <v>31</v>
      </c>
      <c r="AH416">
        <v>0</v>
      </c>
      <c r="AI416">
        <v>0</v>
      </c>
      <c r="AJ416">
        <v>2</v>
      </c>
      <c r="AK416">
        <v>2</v>
      </c>
      <c r="AL416" t="s">
        <v>172</v>
      </c>
      <c r="AM416" t="s">
        <v>173</v>
      </c>
      <c r="AN416" t="s">
        <v>174</v>
      </c>
      <c r="AO416" t="s">
        <v>8081</v>
      </c>
      <c r="AP416" t="s">
        <v>8082</v>
      </c>
      <c r="AQ416" t="s">
        <v>74</v>
      </c>
      <c r="AR416" t="s">
        <v>8083</v>
      </c>
      <c r="AS416" t="s">
        <v>8084</v>
      </c>
      <c r="AT416" t="s">
        <v>7655</v>
      </c>
      <c r="AU416">
        <v>2023</v>
      </c>
      <c r="AV416" t="s">
        <v>74</v>
      </c>
      <c r="AW416" t="s">
        <v>74</v>
      </c>
      <c r="AX416" t="s">
        <v>74</v>
      </c>
      <c r="AY416" t="s">
        <v>74</v>
      </c>
      <c r="AZ416" t="s">
        <v>74</v>
      </c>
      <c r="BA416" t="s">
        <v>74</v>
      </c>
      <c r="BB416" t="s">
        <v>74</v>
      </c>
      <c r="BC416" t="s">
        <v>74</v>
      </c>
      <c r="BD416" t="s">
        <v>74</v>
      </c>
      <c r="BE416" t="s">
        <v>8085</v>
      </c>
      <c r="BF416" t="str">
        <f>HYPERLINK("http://dx.doi.org/10.1007/s40318-023-00245-6","http://dx.doi.org/10.1007/s40318-023-00245-6")</f>
        <v>http://dx.doi.org/10.1007/s40318-023-00245-6</v>
      </c>
      <c r="BG416" t="s">
        <v>74</v>
      </c>
      <c r="BH416" t="s">
        <v>2079</v>
      </c>
      <c r="BI416">
        <v>21</v>
      </c>
      <c r="BJ416" t="s">
        <v>8086</v>
      </c>
      <c r="BK416" t="s">
        <v>97</v>
      </c>
      <c r="BL416" t="s">
        <v>2866</v>
      </c>
      <c r="BM416" t="s">
        <v>8087</v>
      </c>
      <c r="BN416" t="s">
        <v>74</v>
      </c>
      <c r="BO416" t="s">
        <v>183</v>
      </c>
      <c r="BP416" t="s">
        <v>74</v>
      </c>
      <c r="BQ416" t="s">
        <v>74</v>
      </c>
      <c r="BR416" t="s">
        <v>99</v>
      </c>
      <c r="BS416" t="s">
        <v>8088</v>
      </c>
      <c r="BT416" t="str">
        <f>HYPERLINK("https%3A%2F%2Fwww.webofscience.com%2Fwos%2Fwoscc%2Ffull-record%2FWOS:001058219300001","View Full Record in Web of Science")</f>
        <v>View Full Record in Web of Science</v>
      </c>
    </row>
    <row r="417" spans="1:72" x14ac:dyDescent="0.15">
      <c r="A417" t="s">
        <v>72</v>
      </c>
      <c r="B417" t="s">
        <v>8089</v>
      </c>
      <c r="C417" t="s">
        <v>74</v>
      </c>
      <c r="D417" t="s">
        <v>74</v>
      </c>
      <c r="E417" t="s">
        <v>74</v>
      </c>
      <c r="F417" t="s">
        <v>8090</v>
      </c>
      <c r="G417" t="s">
        <v>74</v>
      </c>
      <c r="H417" t="s">
        <v>74</v>
      </c>
      <c r="I417" t="s">
        <v>8091</v>
      </c>
      <c r="J417" t="s">
        <v>3726</v>
      </c>
      <c r="K417" t="s">
        <v>74</v>
      </c>
      <c r="L417" t="s">
        <v>74</v>
      </c>
      <c r="M417" t="s">
        <v>78</v>
      </c>
      <c r="N417" t="s">
        <v>79</v>
      </c>
      <c r="O417" t="s">
        <v>74</v>
      </c>
      <c r="P417" t="s">
        <v>74</v>
      </c>
      <c r="Q417" t="s">
        <v>74</v>
      </c>
      <c r="R417" t="s">
        <v>74</v>
      </c>
      <c r="S417" t="s">
        <v>74</v>
      </c>
      <c r="T417" t="s">
        <v>8092</v>
      </c>
      <c r="U417" t="s">
        <v>8093</v>
      </c>
      <c r="V417" t="s">
        <v>8094</v>
      </c>
      <c r="W417" t="s">
        <v>8095</v>
      </c>
      <c r="X417" t="s">
        <v>8096</v>
      </c>
      <c r="Y417" t="s">
        <v>8097</v>
      </c>
      <c r="Z417" t="s">
        <v>8098</v>
      </c>
      <c r="AA417" t="s">
        <v>8099</v>
      </c>
      <c r="AB417" t="s">
        <v>8100</v>
      </c>
      <c r="AC417" t="s">
        <v>8101</v>
      </c>
      <c r="AD417" t="s">
        <v>8101</v>
      </c>
      <c r="AE417" t="s">
        <v>8101</v>
      </c>
      <c r="AF417" t="s">
        <v>74</v>
      </c>
      <c r="AG417">
        <v>53</v>
      </c>
      <c r="AH417">
        <v>0</v>
      </c>
      <c r="AI417">
        <v>0</v>
      </c>
      <c r="AJ417">
        <v>0</v>
      </c>
      <c r="AK417">
        <v>0</v>
      </c>
      <c r="AL417" t="s">
        <v>443</v>
      </c>
      <c r="AM417" t="s">
        <v>245</v>
      </c>
      <c r="AN417" t="s">
        <v>444</v>
      </c>
      <c r="AO417" t="s">
        <v>3736</v>
      </c>
      <c r="AP417" t="s">
        <v>74</v>
      </c>
      <c r="AQ417" t="s">
        <v>74</v>
      </c>
      <c r="AR417" t="s">
        <v>3737</v>
      </c>
      <c r="AS417" t="s">
        <v>3738</v>
      </c>
      <c r="AT417" t="s">
        <v>7686</v>
      </c>
      <c r="AU417">
        <v>2023</v>
      </c>
      <c r="AV417">
        <v>15</v>
      </c>
      <c r="AW417">
        <v>1</v>
      </c>
      <c r="AX417" t="s">
        <v>74</v>
      </c>
      <c r="AY417" t="s">
        <v>74</v>
      </c>
      <c r="AZ417" t="s">
        <v>74</v>
      </c>
      <c r="BA417" t="s">
        <v>74</v>
      </c>
      <c r="BB417" t="s">
        <v>74</v>
      </c>
      <c r="BC417" t="s">
        <v>74</v>
      </c>
      <c r="BD417">
        <v>66</v>
      </c>
      <c r="BE417" t="s">
        <v>8102</v>
      </c>
      <c r="BF417" t="str">
        <f>HYPERLINK("http://dx.doi.org/10.1186/s13073-023-01224-0","http://dx.doi.org/10.1186/s13073-023-01224-0")</f>
        <v>http://dx.doi.org/10.1186/s13073-023-01224-0</v>
      </c>
      <c r="BG417" t="s">
        <v>74</v>
      </c>
      <c r="BH417" t="s">
        <v>74</v>
      </c>
      <c r="BI417">
        <v>12</v>
      </c>
      <c r="BJ417" t="s">
        <v>3740</v>
      </c>
      <c r="BK417" t="s">
        <v>126</v>
      </c>
      <c r="BL417" t="s">
        <v>3740</v>
      </c>
      <c r="BM417" t="s">
        <v>8103</v>
      </c>
      <c r="BN417">
        <v>37667405</v>
      </c>
      <c r="BO417" t="s">
        <v>302</v>
      </c>
      <c r="BP417" t="s">
        <v>74</v>
      </c>
      <c r="BQ417" t="s">
        <v>74</v>
      </c>
      <c r="BR417" t="s">
        <v>99</v>
      </c>
      <c r="BS417" t="s">
        <v>8104</v>
      </c>
      <c r="BT417" t="str">
        <f>HYPERLINK("https%3A%2F%2Fwww.webofscience.com%2Fwos%2Fwoscc%2Ffull-record%2FWOS:001059742900001","View Full Record in Web of Science")</f>
        <v>View Full Record in Web of Science</v>
      </c>
    </row>
    <row r="418" spans="1:72" x14ac:dyDescent="0.15">
      <c r="A418" t="s">
        <v>72</v>
      </c>
      <c r="B418" t="s">
        <v>8105</v>
      </c>
      <c r="C418" t="s">
        <v>74</v>
      </c>
      <c r="D418" t="s">
        <v>74</v>
      </c>
      <c r="E418" t="s">
        <v>74</v>
      </c>
      <c r="F418" t="s">
        <v>8106</v>
      </c>
      <c r="G418" t="s">
        <v>74</v>
      </c>
      <c r="H418" t="s">
        <v>74</v>
      </c>
      <c r="I418" t="s">
        <v>8107</v>
      </c>
      <c r="J418" t="s">
        <v>2518</v>
      </c>
      <c r="K418" t="s">
        <v>74</v>
      </c>
      <c r="L418" t="s">
        <v>74</v>
      </c>
      <c r="M418" t="s">
        <v>78</v>
      </c>
      <c r="N418" t="s">
        <v>1246</v>
      </c>
      <c r="O418" t="s">
        <v>74</v>
      </c>
      <c r="P418" t="s">
        <v>74</v>
      </c>
      <c r="Q418" t="s">
        <v>74</v>
      </c>
      <c r="R418" t="s">
        <v>74</v>
      </c>
      <c r="S418" t="s">
        <v>74</v>
      </c>
      <c r="T418" t="s">
        <v>8108</v>
      </c>
      <c r="U418" t="s">
        <v>8109</v>
      </c>
      <c r="V418" t="s">
        <v>8110</v>
      </c>
      <c r="W418" t="s">
        <v>8111</v>
      </c>
      <c r="X418" t="s">
        <v>8112</v>
      </c>
      <c r="Y418" t="s">
        <v>8113</v>
      </c>
      <c r="Z418" t="s">
        <v>8114</v>
      </c>
      <c r="AA418" t="s">
        <v>8115</v>
      </c>
      <c r="AB418" t="s">
        <v>8116</v>
      </c>
      <c r="AC418" t="s">
        <v>74</v>
      </c>
      <c r="AD418" t="s">
        <v>74</v>
      </c>
      <c r="AE418" t="s">
        <v>74</v>
      </c>
      <c r="AF418" t="s">
        <v>74</v>
      </c>
      <c r="AG418">
        <v>87</v>
      </c>
      <c r="AH418">
        <v>0</v>
      </c>
      <c r="AI418">
        <v>0</v>
      </c>
      <c r="AJ418">
        <v>3</v>
      </c>
      <c r="AK418">
        <v>3</v>
      </c>
      <c r="AL418" t="s">
        <v>117</v>
      </c>
      <c r="AM418" t="s">
        <v>627</v>
      </c>
      <c r="AN418" t="s">
        <v>628</v>
      </c>
      <c r="AO418" t="s">
        <v>2526</v>
      </c>
      <c r="AP418" t="s">
        <v>2527</v>
      </c>
      <c r="AQ418" t="s">
        <v>74</v>
      </c>
      <c r="AR418" t="s">
        <v>2528</v>
      </c>
      <c r="AS418" t="s">
        <v>2529</v>
      </c>
      <c r="AT418" t="s">
        <v>7655</v>
      </c>
      <c r="AU418">
        <v>2023</v>
      </c>
      <c r="AV418" t="s">
        <v>74</v>
      </c>
      <c r="AW418" t="s">
        <v>74</v>
      </c>
      <c r="AX418" t="s">
        <v>74</v>
      </c>
      <c r="AY418" t="s">
        <v>74</v>
      </c>
      <c r="AZ418" t="s">
        <v>74</v>
      </c>
      <c r="BA418" t="s">
        <v>74</v>
      </c>
      <c r="BB418" t="s">
        <v>74</v>
      </c>
      <c r="BC418" t="s">
        <v>74</v>
      </c>
      <c r="BD418" t="s">
        <v>74</v>
      </c>
      <c r="BE418" t="s">
        <v>8117</v>
      </c>
      <c r="BF418" t="str">
        <f>HYPERLINK("http://dx.doi.org/10.1007/s11145-023-10475-7","http://dx.doi.org/10.1007/s11145-023-10475-7")</f>
        <v>http://dx.doi.org/10.1007/s11145-023-10475-7</v>
      </c>
      <c r="BG418" t="s">
        <v>74</v>
      </c>
      <c r="BH418" t="s">
        <v>2079</v>
      </c>
      <c r="BI418">
        <v>26</v>
      </c>
      <c r="BJ418" t="s">
        <v>2532</v>
      </c>
      <c r="BK418" t="s">
        <v>425</v>
      </c>
      <c r="BL418" t="s">
        <v>2533</v>
      </c>
      <c r="BM418" t="s">
        <v>8118</v>
      </c>
      <c r="BN418" t="s">
        <v>74</v>
      </c>
      <c r="BO418" t="s">
        <v>74</v>
      </c>
      <c r="BP418" t="s">
        <v>74</v>
      </c>
      <c r="BQ418" t="s">
        <v>74</v>
      </c>
      <c r="BR418" t="s">
        <v>99</v>
      </c>
      <c r="BS418" t="s">
        <v>8119</v>
      </c>
      <c r="BT418" t="str">
        <f>HYPERLINK("https%3A%2F%2Fwww.webofscience.com%2Fwos%2Fwoscc%2Ffull-record%2FWOS:001058287400001","View Full Record in Web of Science")</f>
        <v>View Full Record in Web of Science</v>
      </c>
    </row>
    <row r="419" spans="1:72" x14ac:dyDescent="0.15">
      <c r="A419" t="s">
        <v>72</v>
      </c>
      <c r="B419" t="s">
        <v>8120</v>
      </c>
      <c r="C419" t="s">
        <v>74</v>
      </c>
      <c r="D419" t="s">
        <v>74</v>
      </c>
      <c r="E419" t="s">
        <v>74</v>
      </c>
      <c r="F419" t="s">
        <v>8121</v>
      </c>
      <c r="G419" t="s">
        <v>74</v>
      </c>
      <c r="H419" t="s">
        <v>74</v>
      </c>
      <c r="I419" t="s">
        <v>8122</v>
      </c>
      <c r="J419" t="s">
        <v>6274</v>
      </c>
      <c r="K419" t="s">
        <v>74</v>
      </c>
      <c r="L419" t="s">
        <v>74</v>
      </c>
      <c r="M419" t="s">
        <v>78</v>
      </c>
      <c r="N419" t="s">
        <v>79</v>
      </c>
      <c r="O419" t="s">
        <v>74</v>
      </c>
      <c r="P419" t="s">
        <v>74</v>
      </c>
      <c r="Q419" t="s">
        <v>74</v>
      </c>
      <c r="R419" t="s">
        <v>74</v>
      </c>
      <c r="S419" t="s">
        <v>74</v>
      </c>
      <c r="T419" t="s">
        <v>8123</v>
      </c>
      <c r="U419" t="s">
        <v>74</v>
      </c>
      <c r="V419" t="s">
        <v>8124</v>
      </c>
      <c r="W419" t="s">
        <v>8125</v>
      </c>
      <c r="X419" t="s">
        <v>8126</v>
      </c>
      <c r="Y419" t="s">
        <v>8127</v>
      </c>
      <c r="Z419" t="s">
        <v>8128</v>
      </c>
      <c r="AA419" t="s">
        <v>74</v>
      </c>
      <c r="AB419" t="s">
        <v>74</v>
      </c>
      <c r="AC419" t="s">
        <v>74</v>
      </c>
      <c r="AD419" t="s">
        <v>74</v>
      </c>
      <c r="AE419" t="s">
        <v>74</v>
      </c>
      <c r="AF419" t="s">
        <v>74</v>
      </c>
      <c r="AG419">
        <v>31</v>
      </c>
      <c r="AH419">
        <v>0</v>
      </c>
      <c r="AI419">
        <v>0</v>
      </c>
      <c r="AJ419">
        <v>1</v>
      </c>
      <c r="AK419">
        <v>1</v>
      </c>
      <c r="AL419" t="s">
        <v>443</v>
      </c>
      <c r="AM419" t="s">
        <v>245</v>
      </c>
      <c r="AN419" t="s">
        <v>444</v>
      </c>
      <c r="AO419" t="s">
        <v>74</v>
      </c>
      <c r="AP419" t="s">
        <v>6285</v>
      </c>
      <c r="AQ419" t="s">
        <v>74</v>
      </c>
      <c r="AR419" t="s">
        <v>6274</v>
      </c>
      <c r="AS419" t="s">
        <v>6286</v>
      </c>
      <c r="AT419" t="s">
        <v>7686</v>
      </c>
      <c r="AU419">
        <v>2023</v>
      </c>
      <c r="AV419">
        <v>23</v>
      </c>
      <c r="AW419">
        <v>1</v>
      </c>
      <c r="AX419" t="s">
        <v>74</v>
      </c>
      <c r="AY419" t="s">
        <v>74</v>
      </c>
      <c r="AZ419" t="s">
        <v>74</v>
      </c>
      <c r="BA419" t="s">
        <v>74</v>
      </c>
      <c r="BB419" t="s">
        <v>74</v>
      </c>
      <c r="BC419" t="s">
        <v>74</v>
      </c>
      <c r="BD419">
        <v>823</v>
      </c>
      <c r="BE419" t="s">
        <v>8129</v>
      </c>
      <c r="BF419" t="str">
        <f>HYPERLINK("http://dx.doi.org/10.1186/s12885-023-11255-w","http://dx.doi.org/10.1186/s12885-023-11255-w")</f>
        <v>http://dx.doi.org/10.1186/s12885-023-11255-w</v>
      </c>
      <c r="BG419" t="s">
        <v>74</v>
      </c>
      <c r="BH419" t="s">
        <v>74</v>
      </c>
      <c r="BI419">
        <v>9</v>
      </c>
      <c r="BJ419" t="s">
        <v>1951</v>
      </c>
      <c r="BK419" t="s">
        <v>126</v>
      </c>
      <c r="BL419" t="s">
        <v>1951</v>
      </c>
      <c r="BM419" t="s">
        <v>8130</v>
      </c>
      <c r="BN419">
        <v>37667230</v>
      </c>
      <c r="BO419" t="s">
        <v>302</v>
      </c>
      <c r="BP419" t="s">
        <v>74</v>
      </c>
      <c r="BQ419" t="s">
        <v>74</v>
      </c>
      <c r="BR419" t="s">
        <v>99</v>
      </c>
      <c r="BS419" t="s">
        <v>8131</v>
      </c>
      <c r="BT419" t="str">
        <f>HYPERLINK("https%3A%2F%2Fwww.webofscience.com%2Fwos%2Fwoscc%2Ffull-record%2FWOS:001061457600004","View Full Record in Web of Science")</f>
        <v>View Full Record in Web of Science</v>
      </c>
    </row>
    <row r="420" spans="1:72" x14ac:dyDescent="0.15">
      <c r="A420" t="s">
        <v>72</v>
      </c>
      <c r="B420" t="s">
        <v>8132</v>
      </c>
      <c r="C420" t="s">
        <v>74</v>
      </c>
      <c r="D420" t="s">
        <v>74</v>
      </c>
      <c r="E420" t="s">
        <v>74</v>
      </c>
      <c r="F420" t="s">
        <v>8133</v>
      </c>
      <c r="G420" t="s">
        <v>74</v>
      </c>
      <c r="H420" t="s">
        <v>74</v>
      </c>
      <c r="I420" t="s">
        <v>8134</v>
      </c>
      <c r="J420" t="s">
        <v>5838</v>
      </c>
      <c r="K420" t="s">
        <v>74</v>
      </c>
      <c r="L420" t="s">
        <v>74</v>
      </c>
      <c r="M420" t="s">
        <v>78</v>
      </c>
      <c r="N420" t="s">
        <v>1246</v>
      </c>
      <c r="O420" t="s">
        <v>74</v>
      </c>
      <c r="P420" t="s">
        <v>74</v>
      </c>
      <c r="Q420" t="s">
        <v>74</v>
      </c>
      <c r="R420" t="s">
        <v>74</v>
      </c>
      <c r="S420" t="s">
        <v>74</v>
      </c>
      <c r="T420" t="s">
        <v>8135</v>
      </c>
      <c r="U420" t="s">
        <v>74</v>
      </c>
      <c r="V420" t="s">
        <v>8136</v>
      </c>
      <c r="W420" t="s">
        <v>8137</v>
      </c>
      <c r="X420" t="s">
        <v>8138</v>
      </c>
      <c r="Y420" t="s">
        <v>8139</v>
      </c>
      <c r="Z420" t="s">
        <v>8140</v>
      </c>
      <c r="AA420" t="s">
        <v>74</v>
      </c>
      <c r="AB420" t="s">
        <v>74</v>
      </c>
      <c r="AC420" t="s">
        <v>8141</v>
      </c>
      <c r="AD420" t="s">
        <v>8142</v>
      </c>
      <c r="AE420" t="s">
        <v>8143</v>
      </c>
      <c r="AF420" t="s">
        <v>74</v>
      </c>
      <c r="AG420">
        <v>30</v>
      </c>
      <c r="AH420">
        <v>0</v>
      </c>
      <c r="AI420">
        <v>0</v>
      </c>
      <c r="AJ420">
        <v>1</v>
      </c>
      <c r="AK420">
        <v>1</v>
      </c>
      <c r="AL420" t="s">
        <v>172</v>
      </c>
      <c r="AM420" t="s">
        <v>173</v>
      </c>
      <c r="AN420" t="s">
        <v>174</v>
      </c>
      <c r="AO420" t="s">
        <v>5848</v>
      </c>
      <c r="AP420" t="s">
        <v>5849</v>
      </c>
      <c r="AQ420" t="s">
        <v>74</v>
      </c>
      <c r="AR420" t="s">
        <v>5850</v>
      </c>
      <c r="AS420" t="s">
        <v>5851</v>
      </c>
      <c r="AT420" t="s">
        <v>7655</v>
      </c>
      <c r="AU420">
        <v>2023</v>
      </c>
      <c r="AV420" t="s">
        <v>74</v>
      </c>
      <c r="AW420" t="s">
        <v>74</v>
      </c>
      <c r="AX420" t="s">
        <v>74</v>
      </c>
      <c r="AY420" t="s">
        <v>74</v>
      </c>
      <c r="AZ420" t="s">
        <v>74</v>
      </c>
      <c r="BA420" t="s">
        <v>74</v>
      </c>
      <c r="BB420" t="s">
        <v>74</v>
      </c>
      <c r="BC420" t="s">
        <v>74</v>
      </c>
      <c r="BD420" t="s">
        <v>74</v>
      </c>
      <c r="BE420" t="s">
        <v>8144</v>
      </c>
      <c r="BF420" t="str">
        <f>HYPERLINK("http://dx.doi.org/10.1007/s40747-023-01225","http://dx.doi.org/10.1007/s40747-023-01225")</f>
        <v>http://dx.doi.org/10.1007/s40747-023-01225</v>
      </c>
      <c r="BG420" t="s">
        <v>74</v>
      </c>
      <c r="BH420" t="s">
        <v>2079</v>
      </c>
      <c r="BI420">
        <v>16</v>
      </c>
      <c r="BJ420" t="s">
        <v>5390</v>
      </c>
      <c r="BK420" t="s">
        <v>126</v>
      </c>
      <c r="BL420" t="s">
        <v>1139</v>
      </c>
      <c r="BM420" t="s">
        <v>7857</v>
      </c>
      <c r="BN420" t="s">
        <v>74</v>
      </c>
      <c r="BO420" t="s">
        <v>74</v>
      </c>
      <c r="BP420" t="s">
        <v>74</v>
      </c>
      <c r="BQ420" t="s">
        <v>74</v>
      </c>
      <c r="BR420" t="s">
        <v>99</v>
      </c>
      <c r="BS420" t="s">
        <v>8145</v>
      </c>
      <c r="BT420" t="str">
        <f>HYPERLINK("https%3A%2F%2Fwww.webofscience.com%2Fwos%2Fwoscc%2Ffull-record%2FWOS:001058214500001","View Full Record in Web of Science")</f>
        <v>View Full Record in Web of Science</v>
      </c>
    </row>
    <row r="421" spans="1:72" x14ac:dyDescent="0.15">
      <c r="A421" t="s">
        <v>72</v>
      </c>
      <c r="B421" t="s">
        <v>8146</v>
      </c>
      <c r="C421" t="s">
        <v>74</v>
      </c>
      <c r="D421" t="s">
        <v>74</v>
      </c>
      <c r="E421" t="s">
        <v>74</v>
      </c>
      <c r="F421" t="s">
        <v>8147</v>
      </c>
      <c r="G421" t="s">
        <v>74</v>
      </c>
      <c r="H421" t="s">
        <v>74</v>
      </c>
      <c r="I421" t="s">
        <v>8148</v>
      </c>
      <c r="J421" t="s">
        <v>8149</v>
      </c>
      <c r="K421" t="s">
        <v>74</v>
      </c>
      <c r="L421" t="s">
        <v>74</v>
      </c>
      <c r="M421" t="s">
        <v>78</v>
      </c>
      <c r="N421" t="s">
        <v>1246</v>
      </c>
      <c r="O421" t="s">
        <v>74</v>
      </c>
      <c r="P421" t="s">
        <v>74</v>
      </c>
      <c r="Q421" t="s">
        <v>74</v>
      </c>
      <c r="R421" t="s">
        <v>74</v>
      </c>
      <c r="S421" t="s">
        <v>74</v>
      </c>
      <c r="T421" t="s">
        <v>8150</v>
      </c>
      <c r="U421" t="s">
        <v>8151</v>
      </c>
      <c r="V421" t="s">
        <v>8152</v>
      </c>
      <c r="W421" t="s">
        <v>8153</v>
      </c>
      <c r="X421" t="s">
        <v>8154</v>
      </c>
      <c r="Y421" t="s">
        <v>8155</v>
      </c>
      <c r="Z421" t="s">
        <v>8156</v>
      </c>
      <c r="AA421" t="s">
        <v>74</v>
      </c>
      <c r="AB421" t="s">
        <v>74</v>
      </c>
      <c r="AC421" t="s">
        <v>8157</v>
      </c>
      <c r="AD421" t="s">
        <v>8158</v>
      </c>
      <c r="AE421" t="s">
        <v>8159</v>
      </c>
      <c r="AF421" t="s">
        <v>74</v>
      </c>
      <c r="AG421">
        <v>46</v>
      </c>
      <c r="AH421">
        <v>0</v>
      </c>
      <c r="AI421">
        <v>0</v>
      </c>
      <c r="AJ421">
        <v>2</v>
      </c>
      <c r="AK421">
        <v>2</v>
      </c>
      <c r="AL421" t="s">
        <v>117</v>
      </c>
      <c r="AM421" t="s">
        <v>627</v>
      </c>
      <c r="AN421" t="s">
        <v>628</v>
      </c>
      <c r="AO421" t="s">
        <v>8160</v>
      </c>
      <c r="AP421" t="s">
        <v>8161</v>
      </c>
      <c r="AQ421" t="s">
        <v>74</v>
      </c>
      <c r="AR421" t="s">
        <v>8162</v>
      </c>
      <c r="AS421" t="s">
        <v>8163</v>
      </c>
      <c r="AT421" t="s">
        <v>7655</v>
      </c>
      <c r="AU421">
        <v>2023</v>
      </c>
      <c r="AV421" t="s">
        <v>74</v>
      </c>
      <c r="AW421" t="s">
        <v>74</v>
      </c>
      <c r="AX421" t="s">
        <v>74</v>
      </c>
      <c r="AY421" t="s">
        <v>74</v>
      </c>
      <c r="AZ421" t="s">
        <v>74</v>
      </c>
      <c r="BA421" t="s">
        <v>74</v>
      </c>
      <c r="BB421" t="s">
        <v>74</v>
      </c>
      <c r="BC421" t="s">
        <v>74</v>
      </c>
      <c r="BD421" t="s">
        <v>74</v>
      </c>
      <c r="BE421" t="s">
        <v>8164</v>
      </c>
      <c r="BF421" t="str">
        <f>HYPERLINK("http://dx.doi.org/10.1007/s10695-023-01234-0","http://dx.doi.org/10.1007/s10695-023-01234-0")</f>
        <v>http://dx.doi.org/10.1007/s10695-023-01234-0</v>
      </c>
      <c r="BG421" t="s">
        <v>74</v>
      </c>
      <c r="BH421" t="s">
        <v>2079</v>
      </c>
      <c r="BI421">
        <v>15</v>
      </c>
      <c r="BJ421" t="s">
        <v>8165</v>
      </c>
      <c r="BK421" t="s">
        <v>126</v>
      </c>
      <c r="BL421" t="s">
        <v>8165</v>
      </c>
      <c r="BM421" t="s">
        <v>8166</v>
      </c>
      <c r="BN421">
        <v>37665506</v>
      </c>
      <c r="BO421" t="s">
        <v>327</v>
      </c>
      <c r="BP421" t="s">
        <v>74</v>
      </c>
      <c r="BQ421" t="s">
        <v>74</v>
      </c>
      <c r="BR421" t="s">
        <v>99</v>
      </c>
      <c r="BS421" t="s">
        <v>8167</v>
      </c>
      <c r="BT421" t="str">
        <f>HYPERLINK("https%3A%2F%2Fwww.webofscience.com%2Fwos%2Fwoscc%2Ffull-record%2FWOS:001061433900002","View Full Record in Web of Science")</f>
        <v>View Full Record in Web of Science</v>
      </c>
    </row>
    <row r="422" spans="1:72" x14ac:dyDescent="0.15">
      <c r="A422" t="s">
        <v>72</v>
      </c>
      <c r="B422" t="s">
        <v>8168</v>
      </c>
      <c r="C422" t="s">
        <v>74</v>
      </c>
      <c r="D422" t="s">
        <v>74</v>
      </c>
      <c r="E422" t="s">
        <v>74</v>
      </c>
      <c r="F422" t="s">
        <v>8169</v>
      </c>
      <c r="G422" t="s">
        <v>74</v>
      </c>
      <c r="H422" t="s">
        <v>74</v>
      </c>
      <c r="I422" t="s">
        <v>8170</v>
      </c>
      <c r="J422" t="s">
        <v>8171</v>
      </c>
      <c r="K422" t="s">
        <v>74</v>
      </c>
      <c r="L422" t="s">
        <v>74</v>
      </c>
      <c r="M422" t="s">
        <v>78</v>
      </c>
      <c r="N422" t="s">
        <v>1246</v>
      </c>
      <c r="O422" t="s">
        <v>74</v>
      </c>
      <c r="P422" t="s">
        <v>74</v>
      </c>
      <c r="Q422" t="s">
        <v>74</v>
      </c>
      <c r="R422" t="s">
        <v>74</v>
      </c>
      <c r="S422" t="s">
        <v>74</v>
      </c>
      <c r="T422" t="s">
        <v>8172</v>
      </c>
      <c r="U422" t="s">
        <v>8173</v>
      </c>
      <c r="V422" t="s">
        <v>8174</v>
      </c>
      <c r="W422" t="s">
        <v>8175</v>
      </c>
      <c r="X422" t="s">
        <v>8176</v>
      </c>
      <c r="Y422" t="s">
        <v>8177</v>
      </c>
      <c r="Z422" t="s">
        <v>8178</v>
      </c>
      <c r="AA422" t="s">
        <v>74</v>
      </c>
      <c r="AB422" t="s">
        <v>74</v>
      </c>
      <c r="AC422" t="s">
        <v>8179</v>
      </c>
      <c r="AD422" t="s">
        <v>8180</v>
      </c>
      <c r="AE422" t="s">
        <v>8181</v>
      </c>
      <c r="AF422" t="s">
        <v>74</v>
      </c>
      <c r="AG422">
        <v>35</v>
      </c>
      <c r="AH422">
        <v>0</v>
      </c>
      <c r="AI422">
        <v>0</v>
      </c>
      <c r="AJ422">
        <v>0</v>
      </c>
      <c r="AK422">
        <v>0</v>
      </c>
      <c r="AL422" t="s">
        <v>117</v>
      </c>
      <c r="AM422" t="s">
        <v>627</v>
      </c>
      <c r="AN422" t="s">
        <v>628</v>
      </c>
      <c r="AO422" t="s">
        <v>8182</v>
      </c>
      <c r="AP422" t="s">
        <v>8183</v>
      </c>
      <c r="AQ422" t="s">
        <v>74</v>
      </c>
      <c r="AR422" t="s">
        <v>8184</v>
      </c>
      <c r="AS422" t="s">
        <v>8185</v>
      </c>
      <c r="AT422" t="s">
        <v>8186</v>
      </c>
      <c r="AU422">
        <v>2023</v>
      </c>
      <c r="AV422" t="s">
        <v>74</v>
      </c>
      <c r="AW422" t="s">
        <v>74</v>
      </c>
      <c r="AX422" t="s">
        <v>74</v>
      </c>
      <c r="AY422" t="s">
        <v>74</v>
      </c>
      <c r="AZ422" t="s">
        <v>74</v>
      </c>
      <c r="BA422" t="s">
        <v>74</v>
      </c>
      <c r="BB422" t="s">
        <v>74</v>
      </c>
      <c r="BC422" t="s">
        <v>74</v>
      </c>
      <c r="BD422" t="s">
        <v>74</v>
      </c>
      <c r="BE422" t="s">
        <v>8187</v>
      </c>
      <c r="BF422" t="str">
        <f>HYPERLINK("http://dx.doi.org/10.1007/s11033-023-08781","http://dx.doi.org/10.1007/s11033-023-08781")</f>
        <v>http://dx.doi.org/10.1007/s11033-023-08781</v>
      </c>
      <c r="BG422" t="s">
        <v>74</v>
      </c>
      <c r="BH422" t="s">
        <v>2079</v>
      </c>
      <c r="BI422">
        <v>11</v>
      </c>
      <c r="BJ422" t="s">
        <v>451</v>
      </c>
      <c r="BK422" t="s">
        <v>126</v>
      </c>
      <c r="BL422" t="s">
        <v>451</v>
      </c>
      <c r="BM422" t="s">
        <v>8188</v>
      </c>
      <c r="BN422" t="s">
        <v>74</v>
      </c>
      <c r="BO422" t="s">
        <v>74</v>
      </c>
      <c r="BP422" t="s">
        <v>74</v>
      </c>
      <c r="BQ422" t="s">
        <v>74</v>
      </c>
      <c r="BR422" t="s">
        <v>99</v>
      </c>
      <c r="BS422" t="s">
        <v>8189</v>
      </c>
      <c r="BT422" t="str">
        <f>HYPERLINK("https%3A%2F%2Fwww.webofscience.com%2Fwos%2Fwoscc%2Ffull-record%2FWOS:001057858700001","View Full Record in Web of Science")</f>
        <v>View Full Record in Web of Science</v>
      </c>
    </row>
    <row r="423" spans="1:72" x14ac:dyDescent="0.15">
      <c r="A423" t="s">
        <v>72</v>
      </c>
      <c r="B423" t="s">
        <v>8190</v>
      </c>
      <c r="C423" t="s">
        <v>74</v>
      </c>
      <c r="D423" t="s">
        <v>74</v>
      </c>
      <c r="E423" t="s">
        <v>74</v>
      </c>
      <c r="F423" t="s">
        <v>8191</v>
      </c>
      <c r="G423" t="s">
        <v>74</v>
      </c>
      <c r="H423" t="s">
        <v>74</v>
      </c>
      <c r="I423" t="s">
        <v>8192</v>
      </c>
      <c r="J423" t="s">
        <v>8193</v>
      </c>
      <c r="K423" t="s">
        <v>74</v>
      </c>
      <c r="L423" t="s">
        <v>74</v>
      </c>
      <c r="M423" t="s">
        <v>78</v>
      </c>
      <c r="N423" t="s">
        <v>1246</v>
      </c>
      <c r="O423" t="s">
        <v>74</v>
      </c>
      <c r="P423" t="s">
        <v>74</v>
      </c>
      <c r="Q423" t="s">
        <v>74</v>
      </c>
      <c r="R423" t="s">
        <v>74</v>
      </c>
      <c r="S423" t="s">
        <v>74</v>
      </c>
      <c r="T423" t="s">
        <v>8194</v>
      </c>
      <c r="U423" t="s">
        <v>8195</v>
      </c>
      <c r="V423" t="s">
        <v>8196</v>
      </c>
      <c r="W423" t="s">
        <v>8197</v>
      </c>
      <c r="X423" t="s">
        <v>8198</v>
      </c>
      <c r="Y423" t="s">
        <v>8199</v>
      </c>
      <c r="Z423" t="s">
        <v>8200</v>
      </c>
      <c r="AA423" t="s">
        <v>74</v>
      </c>
      <c r="AB423" t="s">
        <v>74</v>
      </c>
      <c r="AC423" t="s">
        <v>74</v>
      </c>
      <c r="AD423" t="s">
        <v>74</v>
      </c>
      <c r="AE423" t="s">
        <v>74</v>
      </c>
      <c r="AF423" t="s">
        <v>74</v>
      </c>
      <c r="AG423">
        <v>8</v>
      </c>
      <c r="AH423">
        <v>0</v>
      </c>
      <c r="AI423">
        <v>0</v>
      </c>
      <c r="AJ423">
        <v>0</v>
      </c>
      <c r="AK423">
        <v>0</v>
      </c>
      <c r="AL423" t="s">
        <v>317</v>
      </c>
      <c r="AM423" t="s">
        <v>245</v>
      </c>
      <c r="AN423" t="s">
        <v>318</v>
      </c>
      <c r="AO423" t="s">
        <v>8201</v>
      </c>
      <c r="AP423" t="s">
        <v>8202</v>
      </c>
      <c r="AQ423" t="s">
        <v>74</v>
      </c>
      <c r="AR423" t="s">
        <v>8203</v>
      </c>
      <c r="AS423" t="s">
        <v>8204</v>
      </c>
      <c r="AT423" t="s">
        <v>8186</v>
      </c>
      <c r="AU423">
        <v>2023</v>
      </c>
      <c r="AV423" t="s">
        <v>74</v>
      </c>
      <c r="AW423" t="s">
        <v>74</v>
      </c>
      <c r="AX423" t="s">
        <v>74</v>
      </c>
      <c r="AY423" t="s">
        <v>74</v>
      </c>
      <c r="AZ423" t="s">
        <v>74</v>
      </c>
      <c r="BA423" t="s">
        <v>74</v>
      </c>
      <c r="BB423" t="s">
        <v>74</v>
      </c>
      <c r="BC423" t="s">
        <v>74</v>
      </c>
      <c r="BD423" t="s">
        <v>74</v>
      </c>
      <c r="BE423" t="s">
        <v>8205</v>
      </c>
      <c r="BF423" t="str">
        <f>HYPERLINK("http://dx.doi.org/10.1007/s00590-023-03696-7","http://dx.doi.org/10.1007/s00590-023-03696-7")</f>
        <v>http://dx.doi.org/10.1007/s00590-023-03696-7</v>
      </c>
      <c r="BG423" t="s">
        <v>74</v>
      </c>
      <c r="BH423" t="s">
        <v>2079</v>
      </c>
      <c r="BI423">
        <v>6</v>
      </c>
      <c r="BJ423" t="s">
        <v>7941</v>
      </c>
      <c r="BK423" t="s">
        <v>97</v>
      </c>
      <c r="BL423" t="s">
        <v>7941</v>
      </c>
      <c r="BM423" t="s">
        <v>8206</v>
      </c>
      <c r="BN423">
        <v>37660313</v>
      </c>
      <c r="BO423" t="s">
        <v>74</v>
      </c>
      <c r="BP423" t="s">
        <v>74</v>
      </c>
      <c r="BQ423" t="s">
        <v>74</v>
      </c>
      <c r="BR423" t="s">
        <v>99</v>
      </c>
      <c r="BS423" t="s">
        <v>8207</v>
      </c>
      <c r="BT423" t="str">
        <f>HYPERLINK("https%3A%2F%2Fwww.webofscience.com%2Fwos%2Fwoscc%2Ffull-record%2FWOS:001057863900001","View Full Record in Web of Science")</f>
        <v>View Full Record in Web of Science</v>
      </c>
    </row>
    <row r="424" spans="1:72" x14ac:dyDescent="0.15">
      <c r="A424" t="s">
        <v>72</v>
      </c>
      <c r="B424" t="s">
        <v>8208</v>
      </c>
      <c r="C424" t="s">
        <v>74</v>
      </c>
      <c r="D424" t="s">
        <v>74</v>
      </c>
      <c r="E424" t="s">
        <v>74</v>
      </c>
      <c r="F424" t="s">
        <v>8209</v>
      </c>
      <c r="G424" t="s">
        <v>74</v>
      </c>
      <c r="H424" t="s">
        <v>74</v>
      </c>
      <c r="I424" t="s">
        <v>8210</v>
      </c>
      <c r="J424" t="s">
        <v>8211</v>
      </c>
      <c r="K424" t="s">
        <v>74</v>
      </c>
      <c r="L424" t="s">
        <v>74</v>
      </c>
      <c r="M424" t="s">
        <v>78</v>
      </c>
      <c r="N424" t="s">
        <v>1246</v>
      </c>
      <c r="O424" t="s">
        <v>74</v>
      </c>
      <c r="P424" t="s">
        <v>74</v>
      </c>
      <c r="Q424" t="s">
        <v>74</v>
      </c>
      <c r="R424" t="s">
        <v>74</v>
      </c>
      <c r="S424" t="s">
        <v>74</v>
      </c>
      <c r="T424" t="s">
        <v>8212</v>
      </c>
      <c r="U424" t="s">
        <v>8213</v>
      </c>
      <c r="V424" t="s">
        <v>8214</v>
      </c>
      <c r="W424" t="s">
        <v>8215</v>
      </c>
      <c r="X424" t="s">
        <v>2324</v>
      </c>
      <c r="Y424" t="s">
        <v>8216</v>
      </c>
      <c r="Z424" t="s">
        <v>8217</v>
      </c>
      <c r="AA424" t="s">
        <v>74</v>
      </c>
      <c r="AB424" t="s">
        <v>8218</v>
      </c>
      <c r="AC424" t="s">
        <v>8219</v>
      </c>
      <c r="AD424" t="s">
        <v>8219</v>
      </c>
      <c r="AE424" t="s">
        <v>8220</v>
      </c>
      <c r="AF424" t="s">
        <v>74</v>
      </c>
      <c r="AG424">
        <v>68</v>
      </c>
      <c r="AH424">
        <v>0</v>
      </c>
      <c r="AI424">
        <v>0</v>
      </c>
      <c r="AJ424">
        <v>0</v>
      </c>
      <c r="AK424">
        <v>0</v>
      </c>
      <c r="AL424" t="s">
        <v>117</v>
      </c>
      <c r="AM424" t="s">
        <v>627</v>
      </c>
      <c r="AN424" t="s">
        <v>628</v>
      </c>
      <c r="AO424" t="s">
        <v>8221</v>
      </c>
      <c r="AP424" t="s">
        <v>8222</v>
      </c>
      <c r="AQ424" t="s">
        <v>74</v>
      </c>
      <c r="AR424" t="s">
        <v>8223</v>
      </c>
      <c r="AS424" t="s">
        <v>8224</v>
      </c>
      <c r="AT424" t="s">
        <v>8225</v>
      </c>
      <c r="AU424">
        <v>2023</v>
      </c>
      <c r="AV424" t="s">
        <v>74</v>
      </c>
      <c r="AW424" t="s">
        <v>74</v>
      </c>
      <c r="AX424" t="s">
        <v>74</v>
      </c>
      <c r="AY424" t="s">
        <v>74</v>
      </c>
      <c r="AZ424" t="s">
        <v>74</v>
      </c>
      <c r="BA424" t="s">
        <v>74</v>
      </c>
      <c r="BB424" t="s">
        <v>74</v>
      </c>
      <c r="BC424" t="s">
        <v>74</v>
      </c>
      <c r="BD424" t="s">
        <v>74</v>
      </c>
      <c r="BE424" t="s">
        <v>8226</v>
      </c>
      <c r="BF424" t="str">
        <f>HYPERLINK("http://dx.doi.org/10.1007/s10706-023-02613-3","http://dx.doi.org/10.1007/s10706-023-02613-3")</f>
        <v>http://dx.doi.org/10.1007/s10706-023-02613-3</v>
      </c>
      <c r="BG424" t="s">
        <v>74</v>
      </c>
      <c r="BH424" t="s">
        <v>2079</v>
      </c>
      <c r="BI424">
        <v>20</v>
      </c>
      <c r="BJ424" t="s">
        <v>8227</v>
      </c>
      <c r="BK424" t="s">
        <v>97</v>
      </c>
      <c r="BL424" t="s">
        <v>277</v>
      </c>
      <c r="BM424" t="s">
        <v>8228</v>
      </c>
      <c r="BN424" t="s">
        <v>74</v>
      </c>
      <c r="BO424" t="s">
        <v>74</v>
      </c>
      <c r="BP424" t="s">
        <v>74</v>
      </c>
      <c r="BQ424" t="s">
        <v>74</v>
      </c>
      <c r="BR424" t="s">
        <v>99</v>
      </c>
      <c r="BS424" t="s">
        <v>8229</v>
      </c>
      <c r="BT424" t="str">
        <f>HYPERLINK("https%3A%2F%2Fwww.webofscience.com%2Fwos%2Fwoscc%2Ffull-record%2FWOS:001057647000002","View Full Record in Web of Science")</f>
        <v>View Full Record in Web of Science</v>
      </c>
    </row>
    <row r="425" spans="1:72" x14ac:dyDescent="0.15">
      <c r="A425" t="s">
        <v>72</v>
      </c>
      <c r="B425" t="s">
        <v>8230</v>
      </c>
      <c r="C425" t="s">
        <v>74</v>
      </c>
      <c r="D425" t="s">
        <v>74</v>
      </c>
      <c r="E425" t="s">
        <v>74</v>
      </c>
      <c r="F425" t="s">
        <v>8231</v>
      </c>
      <c r="G425" t="s">
        <v>74</v>
      </c>
      <c r="H425" t="s">
        <v>74</v>
      </c>
      <c r="I425" t="s">
        <v>8232</v>
      </c>
      <c r="J425" t="s">
        <v>8233</v>
      </c>
      <c r="K425" t="s">
        <v>74</v>
      </c>
      <c r="L425" t="s">
        <v>74</v>
      </c>
      <c r="M425" t="s">
        <v>78</v>
      </c>
      <c r="N425" t="s">
        <v>1246</v>
      </c>
      <c r="O425" t="s">
        <v>74</v>
      </c>
      <c r="P425" t="s">
        <v>74</v>
      </c>
      <c r="Q425" t="s">
        <v>74</v>
      </c>
      <c r="R425" t="s">
        <v>74</v>
      </c>
      <c r="S425" t="s">
        <v>74</v>
      </c>
      <c r="T425" t="s">
        <v>8234</v>
      </c>
      <c r="U425" t="s">
        <v>8235</v>
      </c>
      <c r="V425" t="s">
        <v>8236</v>
      </c>
      <c r="W425" t="s">
        <v>8237</v>
      </c>
      <c r="X425" t="s">
        <v>8238</v>
      </c>
      <c r="Y425" t="s">
        <v>8239</v>
      </c>
      <c r="Z425" t="s">
        <v>8240</v>
      </c>
      <c r="AA425" t="s">
        <v>74</v>
      </c>
      <c r="AB425" t="s">
        <v>74</v>
      </c>
      <c r="AC425" t="s">
        <v>74</v>
      </c>
      <c r="AD425" t="s">
        <v>74</v>
      </c>
      <c r="AE425" t="s">
        <v>74</v>
      </c>
      <c r="AF425" t="s">
        <v>74</v>
      </c>
      <c r="AG425">
        <v>27</v>
      </c>
      <c r="AH425">
        <v>0</v>
      </c>
      <c r="AI425">
        <v>0</v>
      </c>
      <c r="AJ425">
        <v>0</v>
      </c>
      <c r="AK425">
        <v>0</v>
      </c>
      <c r="AL425" t="s">
        <v>117</v>
      </c>
      <c r="AM425" t="s">
        <v>118</v>
      </c>
      <c r="AN425" t="s">
        <v>119</v>
      </c>
      <c r="AO425" t="s">
        <v>8241</v>
      </c>
      <c r="AP425" t="s">
        <v>8242</v>
      </c>
      <c r="AQ425" t="s">
        <v>74</v>
      </c>
      <c r="AR425" t="s">
        <v>8233</v>
      </c>
      <c r="AS425" t="s">
        <v>8243</v>
      </c>
      <c r="AT425" t="s">
        <v>8225</v>
      </c>
      <c r="AU425">
        <v>2023</v>
      </c>
      <c r="AV425" t="s">
        <v>74</v>
      </c>
      <c r="AW425" t="s">
        <v>74</v>
      </c>
      <c r="AX425" t="s">
        <v>74</v>
      </c>
      <c r="AY425" t="s">
        <v>74</v>
      </c>
      <c r="AZ425" t="s">
        <v>74</v>
      </c>
      <c r="BA425" t="s">
        <v>74</v>
      </c>
      <c r="BB425" t="s">
        <v>74</v>
      </c>
      <c r="BC425" t="s">
        <v>74</v>
      </c>
      <c r="BD425" t="s">
        <v>74</v>
      </c>
      <c r="BE425" t="s">
        <v>8244</v>
      </c>
      <c r="BF425" t="str">
        <f>HYPERLINK("http://dx.doi.org/10.1007/s10048-023-00732","http://dx.doi.org/10.1007/s10048-023-00732")</f>
        <v>http://dx.doi.org/10.1007/s10048-023-00732</v>
      </c>
      <c r="BG425" t="s">
        <v>74</v>
      </c>
      <c r="BH425" t="s">
        <v>2079</v>
      </c>
      <c r="BI425">
        <v>8</v>
      </c>
      <c r="BJ425" t="s">
        <v>8245</v>
      </c>
      <c r="BK425" t="s">
        <v>126</v>
      </c>
      <c r="BL425" t="s">
        <v>8246</v>
      </c>
      <c r="BM425" t="s">
        <v>8247</v>
      </c>
      <c r="BN425" t="s">
        <v>74</v>
      </c>
      <c r="BO425" t="s">
        <v>74</v>
      </c>
      <c r="BP425" t="s">
        <v>74</v>
      </c>
      <c r="BQ425" t="s">
        <v>74</v>
      </c>
      <c r="BR425" t="s">
        <v>99</v>
      </c>
      <c r="BS425" t="s">
        <v>8248</v>
      </c>
      <c r="BT425" t="str">
        <f>HYPERLINK("https%3A%2F%2Fwww.webofscience.com%2Fwos%2Fwoscc%2Ffull-record%2FWOS:001060153300001","View Full Record in Web of Science")</f>
        <v>View Full Record in Web of Science</v>
      </c>
    </row>
    <row r="426" spans="1:72" x14ac:dyDescent="0.15">
      <c r="A426" t="s">
        <v>72</v>
      </c>
      <c r="B426" t="s">
        <v>8249</v>
      </c>
      <c r="C426" t="s">
        <v>74</v>
      </c>
      <c r="D426" t="s">
        <v>74</v>
      </c>
      <c r="E426" t="s">
        <v>74</v>
      </c>
      <c r="F426" t="s">
        <v>8250</v>
      </c>
      <c r="G426" t="s">
        <v>74</v>
      </c>
      <c r="H426" t="s">
        <v>74</v>
      </c>
      <c r="I426" t="s">
        <v>8251</v>
      </c>
      <c r="J426" t="s">
        <v>3361</v>
      </c>
      <c r="K426" t="s">
        <v>74</v>
      </c>
      <c r="L426" t="s">
        <v>74</v>
      </c>
      <c r="M426" t="s">
        <v>78</v>
      </c>
      <c r="N426" t="s">
        <v>79</v>
      </c>
      <c r="O426" t="s">
        <v>74</v>
      </c>
      <c r="P426" t="s">
        <v>74</v>
      </c>
      <c r="Q426" t="s">
        <v>74</v>
      </c>
      <c r="R426" t="s">
        <v>74</v>
      </c>
      <c r="S426" t="s">
        <v>74</v>
      </c>
      <c r="T426" t="s">
        <v>8252</v>
      </c>
      <c r="U426" t="s">
        <v>8253</v>
      </c>
      <c r="V426" t="s">
        <v>8254</v>
      </c>
      <c r="W426" t="s">
        <v>8255</v>
      </c>
      <c r="X426" t="s">
        <v>8256</v>
      </c>
      <c r="Y426" t="s">
        <v>8257</v>
      </c>
      <c r="Z426" t="s">
        <v>8258</v>
      </c>
      <c r="AA426" t="s">
        <v>74</v>
      </c>
      <c r="AB426" t="s">
        <v>8259</v>
      </c>
      <c r="AC426" t="s">
        <v>8260</v>
      </c>
      <c r="AD426" t="s">
        <v>8260</v>
      </c>
      <c r="AE426" t="s">
        <v>8261</v>
      </c>
      <c r="AF426" t="s">
        <v>74</v>
      </c>
      <c r="AG426">
        <v>34</v>
      </c>
      <c r="AH426">
        <v>0</v>
      </c>
      <c r="AI426">
        <v>0</v>
      </c>
      <c r="AJ426">
        <v>0</v>
      </c>
      <c r="AK426">
        <v>0</v>
      </c>
      <c r="AL426" t="s">
        <v>443</v>
      </c>
      <c r="AM426" t="s">
        <v>245</v>
      </c>
      <c r="AN426" t="s">
        <v>444</v>
      </c>
      <c r="AO426" t="s">
        <v>74</v>
      </c>
      <c r="AP426" t="s">
        <v>3370</v>
      </c>
      <c r="AQ426" t="s">
        <v>74</v>
      </c>
      <c r="AR426" t="s">
        <v>3361</v>
      </c>
      <c r="AS426" t="s">
        <v>3371</v>
      </c>
      <c r="AT426" t="s">
        <v>8262</v>
      </c>
      <c r="AU426">
        <v>2023</v>
      </c>
      <c r="AV426">
        <v>23</v>
      </c>
      <c r="AW426">
        <v>1</v>
      </c>
      <c r="AX426" t="s">
        <v>74</v>
      </c>
      <c r="AY426" t="s">
        <v>74</v>
      </c>
      <c r="AZ426" t="s">
        <v>74</v>
      </c>
      <c r="BA426" t="s">
        <v>74</v>
      </c>
      <c r="BB426" t="s">
        <v>74</v>
      </c>
      <c r="BC426" t="s">
        <v>74</v>
      </c>
      <c r="BD426">
        <v>641</v>
      </c>
      <c r="BE426" t="s">
        <v>8263</v>
      </c>
      <c r="BF426" t="str">
        <f>HYPERLINK("http://dx.doi.org/10.1186/s12888-023-05126-8","http://dx.doi.org/10.1186/s12888-023-05126-8")</f>
        <v>http://dx.doi.org/10.1186/s12888-023-05126-8</v>
      </c>
      <c r="BG426" t="s">
        <v>74</v>
      </c>
      <c r="BH426" t="s">
        <v>74</v>
      </c>
      <c r="BI426">
        <v>13</v>
      </c>
      <c r="BJ426" t="s">
        <v>3373</v>
      </c>
      <c r="BK426" t="s">
        <v>126</v>
      </c>
      <c r="BL426" t="s">
        <v>3373</v>
      </c>
      <c r="BM426" t="s">
        <v>8264</v>
      </c>
      <c r="BN426">
        <v>37658298</v>
      </c>
      <c r="BO426" t="s">
        <v>540</v>
      </c>
      <c r="BP426" t="s">
        <v>74</v>
      </c>
      <c r="BQ426" t="s">
        <v>74</v>
      </c>
      <c r="BR426" t="s">
        <v>99</v>
      </c>
      <c r="BS426" t="s">
        <v>8265</v>
      </c>
      <c r="BT426" t="str">
        <f>HYPERLINK("https%3A%2F%2Fwww.webofscience.com%2Fwos%2Fwoscc%2Ffull-record%2FWOS:001058809300001","View Full Record in Web of Science")</f>
        <v>View Full Record in Web of Science</v>
      </c>
    </row>
    <row r="427" spans="1:72" x14ac:dyDescent="0.15">
      <c r="A427" t="s">
        <v>72</v>
      </c>
      <c r="B427" t="s">
        <v>8266</v>
      </c>
      <c r="C427" t="s">
        <v>74</v>
      </c>
      <c r="D427" t="s">
        <v>74</v>
      </c>
      <c r="E427" t="s">
        <v>74</v>
      </c>
      <c r="F427" t="s">
        <v>8267</v>
      </c>
      <c r="G427" t="s">
        <v>74</v>
      </c>
      <c r="H427" t="s">
        <v>74</v>
      </c>
      <c r="I427" t="s">
        <v>8268</v>
      </c>
      <c r="J427" t="s">
        <v>5474</v>
      </c>
      <c r="K427" t="s">
        <v>74</v>
      </c>
      <c r="L427" t="s">
        <v>74</v>
      </c>
      <c r="M427" t="s">
        <v>78</v>
      </c>
      <c r="N427" t="s">
        <v>79</v>
      </c>
      <c r="O427" t="s">
        <v>74</v>
      </c>
      <c r="P427" t="s">
        <v>74</v>
      </c>
      <c r="Q427" t="s">
        <v>74</v>
      </c>
      <c r="R427" t="s">
        <v>74</v>
      </c>
      <c r="S427" t="s">
        <v>74</v>
      </c>
      <c r="T427" t="s">
        <v>8269</v>
      </c>
      <c r="U427" t="s">
        <v>8270</v>
      </c>
      <c r="V427" t="s">
        <v>8271</v>
      </c>
      <c r="W427" t="s">
        <v>8272</v>
      </c>
      <c r="X427" t="s">
        <v>8273</v>
      </c>
      <c r="Y427" t="s">
        <v>8274</v>
      </c>
      <c r="Z427" t="s">
        <v>8275</v>
      </c>
      <c r="AA427" t="s">
        <v>74</v>
      </c>
      <c r="AB427" t="s">
        <v>74</v>
      </c>
      <c r="AC427" t="s">
        <v>8276</v>
      </c>
      <c r="AD427" t="s">
        <v>8277</v>
      </c>
      <c r="AE427" t="s">
        <v>8278</v>
      </c>
      <c r="AF427" t="s">
        <v>74</v>
      </c>
      <c r="AG427">
        <v>27</v>
      </c>
      <c r="AH427">
        <v>0</v>
      </c>
      <c r="AI427">
        <v>0</v>
      </c>
      <c r="AJ427">
        <v>0</v>
      </c>
      <c r="AK427">
        <v>0</v>
      </c>
      <c r="AL427" t="s">
        <v>443</v>
      </c>
      <c r="AM427" t="s">
        <v>245</v>
      </c>
      <c r="AN427" t="s">
        <v>444</v>
      </c>
      <c r="AO427" t="s">
        <v>74</v>
      </c>
      <c r="AP427" t="s">
        <v>5483</v>
      </c>
      <c r="AQ427" t="s">
        <v>74</v>
      </c>
      <c r="AR427" t="s">
        <v>5474</v>
      </c>
      <c r="AS427" t="s">
        <v>5484</v>
      </c>
      <c r="AT427" t="s">
        <v>8262</v>
      </c>
      <c r="AU427">
        <v>2023</v>
      </c>
      <c r="AV427">
        <v>24</v>
      </c>
      <c r="AW427">
        <v>1</v>
      </c>
      <c r="AX427" t="s">
        <v>74</v>
      </c>
      <c r="AY427" t="s">
        <v>74</v>
      </c>
      <c r="AZ427" t="s">
        <v>74</v>
      </c>
      <c r="BA427" t="s">
        <v>74</v>
      </c>
      <c r="BB427" t="s">
        <v>74</v>
      </c>
      <c r="BC427" t="s">
        <v>74</v>
      </c>
      <c r="BD427">
        <v>569</v>
      </c>
      <c r="BE427" t="s">
        <v>8279</v>
      </c>
      <c r="BF427" t="str">
        <f>HYPERLINK("http://dx.doi.org/10.1186/s13063-023-07571-y","http://dx.doi.org/10.1186/s13063-023-07571-y")</f>
        <v>http://dx.doi.org/10.1186/s13063-023-07571-y</v>
      </c>
      <c r="BG427" t="s">
        <v>74</v>
      </c>
      <c r="BH427" t="s">
        <v>74</v>
      </c>
      <c r="BI427">
        <v>8</v>
      </c>
      <c r="BJ427" t="s">
        <v>3415</v>
      </c>
      <c r="BK427" t="s">
        <v>126</v>
      </c>
      <c r="BL427" t="s">
        <v>3416</v>
      </c>
      <c r="BM427" t="s">
        <v>8280</v>
      </c>
      <c r="BN427">
        <v>37660052</v>
      </c>
      <c r="BO427" t="s">
        <v>302</v>
      </c>
      <c r="BP427" t="s">
        <v>74</v>
      </c>
      <c r="BQ427" t="s">
        <v>74</v>
      </c>
      <c r="BR427" t="s">
        <v>99</v>
      </c>
      <c r="BS427" t="s">
        <v>8281</v>
      </c>
      <c r="BT427" t="str">
        <f>HYPERLINK("https%3A%2F%2Fwww.webofscience.com%2Fwos%2Fwoscc%2Ffull-record%2FWOS:001059010900002","View Full Record in Web of Science")</f>
        <v>View Full Record in Web of Science</v>
      </c>
    </row>
    <row r="428" spans="1:72" x14ac:dyDescent="0.15">
      <c r="A428" t="s">
        <v>72</v>
      </c>
      <c r="B428" t="s">
        <v>8282</v>
      </c>
      <c r="C428" t="s">
        <v>74</v>
      </c>
      <c r="D428" t="s">
        <v>74</v>
      </c>
      <c r="E428" t="s">
        <v>74</v>
      </c>
      <c r="F428" t="s">
        <v>8283</v>
      </c>
      <c r="G428" t="s">
        <v>74</v>
      </c>
      <c r="H428" t="s">
        <v>74</v>
      </c>
      <c r="I428" t="s">
        <v>8284</v>
      </c>
      <c r="J428" t="s">
        <v>8285</v>
      </c>
      <c r="K428" t="s">
        <v>74</v>
      </c>
      <c r="L428" t="s">
        <v>74</v>
      </c>
      <c r="M428" t="s">
        <v>78</v>
      </c>
      <c r="N428" t="s">
        <v>1246</v>
      </c>
      <c r="O428" t="s">
        <v>74</v>
      </c>
      <c r="P428" t="s">
        <v>74</v>
      </c>
      <c r="Q428" t="s">
        <v>74</v>
      </c>
      <c r="R428" t="s">
        <v>74</v>
      </c>
      <c r="S428" t="s">
        <v>74</v>
      </c>
      <c r="T428" t="s">
        <v>8286</v>
      </c>
      <c r="U428" t="s">
        <v>8287</v>
      </c>
      <c r="V428" t="s">
        <v>8288</v>
      </c>
      <c r="W428" t="s">
        <v>8289</v>
      </c>
      <c r="X428" t="s">
        <v>8290</v>
      </c>
      <c r="Y428" t="s">
        <v>8291</v>
      </c>
      <c r="Z428" t="s">
        <v>8292</v>
      </c>
      <c r="AA428" t="s">
        <v>74</v>
      </c>
      <c r="AB428" t="s">
        <v>74</v>
      </c>
      <c r="AC428" t="s">
        <v>74</v>
      </c>
      <c r="AD428" t="s">
        <v>74</v>
      </c>
      <c r="AE428" t="s">
        <v>74</v>
      </c>
      <c r="AF428" t="s">
        <v>74</v>
      </c>
      <c r="AG428">
        <v>31</v>
      </c>
      <c r="AH428">
        <v>0</v>
      </c>
      <c r="AI428">
        <v>0</v>
      </c>
      <c r="AJ428">
        <v>1</v>
      </c>
      <c r="AK428">
        <v>1</v>
      </c>
      <c r="AL428" t="s">
        <v>172</v>
      </c>
      <c r="AM428" t="s">
        <v>173</v>
      </c>
      <c r="AN428" t="s">
        <v>174</v>
      </c>
      <c r="AO428" t="s">
        <v>8293</v>
      </c>
      <c r="AP428" t="s">
        <v>8294</v>
      </c>
      <c r="AQ428" t="s">
        <v>74</v>
      </c>
      <c r="AR428" t="s">
        <v>8295</v>
      </c>
      <c r="AS428" t="s">
        <v>8296</v>
      </c>
      <c r="AT428" t="s">
        <v>8225</v>
      </c>
      <c r="AU428">
        <v>2023</v>
      </c>
      <c r="AV428" t="s">
        <v>74</v>
      </c>
      <c r="AW428" t="s">
        <v>74</v>
      </c>
      <c r="AX428" t="s">
        <v>74</v>
      </c>
      <c r="AY428" t="s">
        <v>74</v>
      </c>
      <c r="AZ428" t="s">
        <v>74</v>
      </c>
      <c r="BA428" t="s">
        <v>74</v>
      </c>
      <c r="BB428" t="s">
        <v>74</v>
      </c>
      <c r="BC428" t="s">
        <v>74</v>
      </c>
      <c r="BD428" t="s">
        <v>74</v>
      </c>
      <c r="BE428" t="s">
        <v>8297</v>
      </c>
      <c r="BF428" t="str">
        <f>HYPERLINK("http://dx.doi.org/10.1007/s00066-023-02131-4","http://dx.doi.org/10.1007/s00066-023-02131-4")</f>
        <v>http://dx.doi.org/10.1007/s00066-023-02131-4</v>
      </c>
      <c r="BG428" t="s">
        <v>74</v>
      </c>
      <c r="BH428" t="s">
        <v>2079</v>
      </c>
      <c r="BI428">
        <v>9</v>
      </c>
      <c r="BJ428" t="s">
        <v>4578</v>
      </c>
      <c r="BK428" t="s">
        <v>126</v>
      </c>
      <c r="BL428" t="s">
        <v>4578</v>
      </c>
      <c r="BM428" t="s">
        <v>8298</v>
      </c>
      <c r="BN428">
        <v>37658923</v>
      </c>
      <c r="BO428" t="s">
        <v>74</v>
      </c>
      <c r="BP428" t="s">
        <v>74</v>
      </c>
      <c r="BQ428" t="s">
        <v>74</v>
      </c>
      <c r="BR428" t="s">
        <v>99</v>
      </c>
      <c r="BS428" t="s">
        <v>8299</v>
      </c>
      <c r="BT428" t="str">
        <f>HYPERLINK("https%3A%2F%2Fwww.webofscience.com%2Fwos%2Fwoscc%2Ffull-record%2FWOS:001057645600003","View Full Record in Web of Science")</f>
        <v>View Full Record in Web of Science</v>
      </c>
    </row>
    <row r="429" spans="1:72" x14ac:dyDescent="0.15">
      <c r="A429" t="s">
        <v>72</v>
      </c>
      <c r="B429" t="s">
        <v>8300</v>
      </c>
      <c r="C429" t="s">
        <v>74</v>
      </c>
      <c r="D429" t="s">
        <v>74</v>
      </c>
      <c r="E429" t="s">
        <v>74</v>
      </c>
      <c r="F429" t="s">
        <v>8301</v>
      </c>
      <c r="G429" t="s">
        <v>74</v>
      </c>
      <c r="H429" t="s">
        <v>74</v>
      </c>
      <c r="I429" t="s">
        <v>8302</v>
      </c>
      <c r="J429" t="s">
        <v>3786</v>
      </c>
      <c r="K429" t="s">
        <v>74</v>
      </c>
      <c r="L429" t="s">
        <v>74</v>
      </c>
      <c r="M429" t="s">
        <v>78</v>
      </c>
      <c r="N429" t="s">
        <v>79</v>
      </c>
      <c r="O429" t="s">
        <v>74</v>
      </c>
      <c r="P429" t="s">
        <v>74</v>
      </c>
      <c r="Q429" t="s">
        <v>74</v>
      </c>
      <c r="R429" t="s">
        <v>74</v>
      </c>
      <c r="S429" t="s">
        <v>74</v>
      </c>
      <c r="T429" t="s">
        <v>8303</v>
      </c>
      <c r="U429" t="s">
        <v>8304</v>
      </c>
      <c r="V429" t="s">
        <v>8305</v>
      </c>
      <c r="W429" t="s">
        <v>8306</v>
      </c>
      <c r="X429" t="s">
        <v>8307</v>
      </c>
      <c r="Y429" t="s">
        <v>8308</v>
      </c>
      <c r="Z429" t="s">
        <v>8309</v>
      </c>
      <c r="AA429" t="s">
        <v>74</v>
      </c>
      <c r="AB429" t="s">
        <v>74</v>
      </c>
      <c r="AC429" t="s">
        <v>8310</v>
      </c>
      <c r="AD429" t="s">
        <v>8310</v>
      </c>
      <c r="AE429" t="s">
        <v>8310</v>
      </c>
      <c r="AF429" t="s">
        <v>74</v>
      </c>
      <c r="AG429">
        <v>71</v>
      </c>
      <c r="AH429">
        <v>0</v>
      </c>
      <c r="AI429">
        <v>0</v>
      </c>
      <c r="AJ429">
        <v>1</v>
      </c>
      <c r="AK429">
        <v>1</v>
      </c>
      <c r="AL429" t="s">
        <v>443</v>
      </c>
      <c r="AM429" t="s">
        <v>245</v>
      </c>
      <c r="AN429" t="s">
        <v>444</v>
      </c>
      <c r="AO429" t="s">
        <v>74</v>
      </c>
      <c r="AP429" t="s">
        <v>3794</v>
      </c>
      <c r="AQ429" t="s">
        <v>74</v>
      </c>
      <c r="AR429" t="s">
        <v>3795</v>
      </c>
      <c r="AS429" t="s">
        <v>3796</v>
      </c>
      <c r="AT429" t="s">
        <v>8262</v>
      </c>
      <c r="AU429">
        <v>2023</v>
      </c>
      <c r="AV429">
        <v>23</v>
      </c>
      <c r="AW429">
        <v>1</v>
      </c>
      <c r="AX429" t="s">
        <v>74</v>
      </c>
      <c r="AY429" t="s">
        <v>74</v>
      </c>
      <c r="AZ429" t="s">
        <v>74</v>
      </c>
      <c r="BA429" t="s">
        <v>74</v>
      </c>
      <c r="BB429" t="s">
        <v>74</v>
      </c>
      <c r="BC429" t="s">
        <v>74</v>
      </c>
      <c r="BD429">
        <v>191</v>
      </c>
      <c r="BE429" t="s">
        <v>8311</v>
      </c>
      <c r="BF429" t="str">
        <f>HYPERLINK("http://dx.doi.org/10.1186/s12935-023-03033-2","http://dx.doi.org/10.1186/s12935-023-03033-2")</f>
        <v>http://dx.doi.org/10.1186/s12935-023-03033-2</v>
      </c>
      <c r="BG429" t="s">
        <v>74</v>
      </c>
      <c r="BH429" t="s">
        <v>74</v>
      </c>
      <c r="BI429">
        <v>16</v>
      </c>
      <c r="BJ429" t="s">
        <v>1951</v>
      </c>
      <c r="BK429" t="s">
        <v>126</v>
      </c>
      <c r="BL429" t="s">
        <v>1951</v>
      </c>
      <c r="BM429" t="s">
        <v>8312</v>
      </c>
      <c r="BN429">
        <v>37660003</v>
      </c>
      <c r="BO429" t="s">
        <v>302</v>
      </c>
      <c r="BP429" t="s">
        <v>74</v>
      </c>
      <c r="BQ429" t="s">
        <v>74</v>
      </c>
      <c r="BR429" t="s">
        <v>99</v>
      </c>
      <c r="BS429" t="s">
        <v>8313</v>
      </c>
      <c r="BT429" t="str">
        <f>HYPERLINK("https%3A%2F%2Fwww.webofscience.com%2Fwos%2Fwoscc%2Ffull-record%2FWOS:001058999000002","View Full Record in Web of Science")</f>
        <v>View Full Record in Web of Science</v>
      </c>
    </row>
    <row r="430" spans="1:72" x14ac:dyDescent="0.15">
      <c r="A430" t="s">
        <v>72</v>
      </c>
      <c r="B430" t="s">
        <v>8314</v>
      </c>
      <c r="C430" t="s">
        <v>74</v>
      </c>
      <c r="D430" t="s">
        <v>74</v>
      </c>
      <c r="E430" t="s">
        <v>74</v>
      </c>
      <c r="F430" t="s">
        <v>8315</v>
      </c>
      <c r="G430" t="s">
        <v>74</v>
      </c>
      <c r="H430" t="s">
        <v>74</v>
      </c>
      <c r="I430" t="s">
        <v>8316</v>
      </c>
      <c r="J430" t="s">
        <v>8317</v>
      </c>
      <c r="K430" t="s">
        <v>74</v>
      </c>
      <c r="L430" t="s">
        <v>74</v>
      </c>
      <c r="M430" t="s">
        <v>78</v>
      </c>
      <c r="N430" t="s">
        <v>1246</v>
      </c>
      <c r="O430" t="s">
        <v>74</v>
      </c>
      <c r="P430" t="s">
        <v>74</v>
      </c>
      <c r="Q430" t="s">
        <v>74</v>
      </c>
      <c r="R430" t="s">
        <v>74</v>
      </c>
      <c r="S430" t="s">
        <v>74</v>
      </c>
      <c r="T430" t="s">
        <v>8318</v>
      </c>
      <c r="U430" t="s">
        <v>8319</v>
      </c>
      <c r="V430" t="s">
        <v>8320</v>
      </c>
      <c r="W430" t="s">
        <v>8321</v>
      </c>
      <c r="X430" t="s">
        <v>8322</v>
      </c>
      <c r="Y430" t="s">
        <v>8323</v>
      </c>
      <c r="Z430" t="s">
        <v>8324</v>
      </c>
      <c r="AA430" t="s">
        <v>8325</v>
      </c>
      <c r="AB430" t="s">
        <v>74</v>
      </c>
      <c r="AC430" t="s">
        <v>8326</v>
      </c>
      <c r="AD430" t="s">
        <v>8327</v>
      </c>
      <c r="AE430" t="s">
        <v>8328</v>
      </c>
      <c r="AF430" t="s">
        <v>74</v>
      </c>
      <c r="AG430">
        <v>39</v>
      </c>
      <c r="AH430">
        <v>0</v>
      </c>
      <c r="AI430">
        <v>0</v>
      </c>
      <c r="AJ430">
        <v>0</v>
      </c>
      <c r="AK430">
        <v>0</v>
      </c>
      <c r="AL430" t="s">
        <v>117</v>
      </c>
      <c r="AM430" t="s">
        <v>118</v>
      </c>
      <c r="AN430" t="s">
        <v>119</v>
      </c>
      <c r="AO430" t="s">
        <v>8329</v>
      </c>
      <c r="AP430" t="s">
        <v>8330</v>
      </c>
      <c r="AQ430" t="s">
        <v>74</v>
      </c>
      <c r="AR430" t="s">
        <v>8331</v>
      </c>
      <c r="AS430" t="s">
        <v>8332</v>
      </c>
      <c r="AT430" t="s">
        <v>8225</v>
      </c>
      <c r="AU430">
        <v>2023</v>
      </c>
      <c r="AV430" t="s">
        <v>74</v>
      </c>
      <c r="AW430" t="s">
        <v>74</v>
      </c>
      <c r="AX430" t="s">
        <v>74</v>
      </c>
      <c r="AY430" t="s">
        <v>74</v>
      </c>
      <c r="AZ430" t="s">
        <v>74</v>
      </c>
      <c r="BA430" t="s">
        <v>74</v>
      </c>
      <c r="BB430" t="s">
        <v>74</v>
      </c>
      <c r="BC430" t="s">
        <v>74</v>
      </c>
      <c r="BD430" t="s">
        <v>74</v>
      </c>
      <c r="BE430" t="s">
        <v>8333</v>
      </c>
      <c r="BF430" t="str">
        <f>HYPERLINK("http://dx.doi.org/10.1007/s00277-023-05420-1","http://dx.doi.org/10.1007/s00277-023-05420-1")</f>
        <v>http://dx.doi.org/10.1007/s00277-023-05420-1</v>
      </c>
      <c r="BG430" t="s">
        <v>74</v>
      </c>
      <c r="BH430" t="s">
        <v>2079</v>
      </c>
      <c r="BI430">
        <v>12</v>
      </c>
      <c r="BJ430" t="s">
        <v>7491</v>
      </c>
      <c r="BK430" t="s">
        <v>126</v>
      </c>
      <c r="BL430" t="s">
        <v>7491</v>
      </c>
      <c r="BM430" t="s">
        <v>8334</v>
      </c>
      <c r="BN430">
        <v>37658234</v>
      </c>
      <c r="BO430" t="s">
        <v>183</v>
      </c>
      <c r="BP430" t="s">
        <v>74</v>
      </c>
      <c r="BQ430" t="s">
        <v>74</v>
      </c>
      <c r="BR430" t="s">
        <v>99</v>
      </c>
      <c r="BS430" t="s">
        <v>8335</v>
      </c>
      <c r="BT430" t="str">
        <f>HYPERLINK("https%3A%2F%2Fwww.webofscience.com%2Fwos%2Fwoscc%2Ffull-record%2FWOS:001056313300001","View Full Record in Web of Science")</f>
        <v>View Full Record in Web of Science</v>
      </c>
    </row>
    <row r="431" spans="1:72" x14ac:dyDescent="0.15">
      <c r="A431" t="s">
        <v>72</v>
      </c>
      <c r="B431" t="s">
        <v>8336</v>
      </c>
      <c r="C431" t="s">
        <v>74</v>
      </c>
      <c r="D431" t="s">
        <v>74</v>
      </c>
      <c r="E431" t="s">
        <v>74</v>
      </c>
      <c r="F431" t="s">
        <v>8337</v>
      </c>
      <c r="G431" t="s">
        <v>74</v>
      </c>
      <c r="H431" t="s">
        <v>74</v>
      </c>
      <c r="I431" t="s">
        <v>8338</v>
      </c>
      <c r="J431" t="s">
        <v>8339</v>
      </c>
      <c r="K431" t="s">
        <v>74</v>
      </c>
      <c r="L431" t="s">
        <v>74</v>
      </c>
      <c r="M431" t="s">
        <v>78</v>
      </c>
      <c r="N431" t="s">
        <v>1246</v>
      </c>
      <c r="O431" t="s">
        <v>74</v>
      </c>
      <c r="P431" t="s">
        <v>74</v>
      </c>
      <c r="Q431" t="s">
        <v>74</v>
      </c>
      <c r="R431" t="s">
        <v>74</v>
      </c>
      <c r="S431" t="s">
        <v>74</v>
      </c>
      <c r="T431" t="s">
        <v>8340</v>
      </c>
      <c r="U431" t="s">
        <v>8341</v>
      </c>
      <c r="V431" t="s">
        <v>8342</v>
      </c>
      <c r="W431" t="s">
        <v>8343</v>
      </c>
      <c r="X431" t="s">
        <v>74</v>
      </c>
      <c r="Y431" t="s">
        <v>8344</v>
      </c>
      <c r="Z431" t="s">
        <v>8345</v>
      </c>
      <c r="AA431" t="s">
        <v>8346</v>
      </c>
      <c r="AB431" t="s">
        <v>8347</v>
      </c>
      <c r="AC431" t="s">
        <v>8348</v>
      </c>
      <c r="AD431" t="s">
        <v>8348</v>
      </c>
      <c r="AE431" t="s">
        <v>8348</v>
      </c>
      <c r="AF431" t="s">
        <v>74</v>
      </c>
      <c r="AG431">
        <v>57</v>
      </c>
      <c r="AH431">
        <v>0</v>
      </c>
      <c r="AI431">
        <v>0</v>
      </c>
      <c r="AJ431">
        <v>1</v>
      </c>
      <c r="AK431">
        <v>1</v>
      </c>
      <c r="AL431" t="s">
        <v>244</v>
      </c>
      <c r="AM431" t="s">
        <v>245</v>
      </c>
      <c r="AN431" t="s">
        <v>246</v>
      </c>
      <c r="AO431" t="s">
        <v>8349</v>
      </c>
      <c r="AP431" t="s">
        <v>8350</v>
      </c>
      <c r="AQ431" t="s">
        <v>74</v>
      </c>
      <c r="AR431" t="s">
        <v>8351</v>
      </c>
      <c r="AS431" t="s">
        <v>8352</v>
      </c>
      <c r="AT431" t="s">
        <v>8225</v>
      </c>
      <c r="AU431">
        <v>2023</v>
      </c>
      <c r="AV431" t="s">
        <v>74</v>
      </c>
      <c r="AW431" t="s">
        <v>74</v>
      </c>
      <c r="AX431" t="s">
        <v>74</v>
      </c>
      <c r="AY431" t="s">
        <v>74</v>
      </c>
      <c r="AZ431" t="s">
        <v>74</v>
      </c>
      <c r="BA431" t="s">
        <v>74</v>
      </c>
      <c r="BB431" t="s">
        <v>74</v>
      </c>
      <c r="BC431" t="s">
        <v>74</v>
      </c>
      <c r="BD431" t="s">
        <v>74</v>
      </c>
      <c r="BE431" t="s">
        <v>8353</v>
      </c>
      <c r="BF431" t="str">
        <f>HYPERLINK("http://dx.doi.org/10.1007/s10055-023-00851-7","http://dx.doi.org/10.1007/s10055-023-00851-7")</f>
        <v>http://dx.doi.org/10.1007/s10055-023-00851-7</v>
      </c>
      <c r="BG431" t="s">
        <v>74</v>
      </c>
      <c r="BH431" t="s">
        <v>2079</v>
      </c>
      <c r="BI431">
        <v>12</v>
      </c>
      <c r="BJ431" t="s">
        <v>8354</v>
      </c>
      <c r="BK431" t="s">
        <v>126</v>
      </c>
      <c r="BL431" t="s">
        <v>4042</v>
      </c>
      <c r="BM431" t="s">
        <v>8355</v>
      </c>
      <c r="BN431" t="s">
        <v>74</v>
      </c>
      <c r="BO431" t="s">
        <v>183</v>
      </c>
      <c r="BP431" t="s">
        <v>74</v>
      </c>
      <c r="BQ431" t="s">
        <v>74</v>
      </c>
      <c r="BR431" t="s">
        <v>99</v>
      </c>
      <c r="BS431" t="s">
        <v>8356</v>
      </c>
      <c r="BT431" t="str">
        <f>HYPERLINK("https%3A%2F%2Fwww.webofscience.com%2Fwos%2Fwoscc%2Ffull-record%2FWOS:001057084400001","View Full Record in Web of Science")</f>
        <v>View Full Record in Web of Science</v>
      </c>
    </row>
    <row r="432" spans="1:72" x14ac:dyDescent="0.15">
      <c r="A432" t="s">
        <v>72</v>
      </c>
      <c r="B432" t="s">
        <v>8357</v>
      </c>
      <c r="C432" t="s">
        <v>74</v>
      </c>
      <c r="D432" t="s">
        <v>74</v>
      </c>
      <c r="E432" t="s">
        <v>74</v>
      </c>
      <c r="F432" t="s">
        <v>8358</v>
      </c>
      <c r="G432" t="s">
        <v>74</v>
      </c>
      <c r="H432" t="s">
        <v>74</v>
      </c>
      <c r="I432" t="s">
        <v>8359</v>
      </c>
      <c r="J432" t="s">
        <v>3402</v>
      </c>
      <c r="K432" t="s">
        <v>74</v>
      </c>
      <c r="L432" t="s">
        <v>74</v>
      </c>
      <c r="M432" t="s">
        <v>78</v>
      </c>
      <c r="N432" t="s">
        <v>105</v>
      </c>
      <c r="O432" t="s">
        <v>74</v>
      </c>
      <c r="P432" t="s">
        <v>74</v>
      </c>
      <c r="Q432" t="s">
        <v>74</v>
      </c>
      <c r="R432" t="s">
        <v>74</v>
      </c>
      <c r="S432" t="s">
        <v>74</v>
      </c>
      <c r="T432" t="s">
        <v>8360</v>
      </c>
      <c r="U432" t="s">
        <v>8361</v>
      </c>
      <c r="V432" t="s">
        <v>8362</v>
      </c>
      <c r="W432" t="s">
        <v>8363</v>
      </c>
      <c r="X432" t="s">
        <v>8364</v>
      </c>
      <c r="Y432" t="s">
        <v>8365</v>
      </c>
      <c r="Z432" t="s">
        <v>8366</v>
      </c>
      <c r="AA432" t="s">
        <v>74</v>
      </c>
      <c r="AB432" t="s">
        <v>74</v>
      </c>
      <c r="AC432" t="s">
        <v>8367</v>
      </c>
      <c r="AD432" t="s">
        <v>8368</v>
      </c>
      <c r="AE432" t="s">
        <v>8369</v>
      </c>
      <c r="AF432" t="s">
        <v>74</v>
      </c>
      <c r="AG432">
        <v>50</v>
      </c>
      <c r="AH432">
        <v>0</v>
      </c>
      <c r="AI432">
        <v>0</v>
      </c>
      <c r="AJ432">
        <v>0</v>
      </c>
      <c r="AK432">
        <v>0</v>
      </c>
      <c r="AL432" t="s">
        <v>443</v>
      </c>
      <c r="AM432" t="s">
        <v>245</v>
      </c>
      <c r="AN432" t="s">
        <v>444</v>
      </c>
      <c r="AO432" t="s">
        <v>3410</v>
      </c>
      <c r="AP432" t="s">
        <v>3411</v>
      </c>
      <c r="AQ432" t="s">
        <v>74</v>
      </c>
      <c r="AR432" t="s">
        <v>3412</v>
      </c>
      <c r="AS432" t="s">
        <v>3413</v>
      </c>
      <c r="AT432" t="s">
        <v>8262</v>
      </c>
      <c r="AU432">
        <v>2023</v>
      </c>
      <c r="AV432">
        <v>28</v>
      </c>
      <c r="AW432">
        <v>1</v>
      </c>
      <c r="AX432" t="s">
        <v>74</v>
      </c>
      <c r="AY432" t="s">
        <v>74</v>
      </c>
      <c r="AZ432" t="s">
        <v>74</v>
      </c>
      <c r="BA432" t="s">
        <v>74</v>
      </c>
      <c r="BB432" t="s">
        <v>74</v>
      </c>
      <c r="BC432" t="s">
        <v>74</v>
      </c>
      <c r="BD432">
        <v>316</v>
      </c>
      <c r="BE432" t="s">
        <v>8370</v>
      </c>
      <c r="BF432" t="str">
        <f>HYPERLINK("http://dx.doi.org/10.1186/s40001-023-01304-2","http://dx.doi.org/10.1186/s40001-023-01304-2")</f>
        <v>http://dx.doi.org/10.1186/s40001-023-01304-2</v>
      </c>
      <c r="BG432" t="s">
        <v>74</v>
      </c>
      <c r="BH432" t="s">
        <v>74</v>
      </c>
      <c r="BI432">
        <v>10</v>
      </c>
      <c r="BJ432" t="s">
        <v>3415</v>
      </c>
      <c r="BK432" t="s">
        <v>126</v>
      </c>
      <c r="BL432" t="s">
        <v>3416</v>
      </c>
      <c r="BM432" t="s">
        <v>8371</v>
      </c>
      <c r="BN432">
        <v>37660041</v>
      </c>
      <c r="BO432" t="s">
        <v>302</v>
      </c>
      <c r="BP432" t="s">
        <v>74</v>
      </c>
      <c r="BQ432" t="s">
        <v>74</v>
      </c>
      <c r="BR432" t="s">
        <v>99</v>
      </c>
      <c r="BS432" t="s">
        <v>8372</v>
      </c>
      <c r="BT432" t="str">
        <f>HYPERLINK("https%3A%2F%2Fwww.webofscience.com%2Fwos%2Fwoscc%2Ffull-record%2FWOS:001062200600003","View Full Record in Web of Science")</f>
        <v>View Full Record in Web of Science</v>
      </c>
    </row>
    <row r="433" spans="1:72" x14ac:dyDescent="0.15">
      <c r="A433" t="s">
        <v>72</v>
      </c>
      <c r="B433" t="s">
        <v>8373</v>
      </c>
      <c r="C433" t="s">
        <v>74</v>
      </c>
      <c r="D433" t="s">
        <v>74</v>
      </c>
      <c r="E433" t="s">
        <v>74</v>
      </c>
      <c r="F433" t="s">
        <v>8374</v>
      </c>
      <c r="G433" t="s">
        <v>74</v>
      </c>
      <c r="H433" t="s">
        <v>74</v>
      </c>
      <c r="I433" t="s">
        <v>8375</v>
      </c>
      <c r="J433" t="s">
        <v>8376</v>
      </c>
      <c r="K433" t="s">
        <v>74</v>
      </c>
      <c r="L433" t="s">
        <v>74</v>
      </c>
      <c r="M433" t="s">
        <v>78</v>
      </c>
      <c r="N433" t="s">
        <v>79</v>
      </c>
      <c r="O433" t="s">
        <v>74</v>
      </c>
      <c r="P433" t="s">
        <v>74</v>
      </c>
      <c r="Q433" t="s">
        <v>74</v>
      </c>
      <c r="R433" t="s">
        <v>74</v>
      </c>
      <c r="S433" t="s">
        <v>74</v>
      </c>
      <c r="T433" t="s">
        <v>8377</v>
      </c>
      <c r="U433" t="s">
        <v>8378</v>
      </c>
      <c r="V433" t="s">
        <v>8379</v>
      </c>
      <c r="W433" t="s">
        <v>8380</v>
      </c>
      <c r="X433" t="s">
        <v>8381</v>
      </c>
      <c r="Y433" t="s">
        <v>8382</v>
      </c>
      <c r="Z433" t="s">
        <v>8383</v>
      </c>
      <c r="AA433" t="s">
        <v>8384</v>
      </c>
      <c r="AB433" t="s">
        <v>8385</v>
      </c>
      <c r="AC433" t="s">
        <v>8386</v>
      </c>
      <c r="AD433" t="s">
        <v>8386</v>
      </c>
      <c r="AE433" t="s">
        <v>8386</v>
      </c>
      <c r="AF433" t="s">
        <v>74</v>
      </c>
      <c r="AG433">
        <v>57</v>
      </c>
      <c r="AH433">
        <v>0</v>
      </c>
      <c r="AI433">
        <v>0</v>
      </c>
      <c r="AJ433">
        <v>3</v>
      </c>
      <c r="AK433">
        <v>3</v>
      </c>
      <c r="AL433" t="s">
        <v>317</v>
      </c>
      <c r="AM433" t="s">
        <v>245</v>
      </c>
      <c r="AN433" t="s">
        <v>318</v>
      </c>
      <c r="AO433" t="s">
        <v>8387</v>
      </c>
      <c r="AP433" t="s">
        <v>8388</v>
      </c>
      <c r="AQ433" t="s">
        <v>74</v>
      </c>
      <c r="AR433" t="s">
        <v>8389</v>
      </c>
      <c r="AS433" t="s">
        <v>8390</v>
      </c>
      <c r="AT433" t="s">
        <v>8262</v>
      </c>
      <c r="AU433">
        <v>2023</v>
      </c>
      <c r="AV433">
        <v>27</v>
      </c>
      <c r="AW433">
        <v>1</v>
      </c>
      <c r="AX433" t="s">
        <v>74</v>
      </c>
      <c r="AY433" t="s">
        <v>74</v>
      </c>
      <c r="AZ433" t="s">
        <v>74</v>
      </c>
      <c r="BA433" t="s">
        <v>74</v>
      </c>
      <c r="BB433" t="s">
        <v>74</v>
      </c>
      <c r="BC433" t="s">
        <v>74</v>
      </c>
      <c r="BD433">
        <v>83</v>
      </c>
      <c r="BE433" t="s">
        <v>8391</v>
      </c>
      <c r="BF433" t="str">
        <f>HYPERLINK("http://dx.doi.org/10.1186/s40824-023-00421-7","http://dx.doi.org/10.1186/s40824-023-00421-7")</f>
        <v>http://dx.doi.org/10.1186/s40824-023-00421-7</v>
      </c>
      <c r="BG433" t="s">
        <v>74</v>
      </c>
      <c r="BH433" t="s">
        <v>74</v>
      </c>
      <c r="BI433">
        <v>18</v>
      </c>
      <c r="BJ433" t="s">
        <v>8392</v>
      </c>
      <c r="BK433" t="s">
        <v>126</v>
      </c>
      <c r="BL433" t="s">
        <v>8393</v>
      </c>
      <c r="BM433" t="s">
        <v>8394</v>
      </c>
      <c r="BN433">
        <v>37660070</v>
      </c>
      <c r="BO433" t="s">
        <v>302</v>
      </c>
      <c r="BP433" t="s">
        <v>74</v>
      </c>
      <c r="BQ433" t="s">
        <v>74</v>
      </c>
      <c r="BR433" t="s">
        <v>99</v>
      </c>
      <c r="BS433" t="s">
        <v>8395</v>
      </c>
      <c r="BT433" t="str">
        <f>HYPERLINK("https%3A%2F%2Fwww.webofscience.com%2Fwos%2Fwoscc%2Ffull-record%2FWOS:001058995400001","View Full Record in Web of Science")</f>
        <v>View Full Record in Web of Science</v>
      </c>
    </row>
    <row r="434" spans="1:72" x14ac:dyDescent="0.15">
      <c r="A434" t="s">
        <v>72</v>
      </c>
      <c r="B434" t="s">
        <v>8396</v>
      </c>
      <c r="C434" t="s">
        <v>74</v>
      </c>
      <c r="D434" t="s">
        <v>74</v>
      </c>
      <c r="E434" t="s">
        <v>74</v>
      </c>
      <c r="F434" t="s">
        <v>8397</v>
      </c>
      <c r="G434" t="s">
        <v>74</v>
      </c>
      <c r="H434" t="s">
        <v>74</v>
      </c>
      <c r="I434" t="s">
        <v>8398</v>
      </c>
      <c r="J434" t="s">
        <v>5743</v>
      </c>
      <c r="K434" t="s">
        <v>74</v>
      </c>
      <c r="L434" t="s">
        <v>74</v>
      </c>
      <c r="M434" t="s">
        <v>78</v>
      </c>
      <c r="N434" t="s">
        <v>79</v>
      </c>
      <c r="O434" t="s">
        <v>74</v>
      </c>
      <c r="P434" t="s">
        <v>74</v>
      </c>
      <c r="Q434" t="s">
        <v>74</v>
      </c>
      <c r="R434" t="s">
        <v>74</v>
      </c>
      <c r="S434" t="s">
        <v>74</v>
      </c>
      <c r="T434" t="s">
        <v>8399</v>
      </c>
      <c r="U434" t="s">
        <v>74</v>
      </c>
      <c r="V434" t="s">
        <v>8400</v>
      </c>
      <c r="W434" t="s">
        <v>8401</v>
      </c>
      <c r="X434" t="s">
        <v>8402</v>
      </c>
      <c r="Y434" t="s">
        <v>8403</v>
      </c>
      <c r="Z434" t="s">
        <v>8404</v>
      </c>
      <c r="AA434" t="s">
        <v>74</v>
      </c>
      <c r="AB434" t="s">
        <v>74</v>
      </c>
      <c r="AC434" t="s">
        <v>932</v>
      </c>
      <c r="AD434" t="s">
        <v>932</v>
      </c>
      <c r="AE434" t="s">
        <v>932</v>
      </c>
      <c r="AF434" t="s">
        <v>74</v>
      </c>
      <c r="AG434">
        <v>34</v>
      </c>
      <c r="AH434">
        <v>0</v>
      </c>
      <c r="AI434">
        <v>0</v>
      </c>
      <c r="AJ434">
        <v>1</v>
      </c>
      <c r="AK434">
        <v>1</v>
      </c>
      <c r="AL434" t="s">
        <v>443</v>
      </c>
      <c r="AM434" t="s">
        <v>245</v>
      </c>
      <c r="AN434" t="s">
        <v>444</v>
      </c>
      <c r="AO434" t="s">
        <v>74</v>
      </c>
      <c r="AP434" t="s">
        <v>5752</v>
      </c>
      <c r="AQ434" t="s">
        <v>74</v>
      </c>
      <c r="AR434" t="s">
        <v>5743</v>
      </c>
      <c r="AS434" t="s">
        <v>5753</v>
      </c>
      <c r="AT434" t="s">
        <v>8262</v>
      </c>
      <c r="AU434">
        <v>2023</v>
      </c>
      <c r="AV434">
        <v>23</v>
      </c>
      <c r="AW434">
        <v>1</v>
      </c>
      <c r="AX434" t="s">
        <v>74</v>
      </c>
      <c r="AY434" t="s">
        <v>74</v>
      </c>
      <c r="AZ434" t="s">
        <v>74</v>
      </c>
      <c r="BA434" t="s">
        <v>74</v>
      </c>
      <c r="BB434" t="s">
        <v>74</v>
      </c>
      <c r="BC434" t="s">
        <v>74</v>
      </c>
      <c r="BD434">
        <v>1696</v>
      </c>
      <c r="BE434" t="s">
        <v>8405</v>
      </c>
      <c r="BF434" t="str">
        <f>HYPERLINK("http://dx.doi.org/10.1186/s12889-023-16600-z","http://dx.doi.org/10.1186/s12889-023-16600-z")</f>
        <v>http://dx.doi.org/10.1186/s12889-023-16600-z</v>
      </c>
      <c r="BG434" t="s">
        <v>74</v>
      </c>
      <c r="BH434" t="s">
        <v>74</v>
      </c>
      <c r="BI434">
        <v>10</v>
      </c>
      <c r="BJ434" t="s">
        <v>2744</v>
      </c>
      <c r="BK434" t="s">
        <v>126</v>
      </c>
      <c r="BL434" t="s">
        <v>2744</v>
      </c>
      <c r="BM434" t="s">
        <v>8406</v>
      </c>
      <c r="BN434">
        <v>37660018</v>
      </c>
      <c r="BO434" t="s">
        <v>302</v>
      </c>
      <c r="BP434" t="s">
        <v>74</v>
      </c>
      <c r="BQ434" t="s">
        <v>74</v>
      </c>
      <c r="BR434" t="s">
        <v>99</v>
      </c>
      <c r="BS434" t="s">
        <v>8407</v>
      </c>
      <c r="BT434" t="str">
        <f>HYPERLINK("https%3A%2F%2Fwww.webofscience.com%2Fwos%2Fwoscc%2Ffull-record%2FWOS:001058995700002","View Full Record in Web of Science")</f>
        <v>View Full Record in Web of Science</v>
      </c>
    </row>
    <row r="435" spans="1:72" x14ac:dyDescent="0.15">
      <c r="A435" t="s">
        <v>72</v>
      </c>
      <c r="B435" t="s">
        <v>8408</v>
      </c>
      <c r="C435" t="s">
        <v>74</v>
      </c>
      <c r="D435" t="s">
        <v>74</v>
      </c>
      <c r="E435" t="s">
        <v>74</v>
      </c>
      <c r="F435" t="s">
        <v>8409</v>
      </c>
      <c r="G435" t="s">
        <v>74</v>
      </c>
      <c r="H435" t="s">
        <v>74</v>
      </c>
      <c r="I435" t="s">
        <v>8410</v>
      </c>
      <c r="J435" t="s">
        <v>5882</v>
      </c>
      <c r="K435" t="s">
        <v>74</v>
      </c>
      <c r="L435" t="s">
        <v>74</v>
      </c>
      <c r="M435" t="s">
        <v>78</v>
      </c>
      <c r="N435" t="s">
        <v>1246</v>
      </c>
      <c r="O435" t="s">
        <v>74</v>
      </c>
      <c r="P435" t="s">
        <v>74</v>
      </c>
      <c r="Q435" t="s">
        <v>74</v>
      </c>
      <c r="R435" t="s">
        <v>74</v>
      </c>
      <c r="S435" t="s">
        <v>74</v>
      </c>
      <c r="T435" t="s">
        <v>8411</v>
      </c>
      <c r="U435" t="s">
        <v>8412</v>
      </c>
      <c r="V435" t="s">
        <v>8413</v>
      </c>
      <c r="W435" t="s">
        <v>8414</v>
      </c>
      <c r="X435" t="s">
        <v>8415</v>
      </c>
      <c r="Y435" t="s">
        <v>8416</v>
      </c>
      <c r="Z435" t="s">
        <v>8417</v>
      </c>
      <c r="AA435" t="s">
        <v>8418</v>
      </c>
      <c r="AB435" t="s">
        <v>8419</v>
      </c>
      <c r="AC435" t="s">
        <v>74</v>
      </c>
      <c r="AD435" t="s">
        <v>74</v>
      </c>
      <c r="AE435" t="s">
        <v>74</v>
      </c>
      <c r="AF435" t="s">
        <v>74</v>
      </c>
      <c r="AG435">
        <v>63</v>
      </c>
      <c r="AH435">
        <v>0</v>
      </c>
      <c r="AI435">
        <v>0</v>
      </c>
      <c r="AJ435">
        <v>1</v>
      </c>
      <c r="AK435">
        <v>1</v>
      </c>
      <c r="AL435" t="s">
        <v>117</v>
      </c>
      <c r="AM435" t="s">
        <v>118</v>
      </c>
      <c r="AN435" t="s">
        <v>119</v>
      </c>
      <c r="AO435" t="s">
        <v>5890</v>
      </c>
      <c r="AP435" t="s">
        <v>5891</v>
      </c>
      <c r="AQ435" t="s">
        <v>74</v>
      </c>
      <c r="AR435" t="s">
        <v>5892</v>
      </c>
      <c r="AS435" t="s">
        <v>5893</v>
      </c>
      <c r="AT435" t="s">
        <v>8225</v>
      </c>
      <c r="AU435">
        <v>2023</v>
      </c>
      <c r="AV435" t="s">
        <v>74</v>
      </c>
      <c r="AW435" t="s">
        <v>74</v>
      </c>
      <c r="AX435" t="s">
        <v>74</v>
      </c>
      <c r="AY435" t="s">
        <v>74</v>
      </c>
      <c r="AZ435" t="s">
        <v>74</v>
      </c>
      <c r="BA435" t="s">
        <v>74</v>
      </c>
      <c r="BB435" t="s">
        <v>74</v>
      </c>
      <c r="BC435" t="s">
        <v>74</v>
      </c>
      <c r="BD435" t="s">
        <v>74</v>
      </c>
      <c r="BE435" t="s">
        <v>8420</v>
      </c>
      <c r="BF435" t="str">
        <f>HYPERLINK("http://dx.doi.org/10.1007/s13178-023-00867-3","http://dx.doi.org/10.1007/s13178-023-00867-3")</f>
        <v>http://dx.doi.org/10.1007/s13178-023-00867-3</v>
      </c>
      <c r="BG435" t="s">
        <v>74</v>
      </c>
      <c r="BH435" t="s">
        <v>2079</v>
      </c>
      <c r="BI435">
        <v>14</v>
      </c>
      <c r="BJ435" t="s">
        <v>713</v>
      </c>
      <c r="BK435" t="s">
        <v>425</v>
      </c>
      <c r="BL435" t="s">
        <v>714</v>
      </c>
      <c r="BM435" t="s">
        <v>8421</v>
      </c>
      <c r="BN435" t="s">
        <v>74</v>
      </c>
      <c r="BO435" t="s">
        <v>183</v>
      </c>
      <c r="BP435" t="s">
        <v>74</v>
      </c>
      <c r="BQ435" t="s">
        <v>74</v>
      </c>
      <c r="BR435" t="s">
        <v>99</v>
      </c>
      <c r="BS435" t="s">
        <v>8422</v>
      </c>
      <c r="BT435" t="str">
        <f>HYPERLINK("https%3A%2F%2Fwww.webofscience.com%2Fwos%2Fwoscc%2Ffull-record%2FWOS:001057003000002","View Full Record in Web of Science")</f>
        <v>View Full Record in Web of Science</v>
      </c>
    </row>
    <row r="436" spans="1:72" x14ac:dyDescent="0.15">
      <c r="A436" t="s">
        <v>72</v>
      </c>
      <c r="B436" t="s">
        <v>8423</v>
      </c>
      <c r="C436" t="s">
        <v>74</v>
      </c>
      <c r="D436" t="s">
        <v>74</v>
      </c>
      <c r="E436" t="s">
        <v>74</v>
      </c>
      <c r="F436" t="s">
        <v>8424</v>
      </c>
      <c r="G436" t="s">
        <v>74</v>
      </c>
      <c r="H436" t="s">
        <v>74</v>
      </c>
      <c r="I436" t="s">
        <v>8425</v>
      </c>
      <c r="J436" t="s">
        <v>8426</v>
      </c>
      <c r="K436" t="s">
        <v>74</v>
      </c>
      <c r="L436" t="s">
        <v>74</v>
      </c>
      <c r="M436" t="s">
        <v>78</v>
      </c>
      <c r="N436" t="s">
        <v>3055</v>
      </c>
      <c r="O436" t="s">
        <v>74</v>
      </c>
      <c r="P436" t="s">
        <v>74</v>
      </c>
      <c r="Q436" t="s">
        <v>74</v>
      </c>
      <c r="R436" t="s">
        <v>74</v>
      </c>
      <c r="S436" t="s">
        <v>74</v>
      </c>
      <c r="T436" t="s">
        <v>8427</v>
      </c>
      <c r="U436" t="s">
        <v>74</v>
      </c>
      <c r="V436" t="s">
        <v>74</v>
      </c>
      <c r="W436" t="s">
        <v>8428</v>
      </c>
      <c r="X436" t="s">
        <v>8429</v>
      </c>
      <c r="Y436" t="s">
        <v>8430</v>
      </c>
      <c r="Z436" t="s">
        <v>8431</v>
      </c>
      <c r="AA436" t="s">
        <v>74</v>
      </c>
      <c r="AB436" t="s">
        <v>74</v>
      </c>
      <c r="AC436" t="s">
        <v>74</v>
      </c>
      <c r="AD436" t="s">
        <v>74</v>
      </c>
      <c r="AE436" t="s">
        <v>74</v>
      </c>
      <c r="AF436" t="s">
        <v>74</v>
      </c>
      <c r="AG436">
        <v>5</v>
      </c>
      <c r="AH436">
        <v>0</v>
      </c>
      <c r="AI436">
        <v>0</v>
      </c>
      <c r="AJ436">
        <v>0</v>
      </c>
      <c r="AK436">
        <v>0</v>
      </c>
      <c r="AL436" t="s">
        <v>1295</v>
      </c>
      <c r="AM436" t="s">
        <v>1296</v>
      </c>
      <c r="AN436" t="s">
        <v>1297</v>
      </c>
      <c r="AO436" t="s">
        <v>8432</v>
      </c>
      <c r="AP436" t="s">
        <v>8433</v>
      </c>
      <c r="AQ436" t="s">
        <v>74</v>
      </c>
      <c r="AR436" t="s">
        <v>8434</v>
      </c>
      <c r="AS436" t="s">
        <v>8435</v>
      </c>
      <c r="AT436" t="s">
        <v>8225</v>
      </c>
      <c r="AU436">
        <v>2023</v>
      </c>
      <c r="AV436" t="s">
        <v>74</v>
      </c>
      <c r="AW436" t="s">
        <v>74</v>
      </c>
      <c r="AX436" t="s">
        <v>74</v>
      </c>
      <c r="AY436" t="s">
        <v>74</v>
      </c>
      <c r="AZ436" t="s">
        <v>74</v>
      </c>
      <c r="BA436" t="s">
        <v>74</v>
      </c>
      <c r="BB436" t="s">
        <v>74</v>
      </c>
      <c r="BC436" t="s">
        <v>74</v>
      </c>
      <c r="BD436" t="s">
        <v>74</v>
      </c>
      <c r="BE436" t="s">
        <v>8436</v>
      </c>
      <c r="BF436" t="str">
        <f>HYPERLINK("http://dx.doi.org/10.1007/s11739-023-03404-7","http://dx.doi.org/10.1007/s11739-023-03404-7")</f>
        <v>http://dx.doi.org/10.1007/s11739-023-03404-7</v>
      </c>
      <c r="BG436" t="s">
        <v>74</v>
      </c>
      <c r="BH436" t="s">
        <v>2079</v>
      </c>
      <c r="BI436">
        <v>3</v>
      </c>
      <c r="BJ436" t="s">
        <v>1238</v>
      </c>
      <c r="BK436" t="s">
        <v>126</v>
      </c>
      <c r="BL436" t="s">
        <v>1239</v>
      </c>
      <c r="BM436" t="s">
        <v>8437</v>
      </c>
      <c r="BN436">
        <v>37658949</v>
      </c>
      <c r="BO436" t="s">
        <v>74</v>
      </c>
      <c r="BP436" t="s">
        <v>74</v>
      </c>
      <c r="BQ436" t="s">
        <v>74</v>
      </c>
      <c r="BR436" t="s">
        <v>99</v>
      </c>
      <c r="BS436" t="s">
        <v>8438</v>
      </c>
      <c r="BT436" t="str">
        <f>HYPERLINK("https%3A%2F%2Fwww.webofscience.com%2Fwos%2Fwoscc%2Ffull-record%2FWOS:001060846500002","View Full Record in Web of Science")</f>
        <v>View Full Record in Web of Science</v>
      </c>
    </row>
    <row r="437" spans="1:72" x14ac:dyDescent="0.15">
      <c r="A437" t="s">
        <v>72</v>
      </c>
      <c r="B437" t="s">
        <v>8439</v>
      </c>
      <c r="C437" t="s">
        <v>74</v>
      </c>
      <c r="D437" t="s">
        <v>74</v>
      </c>
      <c r="E437" t="s">
        <v>74</v>
      </c>
      <c r="F437" t="s">
        <v>8440</v>
      </c>
      <c r="G437" t="s">
        <v>74</v>
      </c>
      <c r="H437" t="s">
        <v>74</v>
      </c>
      <c r="I437" t="s">
        <v>8441</v>
      </c>
      <c r="J437" t="s">
        <v>5096</v>
      </c>
      <c r="K437" t="s">
        <v>74</v>
      </c>
      <c r="L437" t="s">
        <v>74</v>
      </c>
      <c r="M437" t="s">
        <v>78</v>
      </c>
      <c r="N437" t="s">
        <v>79</v>
      </c>
      <c r="O437" t="s">
        <v>74</v>
      </c>
      <c r="P437" t="s">
        <v>74</v>
      </c>
      <c r="Q437" t="s">
        <v>74</v>
      </c>
      <c r="R437" t="s">
        <v>74</v>
      </c>
      <c r="S437" t="s">
        <v>74</v>
      </c>
      <c r="T437" t="s">
        <v>8442</v>
      </c>
      <c r="U437" t="s">
        <v>8443</v>
      </c>
      <c r="V437" t="s">
        <v>8444</v>
      </c>
      <c r="W437" t="s">
        <v>8445</v>
      </c>
      <c r="X437" t="s">
        <v>8446</v>
      </c>
      <c r="Y437" t="s">
        <v>8447</v>
      </c>
      <c r="Z437" t="s">
        <v>8448</v>
      </c>
      <c r="AA437" t="s">
        <v>74</v>
      </c>
      <c r="AB437" t="s">
        <v>74</v>
      </c>
      <c r="AC437" t="s">
        <v>8449</v>
      </c>
      <c r="AD437" t="s">
        <v>8449</v>
      </c>
      <c r="AE437" t="s">
        <v>8449</v>
      </c>
      <c r="AF437" t="s">
        <v>74</v>
      </c>
      <c r="AG437">
        <v>52</v>
      </c>
      <c r="AH437">
        <v>0</v>
      </c>
      <c r="AI437">
        <v>0</v>
      </c>
      <c r="AJ437">
        <v>1</v>
      </c>
      <c r="AK437">
        <v>1</v>
      </c>
      <c r="AL437" t="s">
        <v>443</v>
      </c>
      <c r="AM437" t="s">
        <v>245</v>
      </c>
      <c r="AN437" t="s">
        <v>444</v>
      </c>
      <c r="AO437" t="s">
        <v>74</v>
      </c>
      <c r="AP437" t="s">
        <v>5105</v>
      </c>
      <c r="AQ437" t="s">
        <v>74</v>
      </c>
      <c r="AR437" t="s">
        <v>5096</v>
      </c>
      <c r="AS437" t="s">
        <v>5106</v>
      </c>
      <c r="AT437" t="s">
        <v>8262</v>
      </c>
      <c r="AU437">
        <v>2023</v>
      </c>
      <c r="AV437">
        <v>23</v>
      </c>
      <c r="AW437">
        <v>1</v>
      </c>
      <c r="AX437" t="s">
        <v>74</v>
      </c>
      <c r="AY437" t="s">
        <v>74</v>
      </c>
      <c r="AZ437" t="s">
        <v>74</v>
      </c>
      <c r="BA437" t="s">
        <v>74</v>
      </c>
      <c r="BB437" t="s">
        <v>74</v>
      </c>
      <c r="BC437" t="s">
        <v>74</v>
      </c>
      <c r="BD437">
        <v>471</v>
      </c>
      <c r="BE437" t="s">
        <v>8450</v>
      </c>
      <c r="BF437" t="str">
        <f>HYPERLINK("http://dx.doi.org/10.1186/s12905-023-02622-7","http://dx.doi.org/10.1186/s12905-023-02622-7")</f>
        <v>http://dx.doi.org/10.1186/s12905-023-02622-7</v>
      </c>
      <c r="BG437" t="s">
        <v>74</v>
      </c>
      <c r="BH437" t="s">
        <v>74</v>
      </c>
      <c r="BI437">
        <v>9</v>
      </c>
      <c r="BJ437" t="s">
        <v>5108</v>
      </c>
      <c r="BK437" t="s">
        <v>2431</v>
      </c>
      <c r="BL437" t="s">
        <v>5108</v>
      </c>
      <c r="BM437" t="s">
        <v>8451</v>
      </c>
      <c r="BN437">
        <v>37660004</v>
      </c>
      <c r="BO437" t="s">
        <v>3356</v>
      </c>
      <c r="BP437" t="s">
        <v>74</v>
      </c>
      <c r="BQ437" t="s">
        <v>74</v>
      </c>
      <c r="BR437" t="s">
        <v>99</v>
      </c>
      <c r="BS437" t="s">
        <v>8452</v>
      </c>
      <c r="BT437" t="str">
        <f>HYPERLINK("https%3A%2F%2Fwww.webofscience.com%2Fwos%2Fwoscc%2Ffull-record%2FWOS:001062175000001","View Full Record in Web of Science")</f>
        <v>View Full Record in Web of Science</v>
      </c>
    </row>
    <row r="438" spans="1:72" x14ac:dyDescent="0.15">
      <c r="A438" t="s">
        <v>72</v>
      </c>
      <c r="B438" t="s">
        <v>8453</v>
      </c>
      <c r="C438" t="s">
        <v>74</v>
      </c>
      <c r="D438" t="s">
        <v>74</v>
      </c>
      <c r="E438" t="s">
        <v>74</v>
      </c>
      <c r="F438" t="s">
        <v>8454</v>
      </c>
      <c r="G438" t="s">
        <v>74</v>
      </c>
      <c r="H438" t="s">
        <v>74</v>
      </c>
      <c r="I438" t="s">
        <v>8455</v>
      </c>
      <c r="J438" t="s">
        <v>8456</v>
      </c>
      <c r="K438" t="s">
        <v>74</v>
      </c>
      <c r="L438" t="s">
        <v>74</v>
      </c>
      <c r="M438" t="s">
        <v>78</v>
      </c>
      <c r="N438" t="s">
        <v>79</v>
      </c>
      <c r="O438" t="s">
        <v>74</v>
      </c>
      <c r="P438" t="s">
        <v>74</v>
      </c>
      <c r="Q438" t="s">
        <v>74</v>
      </c>
      <c r="R438" t="s">
        <v>74</v>
      </c>
      <c r="S438" t="s">
        <v>74</v>
      </c>
      <c r="T438" t="s">
        <v>8457</v>
      </c>
      <c r="U438" t="s">
        <v>8458</v>
      </c>
      <c r="V438" t="s">
        <v>8459</v>
      </c>
      <c r="W438" t="s">
        <v>8460</v>
      </c>
      <c r="X438" t="s">
        <v>8461</v>
      </c>
      <c r="Y438" t="s">
        <v>8462</v>
      </c>
      <c r="Z438" t="s">
        <v>8463</v>
      </c>
      <c r="AA438" t="s">
        <v>74</v>
      </c>
      <c r="AB438" t="s">
        <v>74</v>
      </c>
      <c r="AC438" t="s">
        <v>8464</v>
      </c>
      <c r="AD438" t="s">
        <v>8464</v>
      </c>
      <c r="AE438" t="s">
        <v>8464</v>
      </c>
      <c r="AF438" t="s">
        <v>74</v>
      </c>
      <c r="AG438">
        <v>68</v>
      </c>
      <c r="AH438">
        <v>0</v>
      </c>
      <c r="AI438">
        <v>0</v>
      </c>
      <c r="AJ438">
        <v>0</v>
      </c>
      <c r="AK438">
        <v>0</v>
      </c>
      <c r="AL438" t="s">
        <v>443</v>
      </c>
      <c r="AM438" t="s">
        <v>245</v>
      </c>
      <c r="AN438" t="s">
        <v>444</v>
      </c>
      <c r="AO438" t="s">
        <v>74</v>
      </c>
      <c r="AP438" t="s">
        <v>8465</v>
      </c>
      <c r="AQ438" t="s">
        <v>74</v>
      </c>
      <c r="AR438" t="s">
        <v>8466</v>
      </c>
      <c r="AS438" t="s">
        <v>8467</v>
      </c>
      <c r="AT438" t="s">
        <v>8262</v>
      </c>
      <c r="AU438">
        <v>2023</v>
      </c>
      <c r="AV438">
        <v>21</v>
      </c>
      <c r="AW438">
        <v>1</v>
      </c>
      <c r="AX438" t="s">
        <v>74</v>
      </c>
      <c r="AY438" t="s">
        <v>74</v>
      </c>
      <c r="AZ438" t="s">
        <v>74</v>
      </c>
      <c r="BA438" t="s">
        <v>74</v>
      </c>
      <c r="BB438" t="s">
        <v>74</v>
      </c>
      <c r="BC438" t="s">
        <v>74</v>
      </c>
      <c r="BD438">
        <v>588</v>
      </c>
      <c r="BE438" t="s">
        <v>8468</v>
      </c>
      <c r="BF438" t="str">
        <f>HYPERLINK("http://dx.doi.org/10.1186/s12967-023-04468-x","http://dx.doi.org/10.1186/s12967-023-04468-x")</f>
        <v>http://dx.doi.org/10.1186/s12967-023-04468-x</v>
      </c>
      <c r="BG438" t="s">
        <v>74</v>
      </c>
      <c r="BH438" t="s">
        <v>74</v>
      </c>
      <c r="BI438">
        <v>25</v>
      </c>
      <c r="BJ438" t="s">
        <v>3415</v>
      </c>
      <c r="BK438" t="s">
        <v>126</v>
      </c>
      <c r="BL438" t="s">
        <v>3416</v>
      </c>
      <c r="BM438" t="s">
        <v>8469</v>
      </c>
      <c r="BN438">
        <v>37660060</v>
      </c>
      <c r="BO438" t="s">
        <v>302</v>
      </c>
      <c r="BP438" t="s">
        <v>74</v>
      </c>
      <c r="BQ438" t="s">
        <v>74</v>
      </c>
      <c r="BR438" t="s">
        <v>99</v>
      </c>
      <c r="BS438" t="s">
        <v>8470</v>
      </c>
      <c r="BT438" t="str">
        <f>HYPERLINK("https%3A%2F%2Fwww.webofscience.com%2Fwos%2Fwoscc%2Ffull-record%2FWOS:001060359100001","View Full Record in Web of Science")</f>
        <v>View Full Record in Web of Science</v>
      </c>
    </row>
    <row r="439" spans="1:72" x14ac:dyDescent="0.15">
      <c r="A439" t="s">
        <v>72</v>
      </c>
      <c r="B439" t="s">
        <v>8471</v>
      </c>
      <c r="C439" t="s">
        <v>74</v>
      </c>
      <c r="D439" t="s">
        <v>74</v>
      </c>
      <c r="E439" t="s">
        <v>74</v>
      </c>
      <c r="F439" t="s">
        <v>8472</v>
      </c>
      <c r="G439" t="s">
        <v>74</v>
      </c>
      <c r="H439" t="s">
        <v>74</v>
      </c>
      <c r="I439" t="s">
        <v>8473</v>
      </c>
      <c r="J439" t="s">
        <v>7245</v>
      </c>
      <c r="K439" t="s">
        <v>74</v>
      </c>
      <c r="L439" t="s">
        <v>74</v>
      </c>
      <c r="M439" t="s">
        <v>78</v>
      </c>
      <c r="N439" t="s">
        <v>79</v>
      </c>
      <c r="O439" t="s">
        <v>74</v>
      </c>
      <c r="P439" t="s">
        <v>74</v>
      </c>
      <c r="Q439" t="s">
        <v>74</v>
      </c>
      <c r="R439" t="s">
        <v>74</v>
      </c>
      <c r="S439" t="s">
        <v>74</v>
      </c>
      <c r="T439" t="s">
        <v>8474</v>
      </c>
      <c r="U439" t="s">
        <v>8475</v>
      </c>
      <c r="V439" t="s">
        <v>8476</v>
      </c>
      <c r="W439" t="s">
        <v>8477</v>
      </c>
      <c r="X439" t="s">
        <v>8478</v>
      </c>
      <c r="Y439" t="s">
        <v>8479</v>
      </c>
      <c r="Z439" t="s">
        <v>4629</v>
      </c>
      <c r="AA439" t="s">
        <v>4630</v>
      </c>
      <c r="AB439" t="s">
        <v>4631</v>
      </c>
      <c r="AC439" t="s">
        <v>8480</v>
      </c>
      <c r="AD439" t="s">
        <v>8480</v>
      </c>
      <c r="AE439" t="s">
        <v>8481</v>
      </c>
      <c r="AF439" t="s">
        <v>74</v>
      </c>
      <c r="AG439">
        <v>46</v>
      </c>
      <c r="AH439">
        <v>1</v>
      </c>
      <c r="AI439">
        <v>1</v>
      </c>
      <c r="AJ439">
        <v>2</v>
      </c>
      <c r="AK439">
        <v>2</v>
      </c>
      <c r="AL439" t="s">
        <v>443</v>
      </c>
      <c r="AM439" t="s">
        <v>245</v>
      </c>
      <c r="AN439" t="s">
        <v>444</v>
      </c>
      <c r="AO439" t="s">
        <v>74</v>
      </c>
      <c r="AP439" t="s">
        <v>7257</v>
      </c>
      <c r="AQ439" t="s">
        <v>74</v>
      </c>
      <c r="AR439" t="s">
        <v>7258</v>
      </c>
      <c r="AS439" t="s">
        <v>7259</v>
      </c>
      <c r="AT439" t="s">
        <v>8262</v>
      </c>
      <c r="AU439">
        <v>2023</v>
      </c>
      <c r="AV439">
        <v>23</v>
      </c>
      <c r="AW439">
        <v>1</v>
      </c>
      <c r="AX439" t="s">
        <v>74</v>
      </c>
      <c r="AY439" t="s">
        <v>74</v>
      </c>
      <c r="AZ439" t="s">
        <v>74</v>
      </c>
      <c r="BA439" t="s">
        <v>74</v>
      </c>
      <c r="BB439" t="s">
        <v>74</v>
      </c>
      <c r="BC439" t="s">
        <v>74</v>
      </c>
      <c r="BD439">
        <v>572</v>
      </c>
      <c r="BE439" t="s">
        <v>8482</v>
      </c>
      <c r="BF439" t="str">
        <f>HYPERLINK("http://dx.doi.org/10.1186/s12879-023-08532-1","http://dx.doi.org/10.1186/s12879-023-08532-1")</f>
        <v>http://dx.doi.org/10.1186/s12879-023-08532-1</v>
      </c>
      <c r="BG439" t="s">
        <v>74</v>
      </c>
      <c r="BH439" t="s">
        <v>74</v>
      </c>
      <c r="BI439">
        <v>11</v>
      </c>
      <c r="BJ439" t="s">
        <v>7261</v>
      </c>
      <c r="BK439" t="s">
        <v>126</v>
      </c>
      <c r="BL439" t="s">
        <v>7261</v>
      </c>
      <c r="BM439" t="s">
        <v>8483</v>
      </c>
      <c r="BN439">
        <v>37660078</v>
      </c>
      <c r="BO439" t="s">
        <v>540</v>
      </c>
      <c r="BP439" t="s">
        <v>74</v>
      </c>
      <c r="BQ439" t="s">
        <v>74</v>
      </c>
      <c r="BR439" t="s">
        <v>99</v>
      </c>
      <c r="BS439" t="s">
        <v>8484</v>
      </c>
      <c r="BT439" t="str">
        <f>HYPERLINK("https%3A%2F%2Fwww.webofscience.com%2Fwos%2Fwoscc%2Ffull-record%2FWOS:001058979200001","View Full Record in Web of Science")</f>
        <v>View Full Record in Web of Science</v>
      </c>
    </row>
    <row r="440" spans="1:72" x14ac:dyDescent="0.15">
      <c r="A440" t="s">
        <v>72</v>
      </c>
      <c r="B440" t="s">
        <v>8485</v>
      </c>
      <c r="C440" t="s">
        <v>74</v>
      </c>
      <c r="D440" t="s">
        <v>74</v>
      </c>
      <c r="E440" t="s">
        <v>74</v>
      </c>
      <c r="F440" t="s">
        <v>8486</v>
      </c>
      <c r="G440" t="s">
        <v>74</v>
      </c>
      <c r="H440" t="s">
        <v>74</v>
      </c>
      <c r="I440" t="s">
        <v>8487</v>
      </c>
      <c r="J440" t="s">
        <v>8488</v>
      </c>
      <c r="K440" t="s">
        <v>74</v>
      </c>
      <c r="L440" t="s">
        <v>74</v>
      </c>
      <c r="M440" t="s">
        <v>78</v>
      </c>
      <c r="N440" t="s">
        <v>1246</v>
      </c>
      <c r="O440" t="s">
        <v>74</v>
      </c>
      <c r="P440" t="s">
        <v>74</v>
      </c>
      <c r="Q440" t="s">
        <v>74</v>
      </c>
      <c r="R440" t="s">
        <v>74</v>
      </c>
      <c r="S440" t="s">
        <v>74</v>
      </c>
      <c r="T440" t="s">
        <v>8489</v>
      </c>
      <c r="U440" t="s">
        <v>8490</v>
      </c>
      <c r="V440" t="s">
        <v>8491</v>
      </c>
      <c r="W440" t="s">
        <v>8492</v>
      </c>
      <c r="X440" t="s">
        <v>8493</v>
      </c>
      <c r="Y440" t="s">
        <v>8494</v>
      </c>
      <c r="Z440" t="s">
        <v>8495</v>
      </c>
      <c r="AA440" t="s">
        <v>8496</v>
      </c>
      <c r="AB440" t="s">
        <v>8497</v>
      </c>
      <c r="AC440" t="s">
        <v>74</v>
      </c>
      <c r="AD440" t="s">
        <v>74</v>
      </c>
      <c r="AE440" t="s">
        <v>74</v>
      </c>
      <c r="AF440" t="s">
        <v>74</v>
      </c>
      <c r="AG440">
        <v>78</v>
      </c>
      <c r="AH440">
        <v>0</v>
      </c>
      <c r="AI440">
        <v>0</v>
      </c>
      <c r="AJ440">
        <v>2</v>
      </c>
      <c r="AK440">
        <v>2</v>
      </c>
      <c r="AL440" t="s">
        <v>117</v>
      </c>
      <c r="AM440" t="s">
        <v>118</v>
      </c>
      <c r="AN440" t="s">
        <v>119</v>
      </c>
      <c r="AO440" t="s">
        <v>8498</v>
      </c>
      <c r="AP440" t="s">
        <v>8499</v>
      </c>
      <c r="AQ440" t="s">
        <v>74</v>
      </c>
      <c r="AR440" t="s">
        <v>8500</v>
      </c>
      <c r="AS440" t="s">
        <v>8501</v>
      </c>
      <c r="AT440" t="s">
        <v>8225</v>
      </c>
      <c r="AU440">
        <v>2023</v>
      </c>
      <c r="AV440" t="s">
        <v>74</v>
      </c>
      <c r="AW440" t="s">
        <v>74</v>
      </c>
      <c r="AX440" t="s">
        <v>74</v>
      </c>
      <c r="AY440" t="s">
        <v>74</v>
      </c>
      <c r="AZ440" t="s">
        <v>74</v>
      </c>
      <c r="BA440" t="s">
        <v>74</v>
      </c>
      <c r="BB440" t="s">
        <v>74</v>
      </c>
      <c r="BC440" t="s">
        <v>74</v>
      </c>
      <c r="BD440" t="s">
        <v>74</v>
      </c>
      <c r="BE440" t="s">
        <v>8502</v>
      </c>
      <c r="BF440" t="str">
        <f>HYPERLINK("http://dx.doi.org/10.1007/s00267-023-01875-0","http://dx.doi.org/10.1007/s00267-023-01875-0")</f>
        <v>http://dx.doi.org/10.1007/s00267-023-01875-0</v>
      </c>
      <c r="BG440" t="s">
        <v>74</v>
      </c>
      <c r="BH440" t="s">
        <v>2079</v>
      </c>
      <c r="BI440">
        <v>17</v>
      </c>
      <c r="BJ440" t="s">
        <v>1346</v>
      </c>
      <c r="BK440" t="s">
        <v>126</v>
      </c>
      <c r="BL440" t="s">
        <v>1347</v>
      </c>
      <c r="BM440" t="s">
        <v>8503</v>
      </c>
      <c r="BN440">
        <v>37658901</v>
      </c>
      <c r="BO440" t="s">
        <v>74</v>
      </c>
      <c r="BP440" t="s">
        <v>74</v>
      </c>
      <c r="BQ440" t="s">
        <v>74</v>
      </c>
      <c r="BR440" t="s">
        <v>99</v>
      </c>
      <c r="BS440" t="s">
        <v>8504</v>
      </c>
      <c r="BT440" t="str">
        <f>HYPERLINK("https%3A%2F%2Fwww.webofscience.com%2Fwos%2Fwoscc%2Ffull-record%2FWOS:001057663500002","View Full Record in Web of Science")</f>
        <v>View Full Record in Web of Science</v>
      </c>
    </row>
    <row r="441" spans="1:72" x14ac:dyDescent="0.15">
      <c r="A441" t="s">
        <v>72</v>
      </c>
      <c r="B441" t="s">
        <v>8505</v>
      </c>
      <c r="C441" t="s">
        <v>74</v>
      </c>
      <c r="D441" t="s">
        <v>74</v>
      </c>
      <c r="E441" t="s">
        <v>74</v>
      </c>
      <c r="F441" t="s">
        <v>8506</v>
      </c>
      <c r="G441" t="s">
        <v>74</v>
      </c>
      <c r="H441" t="s">
        <v>74</v>
      </c>
      <c r="I441" t="s">
        <v>8507</v>
      </c>
      <c r="J441" t="s">
        <v>8508</v>
      </c>
      <c r="K441" t="s">
        <v>74</v>
      </c>
      <c r="L441" t="s">
        <v>74</v>
      </c>
      <c r="M441" t="s">
        <v>78</v>
      </c>
      <c r="N441" t="s">
        <v>1246</v>
      </c>
      <c r="O441" t="s">
        <v>74</v>
      </c>
      <c r="P441" t="s">
        <v>74</v>
      </c>
      <c r="Q441" t="s">
        <v>74</v>
      </c>
      <c r="R441" t="s">
        <v>74</v>
      </c>
      <c r="S441" t="s">
        <v>74</v>
      </c>
      <c r="T441" t="s">
        <v>8509</v>
      </c>
      <c r="U441" t="s">
        <v>8510</v>
      </c>
      <c r="V441" t="s">
        <v>8511</v>
      </c>
      <c r="W441" t="s">
        <v>8512</v>
      </c>
      <c r="X441" t="s">
        <v>8513</v>
      </c>
      <c r="Y441" t="s">
        <v>8514</v>
      </c>
      <c r="Z441" t="s">
        <v>8515</v>
      </c>
      <c r="AA441" t="s">
        <v>74</v>
      </c>
      <c r="AB441" t="s">
        <v>74</v>
      </c>
      <c r="AC441" t="s">
        <v>8516</v>
      </c>
      <c r="AD441" t="s">
        <v>8517</v>
      </c>
      <c r="AE441" t="s">
        <v>8518</v>
      </c>
      <c r="AF441" t="s">
        <v>74</v>
      </c>
      <c r="AG441">
        <v>39</v>
      </c>
      <c r="AH441">
        <v>0</v>
      </c>
      <c r="AI441">
        <v>0</v>
      </c>
      <c r="AJ441">
        <v>0</v>
      </c>
      <c r="AK441">
        <v>0</v>
      </c>
      <c r="AL441" t="s">
        <v>117</v>
      </c>
      <c r="AM441" t="s">
        <v>627</v>
      </c>
      <c r="AN441" t="s">
        <v>628</v>
      </c>
      <c r="AO441" t="s">
        <v>8519</v>
      </c>
      <c r="AP441" t="s">
        <v>8520</v>
      </c>
      <c r="AQ441" t="s">
        <v>74</v>
      </c>
      <c r="AR441" t="s">
        <v>8521</v>
      </c>
      <c r="AS441" t="s">
        <v>8522</v>
      </c>
      <c r="AT441" t="s">
        <v>8225</v>
      </c>
      <c r="AU441">
        <v>2023</v>
      </c>
      <c r="AV441" t="s">
        <v>74</v>
      </c>
      <c r="AW441" t="s">
        <v>74</v>
      </c>
      <c r="AX441" t="s">
        <v>74</v>
      </c>
      <c r="AY441" t="s">
        <v>74</v>
      </c>
      <c r="AZ441" t="s">
        <v>74</v>
      </c>
      <c r="BA441" t="s">
        <v>74</v>
      </c>
      <c r="BB441" t="s">
        <v>74</v>
      </c>
      <c r="BC441" t="s">
        <v>74</v>
      </c>
      <c r="BD441" t="s">
        <v>74</v>
      </c>
      <c r="BE441" t="s">
        <v>8523</v>
      </c>
      <c r="BF441" t="str">
        <f>HYPERLINK("http://dx.doi.org/10.1007/s11255-023-03762-3","http://dx.doi.org/10.1007/s11255-023-03762-3")</f>
        <v>http://dx.doi.org/10.1007/s11255-023-03762-3</v>
      </c>
      <c r="BG441" t="s">
        <v>74</v>
      </c>
      <c r="BH441" t="s">
        <v>2079</v>
      </c>
      <c r="BI441">
        <v>10</v>
      </c>
      <c r="BJ441" t="s">
        <v>7322</v>
      </c>
      <c r="BK441" t="s">
        <v>126</v>
      </c>
      <c r="BL441" t="s">
        <v>7322</v>
      </c>
      <c r="BM441" t="s">
        <v>8524</v>
      </c>
      <c r="BN441">
        <v>37658947</v>
      </c>
      <c r="BO441" t="s">
        <v>74</v>
      </c>
      <c r="BP441" t="s">
        <v>74</v>
      </c>
      <c r="BQ441" t="s">
        <v>74</v>
      </c>
      <c r="BR441" t="s">
        <v>99</v>
      </c>
      <c r="BS441" t="s">
        <v>8525</v>
      </c>
      <c r="BT441" t="str">
        <f>HYPERLINK("https%3A%2F%2Fwww.webofscience.com%2Fwos%2Fwoscc%2Ffull-record%2FWOS:001060841700001","View Full Record in Web of Science")</f>
        <v>View Full Record in Web of Science</v>
      </c>
    </row>
    <row r="442" spans="1:72" x14ac:dyDescent="0.15">
      <c r="A442" t="s">
        <v>72</v>
      </c>
      <c r="B442" t="s">
        <v>8526</v>
      </c>
      <c r="C442" t="s">
        <v>74</v>
      </c>
      <c r="D442" t="s">
        <v>74</v>
      </c>
      <c r="E442" t="s">
        <v>74</v>
      </c>
      <c r="F442" t="s">
        <v>8527</v>
      </c>
      <c r="G442" t="s">
        <v>74</v>
      </c>
      <c r="H442" t="s">
        <v>74</v>
      </c>
      <c r="I442" t="s">
        <v>8528</v>
      </c>
      <c r="J442" t="s">
        <v>5474</v>
      </c>
      <c r="K442" t="s">
        <v>74</v>
      </c>
      <c r="L442" t="s">
        <v>74</v>
      </c>
      <c r="M442" t="s">
        <v>78</v>
      </c>
      <c r="N442" t="s">
        <v>79</v>
      </c>
      <c r="O442" t="s">
        <v>74</v>
      </c>
      <c r="P442" t="s">
        <v>74</v>
      </c>
      <c r="Q442" t="s">
        <v>74</v>
      </c>
      <c r="R442" t="s">
        <v>74</v>
      </c>
      <c r="S442" t="s">
        <v>74</v>
      </c>
      <c r="T442" t="s">
        <v>8529</v>
      </c>
      <c r="U442" t="s">
        <v>8530</v>
      </c>
      <c r="V442" t="s">
        <v>8531</v>
      </c>
      <c r="W442" t="s">
        <v>8532</v>
      </c>
      <c r="X442" t="s">
        <v>8533</v>
      </c>
      <c r="Y442" t="s">
        <v>8534</v>
      </c>
      <c r="Z442" t="s">
        <v>8535</v>
      </c>
      <c r="AA442" t="s">
        <v>74</v>
      </c>
      <c r="AB442" t="s">
        <v>74</v>
      </c>
      <c r="AC442" t="s">
        <v>8536</v>
      </c>
      <c r="AD442" t="s">
        <v>8536</v>
      </c>
      <c r="AE442" t="s">
        <v>8537</v>
      </c>
      <c r="AF442" t="s">
        <v>74</v>
      </c>
      <c r="AG442">
        <v>53</v>
      </c>
      <c r="AH442">
        <v>0</v>
      </c>
      <c r="AI442">
        <v>0</v>
      </c>
      <c r="AJ442">
        <v>0</v>
      </c>
      <c r="AK442">
        <v>0</v>
      </c>
      <c r="AL442" t="s">
        <v>443</v>
      </c>
      <c r="AM442" t="s">
        <v>245</v>
      </c>
      <c r="AN442" t="s">
        <v>444</v>
      </c>
      <c r="AO442" t="s">
        <v>74</v>
      </c>
      <c r="AP442" t="s">
        <v>5483</v>
      </c>
      <c r="AQ442" t="s">
        <v>74</v>
      </c>
      <c r="AR442" t="s">
        <v>5474</v>
      </c>
      <c r="AS442" t="s">
        <v>5484</v>
      </c>
      <c r="AT442" t="s">
        <v>8262</v>
      </c>
      <c r="AU442">
        <v>2023</v>
      </c>
      <c r="AV442">
        <v>24</v>
      </c>
      <c r="AW442">
        <v>1</v>
      </c>
      <c r="AX442" t="s">
        <v>74</v>
      </c>
      <c r="AY442" t="s">
        <v>74</v>
      </c>
      <c r="AZ442" t="s">
        <v>74</v>
      </c>
      <c r="BA442" t="s">
        <v>74</v>
      </c>
      <c r="BB442" t="s">
        <v>74</v>
      </c>
      <c r="BC442" t="s">
        <v>74</v>
      </c>
      <c r="BD442">
        <v>568</v>
      </c>
      <c r="BE442" t="s">
        <v>8538</v>
      </c>
      <c r="BF442" t="str">
        <f>HYPERLINK("http://dx.doi.org/10.1186/s13063-023-07542-3","http://dx.doi.org/10.1186/s13063-023-07542-3")</f>
        <v>http://dx.doi.org/10.1186/s13063-023-07542-3</v>
      </c>
      <c r="BG442" t="s">
        <v>74</v>
      </c>
      <c r="BH442" t="s">
        <v>74</v>
      </c>
      <c r="BI442">
        <v>14</v>
      </c>
      <c r="BJ442" t="s">
        <v>3415</v>
      </c>
      <c r="BK442" t="s">
        <v>126</v>
      </c>
      <c r="BL442" t="s">
        <v>3416</v>
      </c>
      <c r="BM442" t="s">
        <v>8280</v>
      </c>
      <c r="BN442">
        <v>37660037</v>
      </c>
      <c r="BO442" t="s">
        <v>3356</v>
      </c>
      <c r="BP442" t="s">
        <v>74</v>
      </c>
      <c r="BQ442" t="s">
        <v>74</v>
      </c>
      <c r="BR442" t="s">
        <v>99</v>
      </c>
      <c r="BS442" t="s">
        <v>8539</v>
      </c>
      <c r="BT442" t="str">
        <f>HYPERLINK("https%3A%2F%2Fwww.webofscience.com%2Fwos%2Fwoscc%2Ffull-record%2FWOS:001059010900001","View Full Record in Web of Science")</f>
        <v>View Full Record in Web of Science</v>
      </c>
    </row>
    <row r="443" spans="1:72" x14ac:dyDescent="0.15">
      <c r="A443" t="s">
        <v>72</v>
      </c>
      <c r="B443" t="s">
        <v>8540</v>
      </c>
      <c r="C443" t="s">
        <v>74</v>
      </c>
      <c r="D443" t="s">
        <v>74</v>
      </c>
      <c r="E443" t="s">
        <v>74</v>
      </c>
      <c r="F443" t="s">
        <v>8541</v>
      </c>
      <c r="G443" t="s">
        <v>74</v>
      </c>
      <c r="H443" t="s">
        <v>74</v>
      </c>
      <c r="I443" t="s">
        <v>8542</v>
      </c>
      <c r="J443" t="s">
        <v>8543</v>
      </c>
      <c r="K443" t="s">
        <v>74</v>
      </c>
      <c r="L443" t="s">
        <v>74</v>
      </c>
      <c r="M443" t="s">
        <v>78</v>
      </c>
      <c r="N443" t="s">
        <v>1246</v>
      </c>
      <c r="O443" t="s">
        <v>74</v>
      </c>
      <c r="P443" t="s">
        <v>74</v>
      </c>
      <c r="Q443" t="s">
        <v>74</v>
      </c>
      <c r="R443" t="s">
        <v>74</v>
      </c>
      <c r="S443" t="s">
        <v>74</v>
      </c>
      <c r="T443" t="s">
        <v>8544</v>
      </c>
      <c r="U443" t="s">
        <v>8545</v>
      </c>
      <c r="V443" t="s">
        <v>8546</v>
      </c>
      <c r="W443" t="s">
        <v>8547</v>
      </c>
      <c r="X443" t="s">
        <v>8548</v>
      </c>
      <c r="Y443" t="s">
        <v>8549</v>
      </c>
      <c r="Z443" t="s">
        <v>8550</v>
      </c>
      <c r="AA443" t="s">
        <v>74</v>
      </c>
      <c r="AB443" t="s">
        <v>74</v>
      </c>
      <c r="AC443" t="s">
        <v>8551</v>
      </c>
      <c r="AD443" t="s">
        <v>8551</v>
      </c>
      <c r="AE443" t="s">
        <v>8552</v>
      </c>
      <c r="AF443" t="s">
        <v>74</v>
      </c>
      <c r="AG443">
        <v>61</v>
      </c>
      <c r="AH443">
        <v>0</v>
      </c>
      <c r="AI443">
        <v>0</v>
      </c>
      <c r="AJ443">
        <v>2</v>
      </c>
      <c r="AK443">
        <v>2</v>
      </c>
      <c r="AL443" t="s">
        <v>117</v>
      </c>
      <c r="AM443" t="s">
        <v>627</v>
      </c>
      <c r="AN443" t="s">
        <v>628</v>
      </c>
      <c r="AO443" t="s">
        <v>8553</v>
      </c>
      <c r="AP443" t="s">
        <v>8554</v>
      </c>
      <c r="AQ443" t="s">
        <v>74</v>
      </c>
      <c r="AR443" t="s">
        <v>8555</v>
      </c>
      <c r="AS443" t="s">
        <v>8556</v>
      </c>
      <c r="AT443" t="s">
        <v>8225</v>
      </c>
      <c r="AU443">
        <v>2023</v>
      </c>
      <c r="AV443" t="s">
        <v>74</v>
      </c>
      <c r="AW443" t="s">
        <v>74</v>
      </c>
      <c r="AX443" t="s">
        <v>74</v>
      </c>
      <c r="AY443" t="s">
        <v>74</v>
      </c>
      <c r="AZ443" t="s">
        <v>74</v>
      </c>
      <c r="BA443" t="s">
        <v>74</v>
      </c>
      <c r="BB443" t="s">
        <v>74</v>
      </c>
      <c r="BC443" t="s">
        <v>74</v>
      </c>
      <c r="BD443" t="s">
        <v>74</v>
      </c>
      <c r="BE443" t="s">
        <v>8557</v>
      </c>
      <c r="BF443" t="str">
        <f>HYPERLINK("http://dx.doi.org/10.1007/s10640-023-00806-1","http://dx.doi.org/10.1007/s10640-023-00806-1")</f>
        <v>http://dx.doi.org/10.1007/s10640-023-00806-1</v>
      </c>
      <c r="BG443" t="s">
        <v>74</v>
      </c>
      <c r="BH443" t="s">
        <v>2079</v>
      </c>
      <c r="BI443">
        <v>28</v>
      </c>
      <c r="BJ443" t="s">
        <v>8558</v>
      </c>
      <c r="BK443" t="s">
        <v>425</v>
      </c>
      <c r="BL443" t="s">
        <v>8559</v>
      </c>
      <c r="BM443" t="s">
        <v>8560</v>
      </c>
      <c r="BN443" t="s">
        <v>74</v>
      </c>
      <c r="BO443" t="s">
        <v>74</v>
      </c>
      <c r="BP443" t="s">
        <v>74</v>
      </c>
      <c r="BQ443" t="s">
        <v>74</v>
      </c>
      <c r="BR443" t="s">
        <v>99</v>
      </c>
      <c r="BS443" t="s">
        <v>8561</v>
      </c>
      <c r="BT443" t="str">
        <f>HYPERLINK("https%3A%2F%2Fwww.webofscience.com%2Fwos%2Fwoscc%2Ffull-record%2FWOS:001057086200001","View Full Record in Web of Science")</f>
        <v>View Full Record in Web of Science</v>
      </c>
    </row>
    <row r="444" spans="1:72" x14ac:dyDescent="0.15">
      <c r="A444" t="s">
        <v>72</v>
      </c>
      <c r="B444" t="s">
        <v>8562</v>
      </c>
      <c r="C444" t="s">
        <v>74</v>
      </c>
      <c r="D444" t="s">
        <v>74</v>
      </c>
      <c r="E444" t="s">
        <v>74</v>
      </c>
      <c r="F444" t="s">
        <v>8563</v>
      </c>
      <c r="G444" t="s">
        <v>74</v>
      </c>
      <c r="H444" t="s">
        <v>74</v>
      </c>
      <c r="I444" t="s">
        <v>8564</v>
      </c>
      <c r="J444" t="s">
        <v>8565</v>
      </c>
      <c r="K444" t="s">
        <v>74</v>
      </c>
      <c r="L444" t="s">
        <v>74</v>
      </c>
      <c r="M444" t="s">
        <v>78</v>
      </c>
      <c r="N444" t="s">
        <v>1246</v>
      </c>
      <c r="O444" t="s">
        <v>74</v>
      </c>
      <c r="P444" t="s">
        <v>74</v>
      </c>
      <c r="Q444" t="s">
        <v>74</v>
      </c>
      <c r="R444" t="s">
        <v>74</v>
      </c>
      <c r="S444" t="s">
        <v>74</v>
      </c>
      <c r="T444" t="s">
        <v>8566</v>
      </c>
      <c r="U444" t="s">
        <v>8567</v>
      </c>
      <c r="V444" t="s">
        <v>8568</v>
      </c>
      <c r="W444" t="s">
        <v>8569</v>
      </c>
      <c r="X444" t="s">
        <v>8570</v>
      </c>
      <c r="Y444" t="s">
        <v>8571</v>
      </c>
      <c r="Z444" t="s">
        <v>8572</v>
      </c>
      <c r="AA444" t="s">
        <v>74</v>
      </c>
      <c r="AB444" t="s">
        <v>74</v>
      </c>
      <c r="AC444" t="s">
        <v>8573</v>
      </c>
      <c r="AD444" t="s">
        <v>4976</v>
      </c>
      <c r="AE444" t="s">
        <v>8574</v>
      </c>
      <c r="AF444" t="s">
        <v>74</v>
      </c>
      <c r="AG444">
        <v>39</v>
      </c>
      <c r="AH444">
        <v>0</v>
      </c>
      <c r="AI444">
        <v>0</v>
      </c>
      <c r="AJ444">
        <v>2</v>
      </c>
      <c r="AK444">
        <v>2</v>
      </c>
      <c r="AL444" t="s">
        <v>117</v>
      </c>
      <c r="AM444" t="s">
        <v>118</v>
      </c>
      <c r="AN444" t="s">
        <v>119</v>
      </c>
      <c r="AO444" t="s">
        <v>8575</v>
      </c>
      <c r="AP444" t="s">
        <v>8576</v>
      </c>
      <c r="AQ444" t="s">
        <v>74</v>
      </c>
      <c r="AR444" t="s">
        <v>8565</v>
      </c>
      <c r="AS444" t="s">
        <v>8577</v>
      </c>
      <c r="AT444" t="s">
        <v>8225</v>
      </c>
      <c r="AU444">
        <v>2023</v>
      </c>
      <c r="AV444" t="s">
        <v>74</v>
      </c>
      <c r="AW444" t="s">
        <v>74</v>
      </c>
      <c r="AX444" t="s">
        <v>74</v>
      </c>
      <c r="AY444" t="s">
        <v>74</v>
      </c>
      <c r="AZ444" t="s">
        <v>74</v>
      </c>
      <c r="BA444" t="s">
        <v>74</v>
      </c>
      <c r="BB444" t="s">
        <v>74</v>
      </c>
      <c r="BC444" t="s">
        <v>74</v>
      </c>
      <c r="BD444" t="s">
        <v>74</v>
      </c>
      <c r="BE444" t="s">
        <v>8578</v>
      </c>
      <c r="BF444" t="str">
        <f>HYPERLINK("http://dx.doi.org/10.1007/s11468-023-02017-2","http://dx.doi.org/10.1007/s11468-023-02017-2")</f>
        <v>http://dx.doi.org/10.1007/s11468-023-02017-2</v>
      </c>
      <c r="BG444" t="s">
        <v>74</v>
      </c>
      <c r="BH444" t="s">
        <v>2079</v>
      </c>
      <c r="BI444">
        <v>11</v>
      </c>
      <c r="BJ444" t="s">
        <v>8579</v>
      </c>
      <c r="BK444" t="s">
        <v>126</v>
      </c>
      <c r="BL444" t="s">
        <v>8580</v>
      </c>
      <c r="BM444" t="s">
        <v>8581</v>
      </c>
      <c r="BN444" t="s">
        <v>74</v>
      </c>
      <c r="BO444" t="s">
        <v>74</v>
      </c>
      <c r="BP444" t="s">
        <v>74</v>
      </c>
      <c r="BQ444" t="s">
        <v>74</v>
      </c>
      <c r="BR444" t="s">
        <v>99</v>
      </c>
      <c r="BS444" t="s">
        <v>8582</v>
      </c>
      <c r="BT444" t="str">
        <f>HYPERLINK("https%3A%2F%2Fwww.webofscience.com%2Fwos%2Fwoscc%2Ffull-record%2FWOS:001057650800001","View Full Record in Web of Science")</f>
        <v>View Full Record in Web of Science</v>
      </c>
    </row>
    <row r="445" spans="1:72" x14ac:dyDescent="0.15">
      <c r="A445" t="s">
        <v>72</v>
      </c>
      <c r="B445" t="s">
        <v>8583</v>
      </c>
      <c r="C445" t="s">
        <v>74</v>
      </c>
      <c r="D445" t="s">
        <v>74</v>
      </c>
      <c r="E445" t="s">
        <v>74</v>
      </c>
      <c r="F445" t="s">
        <v>8584</v>
      </c>
      <c r="G445" t="s">
        <v>74</v>
      </c>
      <c r="H445" t="s">
        <v>74</v>
      </c>
      <c r="I445" t="s">
        <v>8585</v>
      </c>
      <c r="J445" t="s">
        <v>6811</v>
      </c>
      <c r="K445" t="s">
        <v>74</v>
      </c>
      <c r="L445" t="s">
        <v>74</v>
      </c>
      <c r="M445" t="s">
        <v>78</v>
      </c>
      <c r="N445" t="s">
        <v>1246</v>
      </c>
      <c r="O445" t="s">
        <v>74</v>
      </c>
      <c r="P445" t="s">
        <v>74</v>
      </c>
      <c r="Q445" t="s">
        <v>74</v>
      </c>
      <c r="R445" t="s">
        <v>74</v>
      </c>
      <c r="S445" t="s">
        <v>74</v>
      </c>
      <c r="T445" t="s">
        <v>8586</v>
      </c>
      <c r="U445" t="s">
        <v>8587</v>
      </c>
      <c r="V445" t="s">
        <v>8588</v>
      </c>
      <c r="W445" t="s">
        <v>8589</v>
      </c>
      <c r="X445" t="s">
        <v>8590</v>
      </c>
      <c r="Y445" t="s">
        <v>8591</v>
      </c>
      <c r="Z445" t="s">
        <v>8592</v>
      </c>
      <c r="AA445" t="s">
        <v>74</v>
      </c>
      <c r="AB445" t="s">
        <v>74</v>
      </c>
      <c r="AC445" t="s">
        <v>8593</v>
      </c>
      <c r="AD445" t="s">
        <v>8593</v>
      </c>
      <c r="AE445" t="s">
        <v>8593</v>
      </c>
      <c r="AF445" t="s">
        <v>74</v>
      </c>
      <c r="AG445">
        <v>93</v>
      </c>
      <c r="AH445">
        <v>0</v>
      </c>
      <c r="AI445">
        <v>0</v>
      </c>
      <c r="AJ445">
        <v>2</v>
      </c>
      <c r="AK445">
        <v>2</v>
      </c>
      <c r="AL445" t="s">
        <v>117</v>
      </c>
      <c r="AM445" t="s">
        <v>118</v>
      </c>
      <c r="AN445" t="s">
        <v>119</v>
      </c>
      <c r="AO445" t="s">
        <v>6819</v>
      </c>
      <c r="AP445" t="s">
        <v>6820</v>
      </c>
      <c r="AQ445" t="s">
        <v>74</v>
      </c>
      <c r="AR445" t="s">
        <v>6821</v>
      </c>
      <c r="AS445" t="s">
        <v>6822</v>
      </c>
      <c r="AT445" t="s">
        <v>8225</v>
      </c>
      <c r="AU445">
        <v>2023</v>
      </c>
      <c r="AV445" t="s">
        <v>74</v>
      </c>
      <c r="AW445" t="s">
        <v>74</v>
      </c>
      <c r="AX445" t="s">
        <v>74</v>
      </c>
      <c r="AY445" t="s">
        <v>74</v>
      </c>
      <c r="AZ445" t="s">
        <v>74</v>
      </c>
      <c r="BA445" t="s">
        <v>74</v>
      </c>
      <c r="BB445" t="s">
        <v>74</v>
      </c>
      <c r="BC445" t="s">
        <v>74</v>
      </c>
      <c r="BD445" t="s">
        <v>74</v>
      </c>
      <c r="BE445" t="s">
        <v>8594</v>
      </c>
      <c r="BF445" t="str">
        <f>HYPERLINK("http://dx.doi.org/10.1007/s10578-023-01603","http://dx.doi.org/10.1007/s10578-023-01603")</f>
        <v>http://dx.doi.org/10.1007/s10578-023-01603</v>
      </c>
      <c r="BG445" t="s">
        <v>74</v>
      </c>
      <c r="BH445" t="s">
        <v>2079</v>
      </c>
      <c r="BI445">
        <v>13</v>
      </c>
      <c r="BJ445" t="s">
        <v>6566</v>
      </c>
      <c r="BK445" t="s">
        <v>425</v>
      </c>
      <c r="BL445" t="s">
        <v>6567</v>
      </c>
      <c r="BM445" t="s">
        <v>8595</v>
      </c>
      <c r="BN445" t="s">
        <v>74</v>
      </c>
      <c r="BO445" t="s">
        <v>74</v>
      </c>
      <c r="BP445" t="s">
        <v>74</v>
      </c>
      <c r="BQ445" t="s">
        <v>74</v>
      </c>
      <c r="BR445" t="s">
        <v>99</v>
      </c>
      <c r="BS445" t="s">
        <v>8596</v>
      </c>
      <c r="BT445" t="str">
        <f>HYPERLINK("https%3A%2F%2Fwww.webofscience.com%2Fwos%2Fwoscc%2Ffull-record%2FWOS:001057660700001","View Full Record in Web of Science")</f>
        <v>View Full Record in Web of Science</v>
      </c>
    </row>
    <row r="446" spans="1:72" x14ac:dyDescent="0.15">
      <c r="A446" t="s">
        <v>72</v>
      </c>
      <c r="B446" t="s">
        <v>8597</v>
      </c>
      <c r="C446" t="s">
        <v>74</v>
      </c>
      <c r="D446" t="s">
        <v>74</v>
      </c>
      <c r="E446" t="s">
        <v>74</v>
      </c>
      <c r="F446" t="s">
        <v>8598</v>
      </c>
      <c r="G446" t="s">
        <v>74</v>
      </c>
      <c r="H446" t="s">
        <v>74</v>
      </c>
      <c r="I446" t="s">
        <v>8599</v>
      </c>
      <c r="J446" t="s">
        <v>8600</v>
      </c>
      <c r="K446" t="s">
        <v>74</v>
      </c>
      <c r="L446" t="s">
        <v>74</v>
      </c>
      <c r="M446" t="s">
        <v>78</v>
      </c>
      <c r="N446" t="s">
        <v>79</v>
      </c>
      <c r="O446" t="s">
        <v>74</v>
      </c>
      <c r="P446" t="s">
        <v>74</v>
      </c>
      <c r="Q446" t="s">
        <v>74</v>
      </c>
      <c r="R446" t="s">
        <v>74</v>
      </c>
      <c r="S446" t="s">
        <v>74</v>
      </c>
      <c r="T446" t="s">
        <v>8601</v>
      </c>
      <c r="U446" t="s">
        <v>8602</v>
      </c>
      <c r="V446" t="s">
        <v>8603</v>
      </c>
      <c r="W446" t="s">
        <v>8604</v>
      </c>
      <c r="X446" t="s">
        <v>8605</v>
      </c>
      <c r="Y446" t="s">
        <v>8606</v>
      </c>
      <c r="Z446" t="s">
        <v>8607</v>
      </c>
      <c r="AA446" t="s">
        <v>8608</v>
      </c>
      <c r="AB446" t="s">
        <v>8609</v>
      </c>
      <c r="AC446" t="s">
        <v>74</v>
      </c>
      <c r="AD446" t="s">
        <v>74</v>
      </c>
      <c r="AE446" t="s">
        <v>74</v>
      </c>
      <c r="AF446" t="s">
        <v>74</v>
      </c>
      <c r="AG446">
        <v>36</v>
      </c>
      <c r="AH446">
        <v>0</v>
      </c>
      <c r="AI446">
        <v>0</v>
      </c>
      <c r="AJ446">
        <v>0</v>
      </c>
      <c r="AK446">
        <v>0</v>
      </c>
      <c r="AL446" t="s">
        <v>172</v>
      </c>
      <c r="AM446" t="s">
        <v>173</v>
      </c>
      <c r="AN446" t="s">
        <v>174</v>
      </c>
      <c r="AO446" t="s">
        <v>8610</v>
      </c>
      <c r="AP446" t="s">
        <v>8611</v>
      </c>
      <c r="AQ446" t="s">
        <v>74</v>
      </c>
      <c r="AR446" t="s">
        <v>8612</v>
      </c>
      <c r="AS446" t="s">
        <v>8613</v>
      </c>
      <c r="AT446" t="s">
        <v>8614</v>
      </c>
      <c r="AU446">
        <v>2023</v>
      </c>
      <c r="AV446">
        <v>34</v>
      </c>
      <c r="AW446">
        <v>3</v>
      </c>
      <c r="AX446" t="s">
        <v>74</v>
      </c>
      <c r="AY446" t="s">
        <v>74</v>
      </c>
      <c r="AZ446" t="s">
        <v>74</v>
      </c>
      <c r="BA446" t="s">
        <v>74</v>
      </c>
      <c r="BB446" t="s">
        <v>74</v>
      </c>
      <c r="BC446" t="s">
        <v>74</v>
      </c>
      <c r="BD446">
        <v>36</v>
      </c>
      <c r="BE446" t="s">
        <v>8615</v>
      </c>
      <c r="BF446" t="str">
        <f>HYPERLINK("http://dx.doi.org/10.1007/s13370-023-01075-3","http://dx.doi.org/10.1007/s13370-023-01075-3")</f>
        <v>http://dx.doi.org/10.1007/s13370-023-01075-3</v>
      </c>
      <c r="BG446" t="s">
        <v>74</v>
      </c>
      <c r="BH446" t="s">
        <v>74</v>
      </c>
      <c r="BI446">
        <v>19</v>
      </c>
      <c r="BJ446" t="s">
        <v>228</v>
      </c>
      <c r="BK446" t="s">
        <v>97</v>
      </c>
      <c r="BL446" t="s">
        <v>228</v>
      </c>
      <c r="BM446" t="s">
        <v>8616</v>
      </c>
      <c r="BN446" t="s">
        <v>74</v>
      </c>
      <c r="BO446" t="s">
        <v>74</v>
      </c>
      <c r="BP446" t="s">
        <v>74</v>
      </c>
      <c r="BQ446" t="s">
        <v>74</v>
      </c>
      <c r="BR446" t="s">
        <v>99</v>
      </c>
      <c r="BS446" t="s">
        <v>8617</v>
      </c>
      <c r="BT446" t="str">
        <f>HYPERLINK("https%3A%2F%2Fwww.webofscience.com%2Fwos%2Fwoscc%2Ffull-record%2FWOS:001010580800001","View Full Record in Web of Science")</f>
        <v>View Full Record in Web of Science</v>
      </c>
    </row>
    <row r="447" spans="1:72" x14ac:dyDescent="0.15">
      <c r="A447" t="s">
        <v>72</v>
      </c>
      <c r="B447" t="s">
        <v>8618</v>
      </c>
      <c r="C447" t="s">
        <v>74</v>
      </c>
      <c r="D447" t="s">
        <v>74</v>
      </c>
      <c r="E447" t="s">
        <v>74</v>
      </c>
      <c r="F447" t="s">
        <v>8619</v>
      </c>
      <c r="G447" t="s">
        <v>74</v>
      </c>
      <c r="H447" t="s">
        <v>74</v>
      </c>
      <c r="I447" t="s">
        <v>8620</v>
      </c>
      <c r="J447" t="s">
        <v>8621</v>
      </c>
      <c r="K447" t="s">
        <v>74</v>
      </c>
      <c r="L447" t="s">
        <v>74</v>
      </c>
      <c r="M447" t="s">
        <v>78</v>
      </c>
      <c r="N447" t="s">
        <v>79</v>
      </c>
      <c r="O447" t="s">
        <v>74</v>
      </c>
      <c r="P447" t="s">
        <v>74</v>
      </c>
      <c r="Q447" t="s">
        <v>74</v>
      </c>
      <c r="R447" t="s">
        <v>74</v>
      </c>
      <c r="S447" t="s">
        <v>74</v>
      </c>
      <c r="T447" t="s">
        <v>8622</v>
      </c>
      <c r="U447" t="s">
        <v>8623</v>
      </c>
      <c r="V447" t="s">
        <v>8624</v>
      </c>
      <c r="W447" t="s">
        <v>8625</v>
      </c>
      <c r="X447" t="s">
        <v>8626</v>
      </c>
      <c r="Y447" t="s">
        <v>8627</v>
      </c>
      <c r="Z447" t="s">
        <v>8628</v>
      </c>
      <c r="AA447" t="s">
        <v>8629</v>
      </c>
      <c r="AB447" t="s">
        <v>8630</v>
      </c>
      <c r="AC447" t="s">
        <v>74</v>
      </c>
      <c r="AD447" t="s">
        <v>74</v>
      </c>
      <c r="AE447" t="s">
        <v>74</v>
      </c>
      <c r="AF447" t="s">
        <v>74</v>
      </c>
      <c r="AG447">
        <v>36</v>
      </c>
      <c r="AH447">
        <v>0</v>
      </c>
      <c r="AI447">
        <v>0</v>
      </c>
      <c r="AJ447">
        <v>1</v>
      </c>
      <c r="AK447">
        <v>1</v>
      </c>
      <c r="AL447" t="s">
        <v>172</v>
      </c>
      <c r="AM447" t="s">
        <v>173</v>
      </c>
      <c r="AN447" t="s">
        <v>174</v>
      </c>
      <c r="AO447" t="s">
        <v>8631</v>
      </c>
      <c r="AP447" t="s">
        <v>8632</v>
      </c>
      <c r="AQ447" t="s">
        <v>74</v>
      </c>
      <c r="AR447" t="s">
        <v>8633</v>
      </c>
      <c r="AS447" t="s">
        <v>8634</v>
      </c>
      <c r="AT447" t="s">
        <v>8614</v>
      </c>
      <c r="AU447">
        <v>2023</v>
      </c>
      <c r="AV447">
        <v>42</v>
      </c>
      <c r="AW447">
        <v>6</v>
      </c>
      <c r="AX447" t="s">
        <v>74</v>
      </c>
      <c r="AY447" t="s">
        <v>74</v>
      </c>
      <c r="AZ447" t="s">
        <v>74</v>
      </c>
      <c r="BA447" t="s">
        <v>74</v>
      </c>
      <c r="BB447" t="s">
        <v>74</v>
      </c>
      <c r="BC447" t="s">
        <v>74</v>
      </c>
      <c r="BD447">
        <v>252</v>
      </c>
      <c r="BE447" t="s">
        <v>8635</v>
      </c>
      <c r="BF447" t="str">
        <f>HYPERLINK("http://dx.doi.org/10.1007/s40314-023-02380-0","http://dx.doi.org/10.1007/s40314-023-02380-0")</f>
        <v>http://dx.doi.org/10.1007/s40314-023-02380-0</v>
      </c>
      <c r="BG447" t="s">
        <v>74</v>
      </c>
      <c r="BH447" t="s">
        <v>74</v>
      </c>
      <c r="BI447">
        <v>17</v>
      </c>
      <c r="BJ447" t="s">
        <v>830</v>
      </c>
      <c r="BK447" t="s">
        <v>126</v>
      </c>
      <c r="BL447" t="s">
        <v>228</v>
      </c>
      <c r="BM447" t="s">
        <v>8636</v>
      </c>
      <c r="BN447" t="s">
        <v>74</v>
      </c>
      <c r="BO447" t="s">
        <v>74</v>
      </c>
      <c r="BP447" t="s">
        <v>74</v>
      </c>
      <c r="BQ447" t="s">
        <v>74</v>
      </c>
      <c r="BR447" t="s">
        <v>99</v>
      </c>
      <c r="BS447" t="s">
        <v>8637</v>
      </c>
      <c r="BT447" t="str">
        <f>HYPERLINK("https%3A%2F%2Fwww.webofscience.com%2Fwos%2Fwoscc%2Ffull-record%2FWOS:001027828500001","View Full Record in Web of Science")</f>
        <v>View Full Record in Web of Science</v>
      </c>
    </row>
    <row r="448" spans="1:72" x14ac:dyDescent="0.15">
      <c r="A448" t="s">
        <v>72</v>
      </c>
      <c r="B448" t="s">
        <v>8638</v>
      </c>
      <c r="C448" t="s">
        <v>74</v>
      </c>
      <c r="D448" t="s">
        <v>74</v>
      </c>
      <c r="E448" t="s">
        <v>74</v>
      </c>
      <c r="F448" t="s">
        <v>8639</v>
      </c>
      <c r="G448" t="s">
        <v>74</v>
      </c>
      <c r="H448" t="s">
        <v>74</v>
      </c>
      <c r="I448" t="s">
        <v>8640</v>
      </c>
      <c r="J448" t="s">
        <v>598</v>
      </c>
      <c r="K448" t="s">
        <v>74</v>
      </c>
      <c r="L448" t="s">
        <v>74</v>
      </c>
      <c r="M448" t="s">
        <v>78</v>
      </c>
      <c r="N448" t="s">
        <v>79</v>
      </c>
      <c r="O448" t="s">
        <v>74</v>
      </c>
      <c r="P448" t="s">
        <v>74</v>
      </c>
      <c r="Q448" t="s">
        <v>74</v>
      </c>
      <c r="R448" t="s">
        <v>74</v>
      </c>
      <c r="S448" t="s">
        <v>74</v>
      </c>
      <c r="T448" t="s">
        <v>8641</v>
      </c>
      <c r="U448" t="s">
        <v>8642</v>
      </c>
      <c r="V448" t="s">
        <v>8643</v>
      </c>
      <c r="W448" t="s">
        <v>8644</v>
      </c>
      <c r="X448" t="s">
        <v>8645</v>
      </c>
      <c r="Y448" t="s">
        <v>8646</v>
      </c>
      <c r="Z448" t="s">
        <v>8647</v>
      </c>
      <c r="AA448" t="s">
        <v>8648</v>
      </c>
      <c r="AB448" t="s">
        <v>74</v>
      </c>
      <c r="AC448" t="s">
        <v>8649</v>
      </c>
      <c r="AD448" t="s">
        <v>8650</v>
      </c>
      <c r="AE448" t="s">
        <v>8651</v>
      </c>
      <c r="AF448" t="s">
        <v>74</v>
      </c>
      <c r="AG448">
        <v>40</v>
      </c>
      <c r="AH448">
        <v>0</v>
      </c>
      <c r="AI448">
        <v>0</v>
      </c>
      <c r="AJ448">
        <v>3</v>
      </c>
      <c r="AK448">
        <v>3</v>
      </c>
      <c r="AL448" t="s">
        <v>219</v>
      </c>
      <c r="AM448" t="s">
        <v>220</v>
      </c>
      <c r="AN448" t="s">
        <v>221</v>
      </c>
      <c r="AO448" t="s">
        <v>608</v>
      </c>
      <c r="AP448" t="s">
        <v>609</v>
      </c>
      <c r="AQ448" t="s">
        <v>74</v>
      </c>
      <c r="AR448" t="s">
        <v>610</v>
      </c>
      <c r="AS448" t="s">
        <v>611</v>
      </c>
      <c r="AT448" t="s">
        <v>8614</v>
      </c>
      <c r="AU448">
        <v>2023</v>
      </c>
      <c r="AV448">
        <v>22</v>
      </c>
      <c r="AW448">
        <v>3</v>
      </c>
      <c r="AX448" t="s">
        <v>74</v>
      </c>
      <c r="AY448" t="s">
        <v>74</v>
      </c>
      <c r="AZ448" t="s">
        <v>74</v>
      </c>
      <c r="BA448" t="s">
        <v>74</v>
      </c>
      <c r="BB448" t="s">
        <v>74</v>
      </c>
      <c r="BC448" t="s">
        <v>74</v>
      </c>
      <c r="BD448">
        <v>96</v>
      </c>
      <c r="BE448" t="s">
        <v>8652</v>
      </c>
      <c r="BF448" t="str">
        <f>HYPERLINK("http://dx.doi.org/10.1007/s12346-023-00781-4","http://dx.doi.org/10.1007/s12346-023-00781-4")</f>
        <v>http://dx.doi.org/10.1007/s12346-023-00781-4</v>
      </c>
      <c r="BG448" t="s">
        <v>74</v>
      </c>
      <c r="BH448" t="s">
        <v>74</v>
      </c>
      <c r="BI448">
        <v>17</v>
      </c>
      <c r="BJ448" t="s">
        <v>227</v>
      </c>
      <c r="BK448" t="s">
        <v>126</v>
      </c>
      <c r="BL448" t="s">
        <v>228</v>
      </c>
      <c r="BM448" t="s">
        <v>8653</v>
      </c>
      <c r="BN448" t="s">
        <v>74</v>
      </c>
      <c r="BO448" t="s">
        <v>74</v>
      </c>
      <c r="BP448" t="s">
        <v>74</v>
      </c>
      <c r="BQ448" t="s">
        <v>74</v>
      </c>
      <c r="BR448" t="s">
        <v>99</v>
      </c>
      <c r="BS448" t="s">
        <v>8654</v>
      </c>
      <c r="BT448" t="str">
        <f>HYPERLINK("https%3A%2F%2Fwww.webofscience.com%2Fwos%2Fwoscc%2Ffull-record%2FWOS:000980382900001","View Full Record in Web of Science")</f>
        <v>View Full Record in Web of Science</v>
      </c>
    </row>
    <row r="449" spans="1:72" x14ac:dyDescent="0.15">
      <c r="A449" t="s">
        <v>72</v>
      </c>
      <c r="B449" t="s">
        <v>8655</v>
      </c>
      <c r="C449" t="s">
        <v>74</v>
      </c>
      <c r="D449" t="s">
        <v>74</v>
      </c>
      <c r="E449" t="s">
        <v>74</v>
      </c>
      <c r="F449" t="s">
        <v>8656</v>
      </c>
      <c r="G449" t="s">
        <v>74</v>
      </c>
      <c r="H449" t="s">
        <v>74</v>
      </c>
      <c r="I449" t="s">
        <v>8657</v>
      </c>
      <c r="J449" t="s">
        <v>8658</v>
      </c>
      <c r="K449" t="s">
        <v>74</v>
      </c>
      <c r="L449" t="s">
        <v>74</v>
      </c>
      <c r="M449" t="s">
        <v>78</v>
      </c>
      <c r="N449" t="s">
        <v>79</v>
      </c>
      <c r="O449" t="s">
        <v>74</v>
      </c>
      <c r="P449" t="s">
        <v>74</v>
      </c>
      <c r="Q449" t="s">
        <v>74</v>
      </c>
      <c r="R449" t="s">
        <v>74</v>
      </c>
      <c r="S449" t="s">
        <v>74</v>
      </c>
      <c r="T449" t="s">
        <v>8659</v>
      </c>
      <c r="U449" t="s">
        <v>8660</v>
      </c>
      <c r="V449" t="s">
        <v>8661</v>
      </c>
      <c r="W449" t="s">
        <v>8662</v>
      </c>
      <c r="X449" t="s">
        <v>8663</v>
      </c>
      <c r="Y449" t="s">
        <v>8664</v>
      </c>
      <c r="Z449" t="s">
        <v>8665</v>
      </c>
      <c r="AA449" t="s">
        <v>74</v>
      </c>
      <c r="AB449" t="s">
        <v>74</v>
      </c>
      <c r="AC449" t="s">
        <v>74</v>
      </c>
      <c r="AD449" t="s">
        <v>74</v>
      </c>
      <c r="AE449" t="s">
        <v>74</v>
      </c>
      <c r="AF449" t="s">
        <v>74</v>
      </c>
      <c r="AG449">
        <v>55</v>
      </c>
      <c r="AH449">
        <v>0</v>
      </c>
      <c r="AI449">
        <v>0</v>
      </c>
      <c r="AJ449">
        <v>4</v>
      </c>
      <c r="AK449">
        <v>4</v>
      </c>
      <c r="AL449" t="s">
        <v>117</v>
      </c>
      <c r="AM449" t="s">
        <v>118</v>
      </c>
      <c r="AN449" t="s">
        <v>119</v>
      </c>
      <c r="AO449" t="s">
        <v>8666</v>
      </c>
      <c r="AP449" t="s">
        <v>8667</v>
      </c>
      <c r="AQ449" t="s">
        <v>74</v>
      </c>
      <c r="AR449" t="s">
        <v>8668</v>
      </c>
      <c r="AS449" t="s">
        <v>8669</v>
      </c>
      <c r="AT449" t="s">
        <v>8614</v>
      </c>
      <c r="AU449">
        <v>2023</v>
      </c>
      <c r="AV449">
        <v>29</v>
      </c>
      <c r="AW449">
        <v>9</v>
      </c>
      <c r="AX449" t="s">
        <v>74</v>
      </c>
      <c r="AY449" t="s">
        <v>74</v>
      </c>
      <c r="AZ449" t="s">
        <v>74</v>
      </c>
      <c r="BA449" t="s">
        <v>74</v>
      </c>
      <c r="BB449" t="s">
        <v>74</v>
      </c>
      <c r="BC449" t="s">
        <v>74</v>
      </c>
      <c r="BD449">
        <v>281</v>
      </c>
      <c r="BE449" t="s">
        <v>8670</v>
      </c>
      <c r="BF449" t="str">
        <f>HYPERLINK("http://dx.doi.org/10.1007/s00894-023-05650-0","http://dx.doi.org/10.1007/s00894-023-05650-0")</f>
        <v>http://dx.doi.org/10.1007/s00894-023-05650-0</v>
      </c>
      <c r="BG449" t="s">
        <v>74</v>
      </c>
      <c r="BH449" t="s">
        <v>74</v>
      </c>
      <c r="BI449">
        <v>20</v>
      </c>
      <c r="BJ449" t="s">
        <v>8671</v>
      </c>
      <c r="BK449" t="s">
        <v>126</v>
      </c>
      <c r="BL449" t="s">
        <v>8672</v>
      </c>
      <c r="BM449" t="s">
        <v>8673</v>
      </c>
      <c r="BN449">
        <v>37584781</v>
      </c>
      <c r="BO449" t="s">
        <v>74</v>
      </c>
      <c r="BP449" t="s">
        <v>74</v>
      </c>
      <c r="BQ449" t="s">
        <v>74</v>
      </c>
      <c r="BR449" t="s">
        <v>99</v>
      </c>
      <c r="BS449" t="s">
        <v>8674</v>
      </c>
      <c r="BT449" t="str">
        <f>HYPERLINK("https%3A%2F%2Fwww.webofscience.com%2Fwos%2Fwoscc%2Ffull-record%2FWOS:001050440000001","View Full Record in Web of Science")</f>
        <v>View Full Record in Web of Science</v>
      </c>
    </row>
    <row r="450" spans="1:72" x14ac:dyDescent="0.15">
      <c r="A450" t="s">
        <v>72</v>
      </c>
      <c r="B450" t="s">
        <v>8675</v>
      </c>
      <c r="C450" t="s">
        <v>74</v>
      </c>
      <c r="D450" t="s">
        <v>74</v>
      </c>
      <c r="E450" t="s">
        <v>74</v>
      </c>
      <c r="F450" t="s">
        <v>8676</v>
      </c>
      <c r="G450" t="s">
        <v>74</v>
      </c>
      <c r="H450" t="s">
        <v>74</v>
      </c>
      <c r="I450" t="s">
        <v>8677</v>
      </c>
      <c r="J450" t="s">
        <v>8678</v>
      </c>
      <c r="K450" t="s">
        <v>74</v>
      </c>
      <c r="L450" t="s">
        <v>74</v>
      </c>
      <c r="M450" t="s">
        <v>78</v>
      </c>
      <c r="N450" t="s">
        <v>79</v>
      </c>
      <c r="O450" t="s">
        <v>74</v>
      </c>
      <c r="P450" t="s">
        <v>74</v>
      </c>
      <c r="Q450" t="s">
        <v>74</v>
      </c>
      <c r="R450" t="s">
        <v>74</v>
      </c>
      <c r="S450" t="s">
        <v>74</v>
      </c>
      <c r="T450" t="s">
        <v>8679</v>
      </c>
      <c r="U450" t="s">
        <v>8680</v>
      </c>
      <c r="V450" t="s">
        <v>8681</v>
      </c>
      <c r="W450" t="s">
        <v>8682</v>
      </c>
      <c r="X450" t="s">
        <v>8683</v>
      </c>
      <c r="Y450" t="s">
        <v>8684</v>
      </c>
      <c r="Z450" t="s">
        <v>8685</v>
      </c>
      <c r="AA450" t="s">
        <v>74</v>
      </c>
      <c r="AB450" t="s">
        <v>74</v>
      </c>
      <c r="AC450" t="s">
        <v>74</v>
      </c>
      <c r="AD450" t="s">
        <v>74</v>
      </c>
      <c r="AE450" t="s">
        <v>74</v>
      </c>
      <c r="AF450" t="s">
        <v>74</v>
      </c>
      <c r="AG450">
        <v>42</v>
      </c>
      <c r="AH450">
        <v>0</v>
      </c>
      <c r="AI450">
        <v>0</v>
      </c>
      <c r="AJ450">
        <v>1</v>
      </c>
      <c r="AK450">
        <v>1</v>
      </c>
      <c r="AL450" t="s">
        <v>172</v>
      </c>
      <c r="AM450" t="s">
        <v>173</v>
      </c>
      <c r="AN450" t="s">
        <v>174</v>
      </c>
      <c r="AO450" t="s">
        <v>8686</v>
      </c>
      <c r="AP450" t="s">
        <v>8687</v>
      </c>
      <c r="AQ450" t="s">
        <v>74</v>
      </c>
      <c r="AR450" t="s">
        <v>8688</v>
      </c>
      <c r="AS450" t="s">
        <v>8689</v>
      </c>
      <c r="AT450" t="s">
        <v>8614</v>
      </c>
      <c r="AU450">
        <v>2023</v>
      </c>
      <c r="AV450">
        <v>45</v>
      </c>
      <c r="AW450">
        <v>9</v>
      </c>
      <c r="AX450" t="s">
        <v>74</v>
      </c>
      <c r="AY450" t="s">
        <v>74</v>
      </c>
      <c r="AZ450" t="s">
        <v>74</v>
      </c>
      <c r="BA450" t="s">
        <v>74</v>
      </c>
      <c r="BB450" t="s">
        <v>74</v>
      </c>
      <c r="BC450" t="s">
        <v>74</v>
      </c>
      <c r="BD450">
        <v>475</v>
      </c>
      <c r="BE450" t="s">
        <v>8690</v>
      </c>
      <c r="BF450" t="str">
        <f>HYPERLINK("http://dx.doi.org/10.1007/s40430-023-04400-w","http://dx.doi.org/10.1007/s40430-023-04400-w")</f>
        <v>http://dx.doi.org/10.1007/s40430-023-04400-w</v>
      </c>
      <c r="BG450" t="s">
        <v>74</v>
      </c>
      <c r="BH450" t="s">
        <v>74</v>
      </c>
      <c r="BI450">
        <v>15</v>
      </c>
      <c r="BJ450" t="s">
        <v>8691</v>
      </c>
      <c r="BK450" t="s">
        <v>126</v>
      </c>
      <c r="BL450" t="s">
        <v>277</v>
      </c>
      <c r="BM450" t="s">
        <v>8692</v>
      </c>
      <c r="BN450" t="s">
        <v>74</v>
      </c>
      <c r="BO450" t="s">
        <v>327</v>
      </c>
      <c r="BP450" t="s">
        <v>74</v>
      </c>
      <c r="BQ450" t="s">
        <v>74</v>
      </c>
      <c r="BR450" t="s">
        <v>99</v>
      </c>
      <c r="BS450" t="s">
        <v>8693</v>
      </c>
      <c r="BT450" t="str">
        <f>HYPERLINK("https%3A%2F%2Fwww.webofscience.com%2Fwos%2Fwoscc%2Ffull-record%2FWOS:001052353300003","View Full Record in Web of Science")</f>
        <v>View Full Record in Web of Science</v>
      </c>
    </row>
    <row r="451" spans="1:72" x14ac:dyDescent="0.15">
      <c r="A451" t="s">
        <v>72</v>
      </c>
      <c r="B451" t="s">
        <v>8694</v>
      </c>
      <c r="C451" t="s">
        <v>74</v>
      </c>
      <c r="D451" t="s">
        <v>74</v>
      </c>
      <c r="E451" t="s">
        <v>74</v>
      </c>
      <c r="F451" t="s">
        <v>8695</v>
      </c>
      <c r="G451" t="s">
        <v>74</v>
      </c>
      <c r="H451" t="s">
        <v>74</v>
      </c>
      <c r="I451" t="s">
        <v>8696</v>
      </c>
      <c r="J451" t="s">
        <v>8697</v>
      </c>
      <c r="K451" t="s">
        <v>74</v>
      </c>
      <c r="L451" t="s">
        <v>74</v>
      </c>
      <c r="M451" t="s">
        <v>78</v>
      </c>
      <c r="N451" t="s">
        <v>79</v>
      </c>
      <c r="O451" t="s">
        <v>74</v>
      </c>
      <c r="P451" t="s">
        <v>74</v>
      </c>
      <c r="Q451" t="s">
        <v>74</v>
      </c>
      <c r="R451" t="s">
        <v>74</v>
      </c>
      <c r="S451" t="s">
        <v>74</v>
      </c>
      <c r="T451" t="s">
        <v>8698</v>
      </c>
      <c r="U451" t="s">
        <v>8699</v>
      </c>
      <c r="V451" t="s">
        <v>8700</v>
      </c>
      <c r="W451" t="s">
        <v>8701</v>
      </c>
      <c r="X451" t="s">
        <v>8702</v>
      </c>
      <c r="Y451" t="s">
        <v>8703</v>
      </c>
      <c r="Z451" t="s">
        <v>8704</v>
      </c>
      <c r="AA451" t="s">
        <v>74</v>
      </c>
      <c r="AB451" t="s">
        <v>74</v>
      </c>
      <c r="AC451" t="s">
        <v>8705</v>
      </c>
      <c r="AD451" t="s">
        <v>8705</v>
      </c>
      <c r="AE451" t="s">
        <v>8706</v>
      </c>
      <c r="AF451" t="s">
        <v>74</v>
      </c>
      <c r="AG451">
        <v>14</v>
      </c>
      <c r="AH451">
        <v>0</v>
      </c>
      <c r="AI451">
        <v>0</v>
      </c>
      <c r="AJ451">
        <v>1</v>
      </c>
      <c r="AK451">
        <v>1</v>
      </c>
      <c r="AL451" t="s">
        <v>117</v>
      </c>
      <c r="AM451" t="s">
        <v>627</v>
      </c>
      <c r="AN451" t="s">
        <v>628</v>
      </c>
      <c r="AO451" t="s">
        <v>8707</v>
      </c>
      <c r="AP451" t="s">
        <v>8708</v>
      </c>
      <c r="AQ451" t="s">
        <v>74</v>
      </c>
      <c r="AR451" t="s">
        <v>8709</v>
      </c>
      <c r="AS451" t="s">
        <v>8710</v>
      </c>
      <c r="AT451" t="s">
        <v>8614</v>
      </c>
      <c r="AU451">
        <v>2023</v>
      </c>
      <c r="AV451">
        <v>25</v>
      </c>
      <c r="AW451">
        <v>3</v>
      </c>
      <c r="AX451" t="s">
        <v>74</v>
      </c>
      <c r="AY451" t="s">
        <v>74</v>
      </c>
      <c r="AZ451" t="s">
        <v>74</v>
      </c>
      <c r="BA451" t="s">
        <v>74</v>
      </c>
      <c r="BB451" t="s">
        <v>74</v>
      </c>
      <c r="BC451" t="s">
        <v>74</v>
      </c>
      <c r="BD451">
        <v>71</v>
      </c>
      <c r="BE451" t="s">
        <v>8711</v>
      </c>
      <c r="BF451" t="str">
        <f>HYPERLINK("http://dx.doi.org/10.1007/s11009-023-10038-x","http://dx.doi.org/10.1007/s11009-023-10038-x")</f>
        <v>http://dx.doi.org/10.1007/s11009-023-10038-x</v>
      </c>
      <c r="BG451" t="s">
        <v>74</v>
      </c>
      <c r="BH451" t="s">
        <v>74</v>
      </c>
      <c r="BI451">
        <v>25</v>
      </c>
      <c r="BJ451" t="s">
        <v>4945</v>
      </c>
      <c r="BK451" t="s">
        <v>126</v>
      </c>
      <c r="BL451" t="s">
        <v>228</v>
      </c>
      <c r="BM451" t="s">
        <v>8712</v>
      </c>
      <c r="BN451" t="s">
        <v>74</v>
      </c>
      <c r="BO451" t="s">
        <v>327</v>
      </c>
      <c r="BP451" t="s">
        <v>74</v>
      </c>
      <c r="BQ451" t="s">
        <v>74</v>
      </c>
      <c r="BR451" t="s">
        <v>99</v>
      </c>
      <c r="BS451" t="s">
        <v>8713</v>
      </c>
      <c r="BT451" t="str">
        <f>HYPERLINK("https%3A%2F%2Fwww.webofscience.com%2Fwos%2Fwoscc%2Ffull-record%2FWOS:001016283500001","View Full Record in Web of Science")</f>
        <v>View Full Record in Web of Science</v>
      </c>
    </row>
    <row r="452" spans="1:72" x14ac:dyDescent="0.15">
      <c r="A452" t="s">
        <v>72</v>
      </c>
      <c r="B452" t="s">
        <v>8714</v>
      </c>
      <c r="C452" t="s">
        <v>74</v>
      </c>
      <c r="D452" t="s">
        <v>74</v>
      </c>
      <c r="E452" t="s">
        <v>74</v>
      </c>
      <c r="F452" t="s">
        <v>8715</v>
      </c>
      <c r="G452" t="s">
        <v>74</v>
      </c>
      <c r="H452" t="s">
        <v>74</v>
      </c>
      <c r="I452" t="s">
        <v>8716</v>
      </c>
      <c r="J452" t="s">
        <v>1145</v>
      </c>
      <c r="K452" t="s">
        <v>74</v>
      </c>
      <c r="L452" t="s">
        <v>74</v>
      </c>
      <c r="M452" t="s">
        <v>78</v>
      </c>
      <c r="N452" t="s">
        <v>79</v>
      </c>
      <c r="O452" t="s">
        <v>74</v>
      </c>
      <c r="P452" t="s">
        <v>74</v>
      </c>
      <c r="Q452" t="s">
        <v>74</v>
      </c>
      <c r="R452" t="s">
        <v>74</v>
      </c>
      <c r="S452" t="s">
        <v>74</v>
      </c>
      <c r="T452" t="s">
        <v>8717</v>
      </c>
      <c r="U452" t="s">
        <v>8718</v>
      </c>
      <c r="V452" t="s">
        <v>8719</v>
      </c>
      <c r="W452" t="s">
        <v>8720</v>
      </c>
      <c r="X452" t="s">
        <v>8721</v>
      </c>
      <c r="Y452" t="s">
        <v>8722</v>
      </c>
      <c r="Z452" t="s">
        <v>8723</v>
      </c>
      <c r="AA452" t="s">
        <v>8724</v>
      </c>
      <c r="AB452" t="s">
        <v>74</v>
      </c>
      <c r="AC452" t="s">
        <v>74</v>
      </c>
      <c r="AD452" t="s">
        <v>74</v>
      </c>
      <c r="AE452" t="s">
        <v>74</v>
      </c>
      <c r="AF452" t="s">
        <v>74</v>
      </c>
      <c r="AG452">
        <v>64</v>
      </c>
      <c r="AH452">
        <v>0</v>
      </c>
      <c r="AI452">
        <v>0</v>
      </c>
      <c r="AJ452">
        <v>6</v>
      </c>
      <c r="AK452">
        <v>6</v>
      </c>
      <c r="AL452" t="s">
        <v>117</v>
      </c>
      <c r="AM452" t="s">
        <v>627</v>
      </c>
      <c r="AN452" t="s">
        <v>628</v>
      </c>
      <c r="AO452" t="s">
        <v>1157</v>
      </c>
      <c r="AP452" t="s">
        <v>1158</v>
      </c>
      <c r="AQ452" t="s">
        <v>74</v>
      </c>
      <c r="AR452" t="s">
        <v>1159</v>
      </c>
      <c r="AS452" t="s">
        <v>1160</v>
      </c>
      <c r="AT452" t="s">
        <v>8614</v>
      </c>
      <c r="AU452">
        <v>2023</v>
      </c>
      <c r="AV452">
        <v>55</v>
      </c>
      <c r="AW452">
        <v>9</v>
      </c>
      <c r="AX452" t="s">
        <v>74</v>
      </c>
      <c r="AY452" t="s">
        <v>74</v>
      </c>
      <c r="AZ452" t="s">
        <v>74</v>
      </c>
      <c r="BA452" t="s">
        <v>74</v>
      </c>
      <c r="BB452" t="s">
        <v>74</v>
      </c>
      <c r="BC452" t="s">
        <v>74</v>
      </c>
      <c r="BD452">
        <v>829</v>
      </c>
      <c r="BE452" t="s">
        <v>8725</v>
      </c>
      <c r="BF452" t="str">
        <f>HYPERLINK("http://dx.doi.org/10.1007/s11082-023-05060-9","http://dx.doi.org/10.1007/s11082-023-05060-9")</f>
        <v>http://dx.doi.org/10.1007/s11082-023-05060-9</v>
      </c>
      <c r="BG452" t="s">
        <v>74</v>
      </c>
      <c r="BH452" t="s">
        <v>74</v>
      </c>
      <c r="BI452">
        <v>29</v>
      </c>
      <c r="BJ452" t="s">
        <v>1162</v>
      </c>
      <c r="BK452" t="s">
        <v>126</v>
      </c>
      <c r="BL452" t="s">
        <v>1163</v>
      </c>
      <c r="BM452" t="s">
        <v>8726</v>
      </c>
      <c r="BN452" t="s">
        <v>74</v>
      </c>
      <c r="BO452" t="s">
        <v>74</v>
      </c>
      <c r="BP452" t="s">
        <v>74</v>
      </c>
      <c r="BQ452" t="s">
        <v>74</v>
      </c>
      <c r="BR452" t="s">
        <v>99</v>
      </c>
      <c r="BS452" t="s">
        <v>8727</v>
      </c>
      <c r="BT452" t="str">
        <f>HYPERLINK("https%3A%2F%2Fwww.webofscience.com%2Fwos%2Fwoscc%2Ffull-record%2FWOS:001026115800004","View Full Record in Web of Science")</f>
        <v>View Full Record in Web of Science</v>
      </c>
    </row>
    <row r="453" spans="1:72" x14ac:dyDescent="0.15">
      <c r="A453" t="s">
        <v>72</v>
      </c>
      <c r="B453" t="s">
        <v>8728</v>
      </c>
      <c r="C453" t="s">
        <v>74</v>
      </c>
      <c r="D453" t="s">
        <v>74</v>
      </c>
      <c r="E453" t="s">
        <v>74</v>
      </c>
      <c r="F453" t="s">
        <v>8729</v>
      </c>
      <c r="G453" t="s">
        <v>74</v>
      </c>
      <c r="H453" t="s">
        <v>74</v>
      </c>
      <c r="I453" t="s">
        <v>8730</v>
      </c>
      <c r="J453" t="s">
        <v>8731</v>
      </c>
      <c r="K453" t="s">
        <v>74</v>
      </c>
      <c r="L453" t="s">
        <v>74</v>
      </c>
      <c r="M453" t="s">
        <v>78</v>
      </c>
      <c r="N453" t="s">
        <v>1246</v>
      </c>
      <c r="O453" t="s">
        <v>74</v>
      </c>
      <c r="P453" t="s">
        <v>74</v>
      </c>
      <c r="Q453" t="s">
        <v>74</v>
      </c>
      <c r="R453" t="s">
        <v>74</v>
      </c>
      <c r="S453" t="s">
        <v>74</v>
      </c>
      <c r="T453" t="s">
        <v>8732</v>
      </c>
      <c r="U453" t="s">
        <v>8733</v>
      </c>
      <c r="V453" t="s">
        <v>8734</v>
      </c>
      <c r="W453" t="s">
        <v>8735</v>
      </c>
      <c r="X453" t="s">
        <v>8736</v>
      </c>
      <c r="Y453" t="s">
        <v>8737</v>
      </c>
      <c r="Z453" t="s">
        <v>8738</v>
      </c>
      <c r="AA453" t="s">
        <v>74</v>
      </c>
      <c r="AB453" t="s">
        <v>8739</v>
      </c>
      <c r="AC453" t="s">
        <v>8740</v>
      </c>
      <c r="AD453" t="s">
        <v>823</v>
      </c>
      <c r="AE453" t="s">
        <v>8741</v>
      </c>
      <c r="AF453" t="s">
        <v>74</v>
      </c>
      <c r="AG453">
        <v>43</v>
      </c>
      <c r="AH453">
        <v>0</v>
      </c>
      <c r="AI453">
        <v>0</v>
      </c>
      <c r="AJ453">
        <v>0</v>
      </c>
      <c r="AK453">
        <v>0</v>
      </c>
      <c r="AL453" t="s">
        <v>117</v>
      </c>
      <c r="AM453" t="s">
        <v>118</v>
      </c>
      <c r="AN453" t="s">
        <v>119</v>
      </c>
      <c r="AO453" t="s">
        <v>8742</v>
      </c>
      <c r="AP453" t="s">
        <v>8743</v>
      </c>
      <c r="AQ453" t="s">
        <v>74</v>
      </c>
      <c r="AR453" t="s">
        <v>8744</v>
      </c>
      <c r="AS453" t="s">
        <v>8745</v>
      </c>
      <c r="AT453" t="s">
        <v>8746</v>
      </c>
      <c r="AU453">
        <v>2023</v>
      </c>
      <c r="AV453" t="s">
        <v>74</v>
      </c>
      <c r="AW453" t="s">
        <v>74</v>
      </c>
      <c r="AX453" t="s">
        <v>74</v>
      </c>
      <c r="AY453" t="s">
        <v>74</v>
      </c>
      <c r="AZ453" t="s">
        <v>74</v>
      </c>
      <c r="BA453" t="s">
        <v>74</v>
      </c>
      <c r="BB453" t="s">
        <v>74</v>
      </c>
      <c r="BC453" t="s">
        <v>74</v>
      </c>
      <c r="BD453" t="s">
        <v>74</v>
      </c>
      <c r="BE453" t="s">
        <v>8747</v>
      </c>
      <c r="BF453" t="str">
        <f>HYPERLINK("http://dx.doi.org/10.1007/s13571-023-00308-6","http://dx.doi.org/10.1007/s13571-023-00308-6")</f>
        <v>http://dx.doi.org/10.1007/s13571-023-00308-6</v>
      </c>
      <c r="BG453" t="s">
        <v>74</v>
      </c>
      <c r="BH453" t="s">
        <v>2079</v>
      </c>
      <c r="BI453">
        <v>23</v>
      </c>
      <c r="BJ453" t="s">
        <v>4945</v>
      </c>
      <c r="BK453" t="s">
        <v>97</v>
      </c>
      <c r="BL453" t="s">
        <v>228</v>
      </c>
      <c r="BM453" t="s">
        <v>8748</v>
      </c>
      <c r="BN453" t="s">
        <v>74</v>
      </c>
      <c r="BO453" t="s">
        <v>74</v>
      </c>
      <c r="BP453" t="s">
        <v>74</v>
      </c>
      <c r="BQ453" t="s">
        <v>74</v>
      </c>
      <c r="BR453" t="s">
        <v>99</v>
      </c>
      <c r="BS453" t="s">
        <v>8749</v>
      </c>
      <c r="BT453" t="str">
        <f>HYPERLINK("https%3A%2F%2Fwww.webofscience.com%2Fwos%2Fwoscc%2Ffull-record%2FWOS:001056950000001","View Full Record in Web of Science")</f>
        <v>View Full Record in Web of Science</v>
      </c>
    </row>
    <row r="454" spans="1:72" x14ac:dyDescent="0.15">
      <c r="A454" t="s">
        <v>72</v>
      </c>
      <c r="B454" t="s">
        <v>8750</v>
      </c>
      <c r="C454" t="s">
        <v>74</v>
      </c>
      <c r="D454" t="s">
        <v>74</v>
      </c>
      <c r="E454" t="s">
        <v>74</v>
      </c>
      <c r="F454" t="s">
        <v>8751</v>
      </c>
      <c r="G454" t="s">
        <v>74</v>
      </c>
      <c r="H454" t="s">
        <v>74</v>
      </c>
      <c r="I454" t="s">
        <v>8752</v>
      </c>
      <c r="J454" t="s">
        <v>8753</v>
      </c>
      <c r="K454" t="s">
        <v>74</v>
      </c>
      <c r="L454" t="s">
        <v>74</v>
      </c>
      <c r="M454" t="s">
        <v>78</v>
      </c>
      <c r="N454" t="s">
        <v>79</v>
      </c>
      <c r="O454" t="s">
        <v>74</v>
      </c>
      <c r="P454" t="s">
        <v>74</v>
      </c>
      <c r="Q454" t="s">
        <v>74</v>
      </c>
      <c r="R454" t="s">
        <v>74</v>
      </c>
      <c r="S454" t="s">
        <v>74</v>
      </c>
      <c r="T454" t="s">
        <v>8754</v>
      </c>
      <c r="U454" t="s">
        <v>8755</v>
      </c>
      <c r="V454" t="s">
        <v>8756</v>
      </c>
      <c r="W454" t="s">
        <v>8757</v>
      </c>
      <c r="X454" t="s">
        <v>8758</v>
      </c>
      <c r="Y454" t="s">
        <v>8759</v>
      </c>
      <c r="Z454" t="s">
        <v>8760</v>
      </c>
      <c r="AA454" t="s">
        <v>74</v>
      </c>
      <c r="AB454" t="s">
        <v>74</v>
      </c>
      <c r="AC454" t="s">
        <v>74</v>
      </c>
      <c r="AD454" t="s">
        <v>74</v>
      </c>
      <c r="AE454" t="s">
        <v>74</v>
      </c>
      <c r="AF454" t="s">
        <v>74</v>
      </c>
      <c r="AG454">
        <v>33</v>
      </c>
      <c r="AH454">
        <v>0</v>
      </c>
      <c r="AI454">
        <v>0</v>
      </c>
      <c r="AJ454">
        <v>7</v>
      </c>
      <c r="AK454">
        <v>7</v>
      </c>
      <c r="AL454" t="s">
        <v>269</v>
      </c>
      <c r="AM454" t="s">
        <v>118</v>
      </c>
      <c r="AN454" t="s">
        <v>270</v>
      </c>
      <c r="AO454" t="s">
        <v>8761</v>
      </c>
      <c r="AP454" t="s">
        <v>8762</v>
      </c>
      <c r="AQ454" t="s">
        <v>74</v>
      </c>
      <c r="AR454" t="s">
        <v>8763</v>
      </c>
      <c r="AS454" t="s">
        <v>8764</v>
      </c>
      <c r="AT454" t="s">
        <v>8614</v>
      </c>
      <c r="AU454">
        <v>2023</v>
      </c>
      <c r="AV454">
        <v>42</v>
      </c>
      <c r="AW454">
        <v>3</v>
      </c>
      <c r="AX454" t="s">
        <v>74</v>
      </c>
      <c r="AY454" t="s">
        <v>74</v>
      </c>
      <c r="AZ454" t="s">
        <v>74</v>
      </c>
      <c r="BA454" t="s">
        <v>74</v>
      </c>
      <c r="BB454" t="s">
        <v>74</v>
      </c>
      <c r="BC454" t="s">
        <v>74</v>
      </c>
      <c r="BD454">
        <v>64</v>
      </c>
      <c r="BE454" t="s">
        <v>8765</v>
      </c>
      <c r="BF454" t="str">
        <f>HYPERLINK("http://dx.doi.org/10.1007/s10921-023-00977-3","http://dx.doi.org/10.1007/s10921-023-00977-3")</f>
        <v>http://dx.doi.org/10.1007/s10921-023-00977-3</v>
      </c>
      <c r="BG454" t="s">
        <v>74</v>
      </c>
      <c r="BH454" t="s">
        <v>74</v>
      </c>
      <c r="BI454">
        <v>8</v>
      </c>
      <c r="BJ454" t="s">
        <v>8766</v>
      </c>
      <c r="BK454" t="s">
        <v>126</v>
      </c>
      <c r="BL454" t="s">
        <v>2293</v>
      </c>
      <c r="BM454" t="s">
        <v>8767</v>
      </c>
      <c r="BN454" t="s">
        <v>74</v>
      </c>
      <c r="BO454" t="s">
        <v>327</v>
      </c>
      <c r="BP454" t="s">
        <v>74</v>
      </c>
      <c r="BQ454" t="s">
        <v>74</v>
      </c>
      <c r="BR454" t="s">
        <v>99</v>
      </c>
      <c r="BS454" t="s">
        <v>8768</v>
      </c>
      <c r="BT454" t="str">
        <f>HYPERLINK("https%3A%2F%2Fwww.webofscience.com%2Fwos%2Fwoscc%2Ffull-record%2FWOS:001018452900001","View Full Record in Web of Science")</f>
        <v>View Full Record in Web of Science</v>
      </c>
    </row>
    <row r="455" spans="1:72" x14ac:dyDescent="0.15">
      <c r="A455" t="s">
        <v>72</v>
      </c>
      <c r="B455" t="s">
        <v>8769</v>
      </c>
      <c r="C455" t="s">
        <v>74</v>
      </c>
      <c r="D455" t="s">
        <v>74</v>
      </c>
      <c r="E455" t="s">
        <v>74</v>
      </c>
      <c r="F455" t="s">
        <v>8770</v>
      </c>
      <c r="G455" t="s">
        <v>74</v>
      </c>
      <c r="H455" t="s">
        <v>74</v>
      </c>
      <c r="I455" t="s">
        <v>8771</v>
      </c>
      <c r="J455" t="s">
        <v>8772</v>
      </c>
      <c r="K455" t="s">
        <v>74</v>
      </c>
      <c r="L455" t="s">
        <v>74</v>
      </c>
      <c r="M455" t="s">
        <v>78</v>
      </c>
      <c r="N455" t="s">
        <v>79</v>
      </c>
      <c r="O455" t="s">
        <v>74</v>
      </c>
      <c r="P455" t="s">
        <v>74</v>
      </c>
      <c r="Q455" t="s">
        <v>74</v>
      </c>
      <c r="R455" t="s">
        <v>74</v>
      </c>
      <c r="S455" t="s">
        <v>74</v>
      </c>
      <c r="T455" t="s">
        <v>8773</v>
      </c>
      <c r="U455" t="s">
        <v>8774</v>
      </c>
      <c r="V455" t="s">
        <v>8775</v>
      </c>
      <c r="W455" t="s">
        <v>8776</v>
      </c>
      <c r="X455" t="s">
        <v>8777</v>
      </c>
      <c r="Y455" t="s">
        <v>8778</v>
      </c>
      <c r="Z455" t="s">
        <v>8779</v>
      </c>
      <c r="AA455" t="s">
        <v>74</v>
      </c>
      <c r="AB455" t="s">
        <v>74</v>
      </c>
      <c r="AC455" t="s">
        <v>932</v>
      </c>
      <c r="AD455" t="s">
        <v>932</v>
      </c>
      <c r="AE455" t="s">
        <v>932</v>
      </c>
      <c r="AF455" t="s">
        <v>74</v>
      </c>
      <c r="AG455">
        <v>73</v>
      </c>
      <c r="AH455">
        <v>0</v>
      </c>
      <c r="AI455">
        <v>0</v>
      </c>
      <c r="AJ455">
        <v>1</v>
      </c>
      <c r="AK455">
        <v>1</v>
      </c>
      <c r="AL455" t="s">
        <v>443</v>
      </c>
      <c r="AM455" t="s">
        <v>245</v>
      </c>
      <c r="AN455" t="s">
        <v>444</v>
      </c>
      <c r="AO455" t="s">
        <v>8780</v>
      </c>
      <c r="AP455" t="s">
        <v>74</v>
      </c>
      <c r="AQ455" t="s">
        <v>74</v>
      </c>
      <c r="AR455" t="s">
        <v>8781</v>
      </c>
      <c r="AS455" t="s">
        <v>8782</v>
      </c>
      <c r="AT455" t="s">
        <v>8783</v>
      </c>
      <c r="AU455">
        <v>2023</v>
      </c>
      <c r="AV455">
        <v>23</v>
      </c>
      <c r="AW455">
        <v>1</v>
      </c>
      <c r="AX455" t="s">
        <v>74</v>
      </c>
      <c r="AY455" t="s">
        <v>74</v>
      </c>
      <c r="AZ455" t="s">
        <v>74</v>
      </c>
      <c r="BA455" t="s">
        <v>74</v>
      </c>
      <c r="BB455" t="s">
        <v>74</v>
      </c>
      <c r="BC455" t="s">
        <v>74</v>
      </c>
      <c r="BD455">
        <v>432</v>
      </c>
      <c r="BE455" t="s">
        <v>8784</v>
      </c>
      <c r="BF455" t="str">
        <f>HYPERLINK("http://dx.doi.org/10.1186/s12872-023-03480-9","http://dx.doi.org/10.1186/s12872-023-03480-9")</f>
        <v>http://dx.doi.org/10.1186/s12872-023-03480-9</v>
      </c>
      <c r="BG455" t="s">
        <v>74</v>
      </c>
      <c r="BH455" t="s">
        <v>74</v>
      </c>
      <c r="BI455">
        <v>13</v>
      </c>
      <c r="BJ455" t="s">
        <v>8785</v>
      </c>
      <c r="BK455" t="s">
        <v>126</v>
      </c>
      <c r="BL455" t="s">
        <v>6249</v>
      </c>
      <c r="BM455" t="s">
        <v>8786</v>
      </c>
      <c r="BN455">
        <v>37658287</v>
      </c>
      <c r="BO455" t="s">
        <v>302</v>
      </c>
      <c r="BP455" t="s">
        <v>74</v>
      </c>
      <c r="BQ455" t="s">
        <v>74</v>
      </c>
      <c r="BR455" t="s">
        <v>99</v>
      </c>
      <c r="BS455" t="s">
        <v>8787</v>
      </c>
      <c r="BT455" t="str">
        <f>HYPERLINK("https%3A%2F%2Fwww.webofscience.com%2Fwos%2Fwoscc%2Ffull-record%2FWOS:001059936100006","View Full Record in Web of Science")</f>
        <v>View Full Record in Web of Science</v>
      </c>
    </row>
    <row r="456" spans="1:72" x14ac:dyDescent="0.15">
      <c r="A456" t="s">
        <v>72</v>
      </c>
      <c r="B456" t="s">
        <v>8788</v>
      </c>
      <c r="C456" t="s">
        <v>74</v>
      </c>
      <c r="D456" t="s">
        <v>74</v>
      </c>
      <c r="E456" t="s">
        <v>74</v>
      </c>
      <c r="F456" t="s">
        <v>8789</v>
      </c>
      <c r="G456" t="s">
        <v>74</v>
      </c>
      <c r="H456" t="s">
        <v>74</v>
      </c>
      <c r="I456" t="s">
        <v>8790</v>
      </c>
      <c r="J456" t="s">
        <v>8678</v>
      </c>
      <c r="K456" t="s">
        <v>74</v>
      </c>
      <c r="L456" t="s">
        <v>74</v>
      </c>
      <c r="M456" t="s">
        <v>78</v>
      </c>
      <c r="N456" t="s">
        <v>79</v>
      </c>
      <c r="O456" t="s">
        <v>74</v>
      </c>
      <c r="P456" t="s">
        <v>74</v>
      </c>
      <c r="Q456" t="s">
        <v>74</v>
      </c>
      <c r="R456" t="s">
        <v>74</v>
      </c>
      <c r="S456" t="s">
        <v>74</v>
      </c>
      <c r="T456" t="s">
        <v>8791</v>
      </c>
      <c r="U456" t="s">
        <v>8792</v>
      </c>
      <c r="V456" t="s">
        <v>8793</v>
      </c>
      <c r="W456" t="s">
        <v>8794</v>
      </c>
      <c r="X456" t="s">
        <v>8795</v>
      </c>
      <c r="Y456" t="s">
        <v>8796</v>
      </c>
      <c r="Z456" t="s">
        <v>8797</v>
      </c>
      <c r="AA456" t="s">
        <v>8798</v>
      </c>
      <c r="AB456" t="s">
        <v>8799</v>
      </c>
      <c r="AC456" t="s">
        <v>74</v>
      </c>
      <c r="AD456" t="s">
        <v>74</v>
      </c>
      <c r="AE456" t="s">
        <v>74</v>
      </c>
      <c r="AF456" t="s">
        <v>74</v>
      </c>
      <c r="AG456">
        <v>61</v>
      </c>
      <c r="AH456">
        <v>0</v>
      </c>
      <c r="AI456">
        <v>0</v>
      </c>
      <c r="AJ456">
        <v>1</v>
      </c>
      <c r="AK456">
        <v>1</v>
      </c>
      <c r="AL456" t="s">
        <v>172</v>
      </c>
      <c r="AM456" t="s">
        <v>173</v>
      </c>
      <c r="AN456" t="s">
        <v>174</v>
      </c>
      <c r="AO456" t="s">
        <v>8686</v>
      </c>
      <c r="AP456" t="s">
        <v>8687</v>
      </c>
      <c r="AQ456" t="s">
        <v>74</v>
      </c>
      <c r="AR456" t="s">
        <v>8688</v>
      </c>
      <c r="AS456" t="s">
        <v>8689</v>
      </c>
      <c r="AT456" t="s">
        <v>8614</v>
      </c>
      <c r="AU456">
        <v>2023</v>
      </c>
      <c r="AV456">
        <v>45</v>
      </c>
      <c r="AW456">
        <v>9</v>
      </c>
      <c r="AX456" t="s">
        <v>74</v>
      </c>
      <c r="AY456" t="s">
        <v>74</v>
      </c>
      <c r="AZ456" t="s">
        <v>74</v>
      </c>
      <c r="BA456" t="s">
        <v>74</v>
      </c>
      <c r="BB456" t="s">
        <v>74</v>
      </c>
      <c r="BC456" t="s">
        <v>74</v>
      </c>
      <c r="BD456">
        <v>483</v>
      </c>
      <c r="BE456" t="s">
        <v>8800</v>
      </c>
      <c r="BF456" t="str">
        <f>HYPERLINK("http://dx.doi.org/10.1007/s40430-023-04398-1","http://dx.doi.org/10.1007/s40430-023-04398-1")</f>
        <v>http://dx.doi.org/10.1007/s40430-023-04398-1</v>
      </c>
      <c r="BG456" t="s">
        <v>74</v>
      </c>
      <c r="BH456" t="s">
        <v>74</v>
      </c>
      <c r="BI456">
        <v>21</v>
      </c>
      <c r="BJ456" t="s">
        <v>8691</v>
      </c>
      <c r="BK456" t="s">
        <v>126</v>
      </c>
      <c r="BL456" t="s">
        <v>277</v>
      </c>
      <c r="BM456" t="s">
        <v>8801</v>
      </c>
      <c r="BN456" t="s">
        <v>74</v>
      </c>
      <c r="BO456" t="s">
        <v>74</v>
      </c>
      <c r="BP456" t="s">
        <v>74</v>
      </c>
      <c r="BQ456" t="s">
        <v>74</v>
      </c>
      <c r="BR456" t="s">
        <v>99</v>
      </c>
      <c r="BS456" t="s">
        <v>8802</v>
      </c>
      <c r="BT456" t="str">
        <f>HYPERLINK("https%3A%2F%2Fwww.webofscience.com%2Fwos%2Fwoscc%2Ffull-record%2FWOS:001054640800001","View Full Record in Web of Science")</f>
        <v>View Full Record in Web of Science</v>
      </c>
    </row>
    <row r="457" spans="1:72" x14ac:dyDescent="0.15">
      <c r="A457" t="s">
        <v>72</v>
      </c>
      <c r="B457" t="s">
        <v>8803</v>
      </c>
      <c r="C457" t="s">
        <v>74</v>
      </c>
      <c r="D457" t="s">
        <v>74</v>
      </c>
      <c r="E457" t="s">
        <v>74</v>
      </c>
      <c r="F457" t="s">
        <v>8804</v>
      </c>
      <c r="G457" t="s">
        <v>74</v>
      </c>
      <c r="H457" t="s">
        <v>74</v>
      </c>
      <c r="I457" t="s">
        <v>8805</v>
      </c>
      <c r="J457" t="s">
        <v>8806</v>
      </c>
      <c r="K457" t="s">
        <v>74</v>
      </c>
      <c r="L457" t="s">
        <v>74</v>
      </c>
      <c r="M457" t="s">
        <v>78</v>
      </c>
      <c r="N457" t="s">
        <v>79</v>
      </c>
      <c r="O457" t="s">
        <v>74</v>
      </c>
      <c r="P457" t="s">
        <v>74</v>
      </c>
      <c r="Q457" t="s">
        <v>74</v>
      </c>
      <c r="R457" t="s">
        <v>74</v>
      </c>
      <c r="S457" t="s">
        <v>74</v>
      </c>
      <c r="T457" t="s">
        <v>8807</v>
      </c>
      <c r="U457" t="s">
        <v>74</v>
      </c>
      <c r="V457" t="s">
        <v>8808</v>
      </c>
      <c r="W457" t="s">
        <v>8809</v>
      </c>
      <c r="X457" t="s">
        <v>8810</v>
      </c>
      <c r="Y457" t="s">
        <v>8811</v>
      </c>
      <c r="Z457" t="s">
        <v>8812</v>
      </c>
      <c r="AA457" t="s">
        <v>74</v>
      </c>
      <c r="AB457" t="s">
        <v>74</v>
      </c>
      <c r="AC457" t="s">
        <v>74</v>
      </c>
      <c r="AD457" t="s">
        <v>74</v>
      </c>
      <c r="AE457" t="s">
        <v>74</v>
      </c>
      <c r="AF457" t="s">
        <v>74</v>
      </c>
      <c r="AG457">
        <v>13</v>
      </c>
      <c r="AH457">
        <v>0</v>
      </c>
      <c r="AI457">
        <v>0</v>
      </c>
      <c r="AJ457">
        <v>0</v>
      </c>
      <c r="AK457">
        <v>0</v>
      </c>
      <c r="AL457" t="s">
        <v>117</v>
      </c>
      <c r="AM457" t="s">
        <v>118</v>
      </c>
      <c r="AN457" t="s">
        <v>119</v>
      </c>
      <c r="AO457" t="s">
        <v>8813</v>
      </c>
      <c r="AP457" t="s">
        <v>8814</v>
      </c>
      <c r="AQ457" t="s">
        <v>74</v>
      </c>
      <c r="AR457" t="s">
        <v>8815</v>
      </c>
      <c r="AS457" t="s">
        <v>8816</v>
      </c>
      <c r="AT457" t="s">
        <v>8614</v>
      </c>
      <c r="AU457">
        <v>2023</v>
      </c>
      <c r="AV457">
        <v>43</v>
      </c>
      <c r="AW457">
        <v>5</v>
      </c>
      <c r="AX457" t="s">
        <v>74</v>
      </c>
      <c r="AY457" t="s">
        <v>74</v>
      </c>
      <c r="AZ457" t="s">
        <v>74</v>
      </c>
      <c r="BA457" t="s">
        <v>74</v>
      </c>
      <c r="BB457">
        <v>2061</v>
      </c>
      <c r="BC457">
        <v>2074</v>
      </c>
      <c r="BD457" t="s">
        <v>74</v>
      </c>
      <c r="BE457" t="s">
        <v>8817</v>
      </c>
      <c r="BF457" t="str">
        <f>HYPERLINK("http://dx.doi.org/10.1007/s10473-023-0508-6","http://dx.doi.org/10.1007/s10473-023-0508-6")</f>
        <v>http://dx.doi.org/10.1007/s10473-023-0508-6</v>
      </c>
      <c r="BG457" t="s">
        <v>74</v>
      </c>
      <c r="BH457" t="s">
        <v>74</v>
      </c>
      <c r="BI457">
        <v>14</v>
      </c>
      <c r="BJ457" t="s">
        <v>228</v>
      </c>
      <c r="BK457" t="s">
        <v>126</v>
      </c>
      <c r="BL457" t="s">
        <v>228</v>
      </c>
      <c r="BM457" t="s">
        <v>8818</v>
      </c>
      <c r="BN457" t="s">
        <v>74</v>
      </c>
      <c r="BO457" t="s">
        <v>74</v>
      </c>
      <c r="BP457" t="s">
        <v>74</v>
      </c>
      <c r="BQ457" t="s">
        <v>74</v>
      </c>
      <c r="BR457" t="s">
        <v>99</v>
      </c>
      <c r="BS457" t="s">
        <v>8819</v>
      </c>
      <c r="BT457" t="str">
        <f>HYPERLINK("https%3A%2F%2Fwww.webofscience.com%2Fwos%2Fwoscc%2Ffull-record%2FWOS:001032425300008","View Full Record in Web of Science")</f>
        <v>View Full Record in Web of Science</v>
      </c>
    </row>
    <row r="458" spans="1:72" x14ac:dyDescent="0.15">
      <c r="A458" t="s">
        <v>72</v>
      </c>
      <c r="B458" t="s">
        <v>8820</v>
      </c>
      <c r="C458" t="s">
        <v>74</v>
      </c>
      <c r="D458" t="s">
        <v>74</v>
      </c>
      <c r="E458" t="s">
        <v>74</v>
      </c>
      <c r="F458" t="s">
        <v>8821</v>
      </c>
      <c r="G458" t="s">
        <v>74</v>
      </c>
      <c r="H458" t="s">
        <v>74</v>
      </c>
      <c r="I458" t="s">
        <v>8822</v>
      </c>
      <c r="J458" t="s">
        <v>8823</v>
      </c>
      <c r="K458" t="s">
        <v>74</v>
      </c>
      <c r="L458" t="s">
        <v>74</v>
      </c>
      <c r="M458" t="s">
        <v>78</v>
      </c>
      <c r="N458" t="s">
        <v>79</v>
      </c>
      <c r="O458" t="s">
        <v>74</v>
      </c>
      <c r="P458" t="s">
        <v>74</v>
      </c>
      <c r="Q458" t="s">
        <v>74</v>
      </c>
      <c r="R458" t="s">
        <v>74</v>
      </c>
      <c r="S458" t="s">
        <v>74</v>
      </c>
      <c r="T458" t="s">
        <v>8824</v>
      </c>
      <c r="U458" t="s">
        <v>8825</v>
      </c>
      <c r="V458" t="s">
        <v>8826</v>
      </c>
      <c r="W458" t="s">
        <v>8827</v>
      </c>
      <c r="X458" t="s">
        <v>8828</v>
      </c>
      <c r="Y458" t="s">
        <v>8829</v>
      </c>
      <c r="Z458" t="s">
        <v>8830</v>
      </c>
      <c r="AA458" t="s">
        <v>74</v>
      </c>
      <c r="AB458" t="s">
        <v>8831</v>
      </c>
      <c r="AC458" t="s">
        <v>74</v>
      </c>
      <c r="AD458" t="s">
        <v>74</v>
      </c>
      <c r="AE458" t="s">
        <v>74</v>
      </c>
      <c r="AF458" t="s">
        <v>74</v>
      </c>
      <c r="AG458">
        <v>83</v>
      </c>
      <c r="AH458">
        <v>0</v>
      </c>
      <c r="AI458">
        <v>0</v>
      </c>
      <c r="AJ458">
        <v>0</v>
      </c>
      <c r="AK458">
        <v>0</v>
      </c>
      <c r="AL458" t="s">
        <v>117</v>
      </c>
      <c r="AM458" t="s">
        <v>627</v>
      </c>
      <c r="AN458" t="s">
        <v>628</v>
      </c>
      <c r="AO458" t="s">
        <v>8832</v>
      </c>
      <c r="AP458" t="s">
        <v>8833</v>
      </c>
      <c r="AQ458" t="s">
        <v>74</v>
      </c>
      <c r="AR458" t="s">
        <v>8834</v>
      </c>
      <c r="AS458" t="s">
        <v>8835</v>
      </c>
      <c r="AT458" t="s">
        <v>8614</v>
      </c>
      <c r="AU458">
        <v>2023</v>
      </c>
      <c r="AV458">
        <v>13</v>
      </c>
      <c r="AW458">
        <v>3</v>
      </c>
      <c r="AX458" t="s">
        <v>74</v>
      </c>
      <c r="AY458" t="s">
        <v>74</v>
      </c>
      <c r="AZ458" t="s">
        <v>74</v>
      </c>
      <c r="BA458" t="s">
        <v>74</v>
      </c>
      <c r="BB458" t="s">
        <v>74</v>
      </c>
      <c r="BC458" t="s">
        <v>74</v>
      </c>
      <c r="BD458" t="s">
        <v>74</v>
      </c>
      <c r="BE458" t="s">
        <v>8836</v>
      </c>
      <c r="BF458" t="str">
        <f>HYPERLINK("http://dx.doi.org/10.1007/s13194-023-00547-4","http://dx.doi.org/10.1007/s13194-023-00547-4")</f>
        <v>http://dx.doi.org/10.1007/s13194-023-00547-4</v>
      </c>
      <c r="BG458" t="s">
        <v>74</v>
      </c>
      <c r="BH458" t="s">
        <v>74</v>
      </c>
      <c r="BI458">
        <v>25</v>
      </c>
      <c r="BJ458" t="s">
        <v>8837</v>
      </c>
      <c r="BK458" t="s">
        <v>3172</v>
      </c>
      <c r="BL458" t="s">
        <v>8838</v>
      </c>
      <c r="BM458" t="s">
        <v>8839</v>
      </c>
      <c r="BN458" t="s">
        <v>74</v>
      </c>
      <c r="BO458" t="s">
        <v>183</v>
      </c>
      <c r="BP458" t="s">
        <v>74</v>
      </c>
      <c r="BQ458" t="s">
        <v>74</v>
      </c>
      <c r="BR458" t="s">
        <v>99</v>
      </c>
      <c r="BS458" t="s">
        <v>8840</v>
      </c>
      <c r="BT458" t="str">
        <f>HYPERLINK("https%3A%2F%2Fwww.webofscience.com%2Fwos%2Fwoscc%2Ffull-record%2FWOS:001057609300001","View Full Record in Web of Science")</f>
        <v>View Full Record in Web of Science</v>
      </c>
    </row>
    <row r="459" spans="1:72" x14ac:dyDescent="0.15">
      <c r="A459" t="s">
        <v>72</v>
      </c>
      <c r="B459" t="s">
        <v>8841</v>
      </c>
      <c r="C459" t="s">
        <v>74</v>
      </c>
      <c r="D459" t="s">
        <v>74</v>
      </c>
      <c r="E459" t="s">
        <v>74</v>
      </c>
      <c r="F459" t="s">
        <v>8842</v>
      </c>
      <c r="G459" t="s">
        <v>74</v>
      </c>
      <c r="H459" t="s">
        <v>74</v>
      </c>
      <c r="I459" t="s">
        <v>8843</v>
      </c>
      <c r="J459" t="s">
        <v>8844</v>
      </c>
      <c r="K459" t="s">
        <v>74</v>
      </c>
      <c r="L459" t="s">
        <v>74</v>
      </c>
      <c r="M459" t="s">
        <v>78</v>
      </c>
      <c r="N459" t="s">
        <v>79</v>
      </c>
      <c r="O459" t="s">
        <v>74</v>
      </c>
      <c r="P459" t="s">
        <v>74</v>
      </c>
      <c r="Q459" t="s">
        <v>74</v>
      </c>
      <c r="R459" t="s">
        <v>74</v>
      </c>
      <c r="S459" t="s">
        <v>74</v>
      </c>
      <c r="T459" t="s">
        <v>8845</v>
      </c>
      <c r="U459" t="s">
        <v>8846</v>
      </c>
      <c r="V459" t="s">
        <v>8847</v>
      </c>
      <c r="W459" t="s">
        <v>8848</v>
      </c>
      <c r="X459" t="s">
        <v>6705</v>
      </c>
      <c r="Y459" t="s">
        <v>8849</v>
      </c>
      <c r="Z459" t="s">
        <v>8850</v>
      </c>
      <c r="AA459" t="s">
        <v>74</v>
      </c>
      <c r="AB459" t="s">
        <v>74</v>
      </c>
      <c r="AC459" t="s">
        <v>649</v>
      </c>
      <c r="AD459" t="s">
        <v>649</v>
      </c>
      <c r="AE459" t="s">
        <v>650</v>
      </c>
      <c r="AF459" t="s">
        <v>74</v>
      </c>
      <c r="AG459">
        <v>27</v>
      </c>
      <c r="AH459">
        <v>0</v>
      </c>
      <c r="AI459">
        <v>0</v>
      </c>
      <c r="AJ459">
        <v>1</v>
      </c>
      <c r="AK459">
        <v>1</v>
      </c>
      <c r="AL459" t="s">
        <v>172</v>
      </c>
      <c r="AM459" t="s">
        <v>173</v>
      </c>
      <c r="AN459" t="s">
        <v>174</v>
      </c>
      <c r="AO459" t="s">
        <v>8851</v>
      </c>
      <c r="AP459" t="s">
        <v>8852</v>
      </c>
      <c r="AQ459" t="s">
        <v>74</v>
      </c>
      <c r="AR459" t="s">
        <v>8853</v>
      </c>
      <c r="AS459" t="s">
        <v>8854</v>
      </c>
      <c r="AT459" t="s">
        <v>8614</v>
      </c>
      <c r="AU459">
        <v>2023</v>
      </c>
      <c r="AV459">
        <v>62</v>
      </c>
      <c r="AW459">
        <v>7</v>
      </c>
      <c r="AX459" t="s">
        <v>74</v>
      </c>
      <c r="AY459" t="s">
        <v>74</v>
      </c>
      <c r="AZ459" t="s">
        <v>74</v>
      </c>
      <c r="BA459" t="s">
        <v>74</v>
      </c>
      <c r="BB459" t="s">
        <v>74</v>
      </c>
      <c r="BC459" t="s">
        <v>74</v>
      </c>
      <c r="BD459">
        <v>198</v>
      </c>
      <c r="BE459" t="s">
        <v>8855</v>
      </c>
      <c r="BF459" t="str">
        <f>HYPERLINK("http://dx.doi.org/10.1007/s00526-023-02530-6","http://dx.doi.org/10.1007/s00526-023-02530-6")</f>
        <v>http://dx.doi.org/10.1007/s00526-023-02530-6</v>
      </c>
      <c r="BG459" t="s">
        <v>74</v>
      </c>
      <c r="BH459" t="s">
        <v>74</v>
      </c>
      <c r="BI459">
        <v>29</v>
      </c>
      <c r="BJ459" t="s">
        <v>227</v>
      </c>
      <c r="BK459" t="s">
        <v>126</v>
      </c>
      <c r="BL459" t="s">
        <v>228</v>
      </c>
      <c r="BM459" t="s">
        <v>8856</v>
      </c>
      <c r="BN459" t="s">
        <v>74</v>
      </c>
      <c r="BO459" t="s">
        <v>1328</v>
      </c>
      <c r="BP459" t="s">
        <v>74</v>
      </c>
      <c r="BQ459" t="s">
        <v>74</v>
      </c>
      <c r="BR459" t="s">
        <v>99</v>
      </c>
      <c r="BS459" t="s">
        <v>8857</v>
      </c>
      <c r="BT459" t="str">
        <f>HYPERLINK("https%3A%2F%2Fwww.webofscience.com%2Fwos%2Fwoscc%2Ffull-record%2FWOS:001035633400001","View Full Record in Web of Science")</f>
        <v>View Full Record in Web of Science</v>
      </c>
    </row>
    <row r="460" spans="1:72" x14ac:dyDescent="0.15">
      <c r="A460" t="s">
        <v>72</v>
      </c>
      <c r="B460" t="s">
        <v>8858</v>
      </c>
      <c r="C460" t="s">
        <v>74</v>
      </c>
      <c r="D460" t="s">
        <v>74</v>
      </c>
      <c r="E460" t="s">
        <v>74</v>
      </c>
      <c r="F460" t="s">
        <v>8859</v>
      </c>
      <c r="G460" t="s">
        <v>74</v>
      </c>
      <c r="H460" t="s">
        <v>74</v>
      </c>
      <c r="I460" t="s">
        <v>8860</v>
      </c>
      <c r="J460" t="s">
        <v>3767</v>
      </c>
      <c r="K460" t="s">
        <v>74</v>
      </c>
      <c r="L460" t="s">
        <v>74</v>
      </c>
      <c r="M460" t="s">
        <v>78</v>
      </c>
      <c r="N460" t="s">
        <v>79</v>
      </c>
      <c r="O460" t="s">
        <v>74</v>
      </c>
      <c r="P460" t="s">
        <v>74</v>
      </c>
      <c r="Q460" t="s">
        <v>74</v>
      </c>
      <c r="R460" t="s">
        <v>74</v>
      </c>
      <c r="S460" t="s">
        <v>74</v>
      </c>
      <c r="T460" t="s">
        <v>8861</v>
      </c>
      <c r="U460" t="s">
        <v>8862</v>
      </c>
      <c r="V460" t="s">
        <v>8863</v>
      </c>
      <c r="W460" t="s">
        <v>8864</v>
      </c>
      <c r="X460" t="s">
        <v>8865</v>
      </c>
      <c r="Y460" t="s">
        <v>8866</v>
      </c>
      <c r="Z460" t="s">
        <v>8867</v>
      </c>
      <c r="AA460" t="s">
        <v>74</v>
      </c>
      <c r="AB460" t="s">
        <v>8868</v>
      </c>
      <c r="AC460" t="s">
        <v>8869</v>
      </c>
      <c r="AD460" t="s">
        <v>8870</v>
      </c>
      <c r="AE460" t="s">
        <v>8871</v>
      </c>
      <c r="AF460" t="s">
        <v>74</v>
      </c>
      <c r="AG460">
        <v>46</v>
      </c>
      <c r="AH460">
        <v>0</v>
      </c>
      <c r="AI460">
        <v>0</v>
      </c>
      <c r="AJ460">
        <v>0</v>
      </c>
      <c r="AK460">
        <v>0</v>
      </c>
      <c r="AL460" t="s">
        <v>117</v>
      </c>
      <c r="AM460" t="s">
        <v>627</v>
      </c>
      <c r="AN460" t="s">
        <v>628</v>
      </c>
      <c r="AO460" t="s">
        <v>3774</v>
      </c>
      <c r="AP460" t="s">
        <v>3775</v>
      </c>
      <c r="AQ460" t="s">
        <v>74</v>
      </c>
      <c r="AR460" t="s">
        <v>3776</v>
      </c>
      <c r="AS460" t="s">
        <v>3777</v>
      </c>
      <c r="AT460" t="s">
        <v>8614</v>
      </c>
      <c r="AU460">
        <v>2023</v>
      </c>
      <c r="AV460">
        <v>180</v>
      </c>
      <c r="AW460">
        <v>9</v>
      </c>
      <c r="AX460" t="s">
        <v>74</v>
      </c>
      <c r="AY460" t="s">
        <v>74</v>
      </c>
      <c r="AZ460" t="s">
        <v>5146</v>
      </c>
      <c r="BA460" t="s">
        <v>74</v>
      </c>
      <c r="BB460">
        <v>2797</v>
      </c>
      <c r="BC460">
        <v>2823</v>
      </c>
      <c r="BD460" t="s">
        <v>74</v>
      </c>
      <c r="BE460" t="s">
        <v>8872</v>
      </c>
      <c r="BF460" t="str">
        <f>HYPERLINK("http://dx.doi.org/10.1007/s11098-023-01989-5","http://dx.doi.org/10.1007/s11098-023-01989-5")</f>
        <v>http://dx.doi.org/10.1007/s11098-023-01989-5</v>
      </c>
      <c r="BG460" t="s">
        <v>74</v>
      </c>
      <c r="BH460" t="s">
        <v>74</v>
      </c>
      <c r="BI460">
        <v>27</v>
      </c>
      <c r="BJ460" t="s">
        <v>3779</v>
      </c>
      <c r="BK460" t="s">
        <v>3780</v>
      </c>
      <c r="BL460" t="s">
        <v>3779</v>
      </c>
      <c r="BM460" t="s">
        <v>8873</v>
      </c>
      <c r="BN460" t="s">
        <v>74</v>
      </c>
      <c r="BO460" t="s">
        <v>1328</v>
      </c>
      <c r="BP460" t="s">
        <v>74</v>
      </c>
      <c r="BQ460" t="s">
        <v>74</v>
      </c>
      <c r="BR460" t="s">
        <v>99</v>
      </c>
      <c r="BS460" t="s">
        <v>8874</v>
      </c>
      <c r="BT460" t="str">
        <f>HYPERLINK("https%3A%2F%2Fwww.webofscience.com%2Fwos%2Fwoscc%2Ffull-record%2FWOS:001056202100013","View Full Record in Web of Science")</f>
        <v>View Full Record in Web of Science</v>
      </c>
    </row>
    <row r="461" spans="1:72" x14ac:dyDescent="0.15">
      <c r="A461" t="s">
        <v>72</v>
      </c>
      <c r="B461" t="s">
        <v>8875</v>
      </c>
      <c r="C461" t="s">
        <v>74</v>
      </c>
      <c r="D461" t="s">
        <v>74</v>
      </c>
      <c r="E461" t="s">
        <v>74</v>
      </c>
      <c r="F461" t="s">
        <v>8876</v>
      </c>
      <c r="G461" t="s">
        <v>74</v>
      </c>
      <c r="H461" t="s">
        <v>74</v>
      </c>
      <c r="I461" t="s">
        <v>8877</v>
      </c>
      <c r="J461" t="s">
        <v>1169</v>
      </c>
      <c r="K461" t="s">
        <v>74</v>
      </c>
      <c r="L461" t="s">
        <v>74</v>
      </c>
      <c r="M461" t="s">
        <v>78</v>
      </c>
      <c r="N461" t="s">
        <v>79</v>
      </c>
      <c r="O461" t="s">
        <v>74</v>
      </c>
      <c r="P461" t="s">
        <v>74</v>
      </c>
      <c r="Q461" t="s">
        <v>74</v>
      </c>
      <c r="R461" t="s">
        <v>74</v>
      </c>
      <c r="S461" t="s">
        <v>74</v>
      </c>
      <c r="T461" t="s">
        <v>74</v>
      </c>
      <c r="U461" t="s">
        <v>8878</v>
      </c>
      <c r="V461" t="s">
        <v>8879</v>
      </c>
      <c r="W461" t="s">
        <v>8880</v>
      </c>
      <c r="X461" t="s">
        <v>8881</v>
      </c>
      <c r="Y461" t="s">
        <v>8882</v>
      </c>
      <c r="Z461" t="s">
        <v>8883</v>
      </c>
      <c r="AA461" t="s">
        <v>74</v>
      </c>
      <c r="AB461" t="s">
        <v>8884</v>
      </c>
      <c r="AC461" t="s">
        <v>74</v>
      </c>
      <c r="AD461" t="s">
        <v>74</v>
      </c>
      <c r="AE461" t="s">
        <v>74</v>
      </c>
      <c r="AF461" t="s">
        <v>74</v>
      </c>
      <c r="AG461">
        <v>13</v>
      </c>
      <c r="AH461">
        <v>0</v>
      </c>
      <c r="AI461">
        <v>0</v>
      </c>
      <c r="AJ461">
        <v>0</v>
      </c>
      <c r="AK461">
        <v>0</v>
      </c>
      <c r="AL461" t="s">
        <v>117</v>
      </c>
      <c r="AM461" t="s">
        <v>118</v>
      </c>
      <c r="AN461" t="s">
        <v>119</v>
      </c>
      <c r="AO461" t="s">
        <v>1177</v>
      </c>
      <c r="AP461" t="s">
        <v>1178</v>
      </c>
      <c r="AQ461" t="s">
        <v>74</v>
      </c>
      <c r="AR461" t="s">
        <v>1179</v>
      </c>
      <c r="AS461" t="s">
        <v>1180</v>
      </c>
      <c r="AT461" t="s">
        <v>8614</v>
      </c>
      <c r="AU461">
        <v>2023</v>
      </c>
      <c r="AV461">
        <v>33</v>
      </c>
      <c r="AW461">
        <v>9</v>
      </c>
      <c r="AX461" t="s">
        <v>74</v>
      </c>
      <c r="AY461" t="s">
        <v>74</v>
      </c>
      <c r="AZ461" t="s">
        <v>74</v>
      </c>
      <c r="BA461" t="s">
        <v>74</v>
      </c>
      <c r="BB461" t="s">
        <v>74</v>
      </c>
      <c r="BC461" t="s">
        <v>74</v>
      </c>
      <c r="BD461">
        <v>271</v>
      </c>
      <c r="BE461" t="s">
        <v>8885</v>
      </c>
      <c r="BF461" t="str">
        <f>HYPERLINK("http://dx.doi.org/10.1007/s12220-023-01329-3","http://dx.doi.org/10.1007/s12220-023-01329-3")</f>
        <v>http://dx.doi.org/10.1007/s12220-023-01329-3</v>
      </c>
      <c r="BG461" t="s">
        <v>74</v>
      </c>
      <c r="BH461" t="s">
        <v>74</v>
      </c>
      <c r="BI461">
        <v>18</v>
      </c>
      <c r="BJ461" t="s">
        <v>228</v>
      </c>
      <c r="BK461" t="s">
        <v>126</v>
      </c>
      <c r="BL461" t="s">
        <v>228</v>
      </c>
      <c r="BM461" t="s">
        <v>8886</v>
      </c>
      <c r="BN461" t="s">
        <v>74</v>
      </c>
      <c r="BO461" t="s">
        <v>183</v>
      </c>
      <c r="BP461" t="s">
        <v>74</v>
      </c>
      <c r="BQ461" t="s">
        <v>74</v>
      </c>
      <c r="BR461" t="s">
        <v>99</v>
      </c>
      <c r="BS461" t="s">
        <v>8887</v>
      </c>
      <c r="BT461" t="str">
        <f>HYPERLINK("https%3A%2F%2Fwww.webofscience.com%2Fwos%2Fwoscc%2Ffull-record%2FWOS:001011887600001","View Full Record in Web of Science")</f>
        <v>View Full Record in Web of Science</v>
      </c>
    </row>
    <row r="462" spans="1:72" x14ac:dyDescent="0.15">
      <c r="A462" t="s">
        <v>72</v>
      </c>
      <c r="B462" t="s">
        <v>8888</v>
      </c>
      <c r="C462" t="s">
        <v>74</v>
      </c>
      <c r="D462" t="s">
        <v>74</v>
      </c>
      <c r="E462" t="s">
        <v>74</v>
      </c>
      <c r="F462" t="s">
        <v>8889</v>
      </c>
      <c r="G462" t="s">
        <v>74</v>
      </c>
      <c r="H462" t="s">
        <v>74</v>
      </c>
      <c r="I462" t="s">
        <v>8890</v>
      </c>
      <c r="J462" t="s">
        <v>1957</v>
      </c>
      <c r="K462" t="s">
        <v>74</v>
      </c>
      <c r="L462" t="s">
        <v>74</v>
      </c>
      <c r="M462" t="s">
        <v>78</v>
      </c>
      <c r="N462" t="s">
        <v>79</v>
      </c>
      <c r="O462" t="s">
        <v>74</v>
      </c>
      <c r="P462" t="s">
        <v>74</v>
      </c>
      <c r="Q462" t="s">
        <v>74</v>
      </c>
      <c r="R462" t="s">
        <v>74</v>
      </c>
      <c r="S462" t="s">
        <v>74</v>
      </c>
      <c r="T462" t="s">
        <v>74</v>
      </c>
      <c r="U462" t="s">
        <v>8891</v>
      </c>
      <c r="V462" t="s">
        <v>8892</v>
      </c>
      <c r="W462" t="s">
        <v>8893</v>
      </c>
      <c r="X462" t="s">
        <v>8894</v>
      </c>
      <c r="Y462" t="s">
        <v>8895</v>
      </c>
      <c r="Z462" t="s">
        <v>8896</v>
      </c>
      <c r="AA462" t="s">
        <v>74</v>
      </c>
      <c r="AB462" t="s">
        <v>74</v>
      </c>
      <c r="AC462" t="s">
        <v>8897</v>
      </c>
      <c r="AD462" t="s">
        <v>8897</v>
      </c>
      <c r="AE462" t="s">
        <v>8898</v>
      </c>
      <c r="AF462" t="s">
        <v>74</v>
      </c>
      <c r="AG462">
        <v>50</v>
      </c>
      <c r="AH462">
        <v>0</v>
      </c>
      <c r="AI462">
        <v>0</v>
      </c>
      <c r="AJ462">
        <v>2</v>
      </c>
      <c r="AK462">
        <v>2</v>
      </c>
      <c r="AL462" t="s">
        <v>117</v>
      </c>
      <c r="AM462" t="s">
        <v>118</v>
      </c>
      <c r="AN462" t="s">
        <v>119</v>
      </c>
      <c r="AO462" t="s">
        <v>1962</v>
      </c>
      <c r="AP462" t="s">
        <v>1963</v>
      </c>
      <c r="AQ462" t="s">
        <v>74</v>
      </c>
      <c r="AR462" t="s">
        <v>1964</v>
      </c>
      <c r="AS462" t="s">
        <v>1965</v>
      </c>
      <c r="AT462" t="s">
        <v>8614</v>
      </c>
      <c r="AU462">
        <v>2023</v>
      </c>
      <c r="AV462">
        <v>80</v>
      </c>
      <c r="AW462">
        <v>9</v>
      </c>
      <c r="AX462" t="s">
        <v>74</v>
      </c>
      <c r="AY462" t="s">
        <v>74</v>
      </c>
      <c r="AZ462" t="s">
        <v>74</v>
      </c>
      <c r="BA462" t="s">
        <v>74</v>
      </c>
      <c r="BB462" t="s">
        <v>74</v>
      </c>
      <c r="BC462" t="s">
        <v>74</v>
      </c>
      <c r="BD462">
        <v>280</v>
      </c>
      <c r="BE462" t="s">
        <v>8899</v>
      </c>
      <c r="BF462" t="str">
        <f>HYPERLINK("http://dx.doi.org/10.1007/s00284-023-03391-0","http://dx.doi.org/10.1007/s00284-023-03391-0")</f>
        <v>http://dx.doi.org/10.1007/s00284-023-03391-0</v>
      </c>
      <c r="BG462" t="s">
        <v>74</v>
      </c>
      <c r="BH462" t="s">
        <v>74</v>
      </c>
      <c r="BI462">
        <v>13</v>
      </c>
      <c r="BJ462" t="s">
        <v>1967</v>
      </c>
      <c r="BK462" t="s">
        <v>126</v>
      </c>
      <c r="BL462" t="s">
        <v>1967</v>
      </c>
      <c r="BM462" t="s">
        <v>8900</v>
      </c>
      <c r="BN462">
        <v>37439951</v>
      </c>
      <c r="BO462" t="s">
        <v>74</v>
      </c>
      <c r="BP462" t="s">
        <v>74</v>
      </c>
      <c r="BQ462" t="s">
        <v>74</v>
      </c>
      <c r="BR462" t="s">
        <v>99</v>
      </c>
      <c r="BS462" t="s">
        <v>8901</v>
      </c>
      <c r="BT462" t="str">
        <f>HYPERLINK("https%3A%2F%2Fwww.webofscience.com%2Fwos%2Fwoscc%2Ffull-record%2FWOS:001029987400001","View Full Record in Web of Science")</f>
        <v>View Full Record in Web of Science</v>
      </c>
    </row>
    <row r="463" spans="1:72" x14ac:dyDescent="0.15">
      <c r="A463" t="s">
        <v>72</v>
      </c>
      <c r="B463" t="s">
        <v>8902</v>
      </c>
      <c r="C463" t="s">
        <v>74</v>
      </c>
      <c r="D463" t="s">
        <v>74</v>
      </c>
      <c r="E463" t="s">
        <v>74</v>
      </c>
      <c r="F463" t="s">
        <v>8903</v>
      </c>
      <c r="G463" t="s">
        <v>74</v>
      </c>
      <c r="H463" t="s">
        <v>74</v>
      </c>
      <c r="I463" t="s">
        <v>8904</v>
      </c>
      <c r="J463" t="s">
        <v>8905</v>
      </c>
      <c r="K463" t="s">
        <v>74</v>
      </c>
      <c r="L463" t="s">
        <v>74</v>
      </c>
      <c r="M463" t="s">
        <v>78</v>
      </c>
      <c r="N463" t="s">
        <v>79</v>
      </c>
      <c r="O463" t="s">
        <v>74</v>
      </c>
      <c r="P463" t="s">
        <v>74</v>
      </c>
      <c r="Q463" t="s">
        <v>74</v>
      </c>
      <c r="R463" t="s">
        <v>74</v>
      </c>
      <c r="S463" t="s">
        <v>74</v>
      </c>
      <c r="T463" t="s">
        <v>8906</v>
      </c>
      <c r="U463" t="s">
        <v>8907</v>
      </c>
      <c r="V463" t="s">
        <v>8908</v>
      </c>
      <c r="W463" t="s">
        <v>8909</v>
      </c>
      <c r="X463" t="s">
        <v>8910</v>
      </c>
      <c r="Y463" t="s">
        <v>8911</v>
      </c>
      <c r="Z463" t="s">
        <v>8912</v>
      </c>
      <c r="AA463" t="s">
        <v>74</v>
      </c>
      <c r="AB463" t="s">
        <v>8913</v>
      </c>
      <c r="AC463" t="s">
        <v>8914</v>
      </c>
      <c r="AD463" t="s">
        <v>8915</v>
      </c>
      <c r="AE463" t="s">
        <v>8916</v>
      </c>
      <c r="AF463" t="s">
        <v>74</v>
      </c>
      <c r="AG463">
        <v>68</v>
      </c>
      <c r="AH463">
        <v>0</v>
      </c>
      <c r="AI463">
        <v>0</v>
      </c>
      <c r="AJ463">
        <v>3</v>
      </c>
      <c r="AK463">
        <v>3</v>
      </c>
      <c r="AL463" t="s">
        <v>117</v>
      </c>
      <c r="AM463" t="s">
        <v>118</v>
      </c>
      <c r="AN463" t="s">
        <v>119</v>
      </c>
      <c r="AO463" t="s">
        <v>8917</v>
      </c>
      <c r="AP463" t="s">
        <v>8918</v>
      </c>
      <c r="AQ463" t="s">
        <v>74</v>
      </c>
      <c r="AR463" t="s">
        <v>8905</v>
      </c>
      <c r="AS463" t="s">
        <v>8919</v>
      </c>
      <c r="AT463" t="s">
        <v>8614</v>
      </c>
      <c r="AU463">
        <v>2023</v>
      </c>
      <c r="AV463">
        <v>258</v>
      </c>
      <c r="AW463">
        <v>3</v>
      </c>
      <c r="AX463" t="s">
        <v>74</v>
      </c>
      <c r="AY463" t="s">
        <v>74</v>
      </c>
      <c r="AZ463" t="s">
        <v>74</v>
      </c>
      <c r="BA463" t="s">
        <v>74</v>
      </c>
      <c r="BB463" t="s">
        <v>74</v>
      </c>
      <c r="BC463" t="s">
        <v>74</v>
      </c>
      <c r="BD463">
        <v>64</v>
      </c>
      <c r="BE463" t="s">
        <v>8920</v>
      </c>
      <c r="BF463" t="str">
        <f>HYPERLINK("http://dx.doi.org/10.1007/s00425-023-04197-x","http://dx.doi.org/10.1007/s00425-023-04197-x")</f>
        <v>http://dx.doi.org/10.1007/s00425-023-04197-x</v>
      </c>
      <c r="BG463" t="s">
        <v>74</v>
      </c>
      <c r="BH463" t="s">
        <v>74</v>
      </c>
      <c r="BI463">
        <v>21</v>
      </c>
      <c r="BJ463" t="s">
        <v>8921</v>
      </c>
      <c r="BK463" t="s">
        <v>126</v>
      </c>
      <c r="BL463" t="s">
        <v>8921</v>
      </c>
      <c r="BM463" t="s">
        <v>8922</v>
      </c>
      <c r="BN463">
        <v>37555984</v>
      </c>
      <c r="BO463" t="s">
        <v>74</v>
      </c>
      <c r="BP463" t="s">
        <v>74</v>
      </c>
      <c r="BQ463" t="s">
        <v>74</v>
      </c>
      <c r="BR463" t="s">
        <v>99</v>
      </c>
      <c r="BS463" t="s">
        <v>8923</v>
      </c>
      <c r="BT463" t="str">
        <f>HYPERLINK("https%3A%2F%2Fwww.webofscience.com%2Fwos%2Fwoscc%2Ffull-record%2FWOS:001044419800001","View Full Record in Web of Science")</f>
        <v>View Full Record in Web of Science</v>
      </c>
    </row>
    <row r="464" spans="1:72" x14ac:dyDescent="0.15">
      <c r="A464" t="s">
        <v>72</v>
      </c>
      <c r="B464" t="s">
        <v>8924</v>
      </c>
      <c r="C464" t="s">
        <v>74</v>
      </c>
      <c r="D464" t="s">
        <v>74</v>
      </c>
      <c r="E464" t="s">
        <v>74</v>
      </c>
      <c r="F464" t="s">
        <v>8925</v>
      </c>
      <c r="G464" t="s">
        <v>74</v>
      </c>
      <c r="H464" t="s">
        <v>74</v>
      </c>
      <c r="I464" t="s">
        <v>8926</v>
      </c>
      <c r="J464" t="s">
        <v>8927</v>
      </c>
      <c r="K464" t="s">
        <v>74</v>
      </c>
      <c r="L464" t="s">
        <v>74</v>
      </c>
      <c r="M464" t="s">
        <v>78</v>
      </c>
      <c r="N464" t="s">
        <v>1246</v>
      </c>
      <c r="O464" t="s">
        <v>74</v>
      </c>
      <c r="P464" t="s">
        <v>74</v>
      </c>
      <c r="Q464" t="s">
        <v>74</v>
      </c>
      <c r="R464" t="s">
        <v>74</v>
      </c>
      <c r="S464" t="s">
        <v>74</v>
      </c>
      <c r="T464" t="s">
        <v>8928</v>
      </c>
      <c r="U464" t="s">
        <v>8929</v>
      </c>
      <c r="V464" t="s">
        <v>8930</v>
      </c>
      <c r="W464" t="s">
        <v>8931</v>
      </c>
      <c r="X464" t="s">
        <v>8932</v>
      </c>
      <c r="Y464" t="s">
        <v>8933</v>
      </c>
      <c r="Z464" t="s">
        <v>8934</v>
      </c>
      <c r="AA464" t="s">
        <v>74</v>
      </c>
      <c r="AB464" t="s">
        <v>74</v>
      </c>
      <c r="AC464" t="s">
        <v>8935</v>
      </c>
      <c r="AD464" t="s">
        <v>8936</v>
      </c>
      <c r="AE464" t="s">
        <v>8937</v>
      </c>
      <c r="AF464" t="s">
        <v>74</v>
      </c>
      <c r="AG464">
        <v>56</v>
      </c>
      <c r="AH464">
        <v>0</v>
      </c>
      <c r="AI464">
        <v>0</v>
      </c>
      <c r="AJ464">
        <v>4</v>
      </c>
      <c r="AK464">
        <v>4</v>
      </c>
      <c r="AL464" t="s">
        <v>146</v>
      </c>
      <c r="AM464" t="s">
        <v>147</v>
      </c>
      <c r="AN464" t="s">
        <v>148</v>
      </c>
      <c r="AO464" t="s">
        <v>8938</v>
      </c>
      <c r="AP464" t="s">
        <v>8939</v>
      </c>
      <c r="AQ464" t="s">
        <v>74</v>
      </c>
      <c r="AR464" t="s">
        <v>8940</v>
      </c>
      <c r="AS464" t="s">
        <v>8941</v>
      </c>
      <c r="AT464" t="s">
        <v>8746</v>
      </c>
      <c r="AU464">
        <v>2023</v>
      </c>
      <c r="AV464" t="s">
        <v>74</v>
      </c>
      <c r="AW464" t="s">
        <v>74</v>
      </c>
      <c r="AX464" t="s">
        <v>74</v>
      </c>
      <c r="AY464" t="s">
        <v>74</v>
      </c>
      <c r="AZ464" t="s">
        <v>74</v>
      </c>
      <c r="BA464" t="s">
        <v>74</v>
      </c>
      <c r="BB464" t="s">
        <v>74</v>
      </c>
      <c r="BC464" t="s">
        <v>74</v>
      </c>
      <c r="BD464" t="s">
        <v>74</v>
      </c>
      <c r="BE464" t="s">
        <v>8942</v>
      </c>
      <c r="BF464" t="str">
        <f>HYPERLINK("http://dx.doi.org/10.1007/s00603-023-03514","http://dx.doi.org/10.1007/s00603-023-03514")</f>
        <v>http://dx.doi.org/10.1007/s00603-023-03514</v>
      </c>
      <c r="BG464" t="s">
        <v>74</v>
      </c>
      <c r="BH464" t="s">
        <v>2079</v>
      </c>
      <c r="BI464">
        <v>15</v>
      </c>
      <c r="BJ464" t="s">
        <v>8943</v>
      </c>
      <c r="BK464" t="s">
        <v>126</v>
      </c>
      <c r="BL464" t="s">
        <v>1657</v>
      </c>
      <c r="BM464" t="s">
        <v>8944</v>
      </c>
      <c r="BN464" t="s">
        <v>74</v>
      </c>
      <c r="BO464" t="s">
        <v>74</v>
      </c>
      <c r="BP464" t="s">
        <v>74</v>
      </c>
      <c r="BQ464" t="s">
        <v>74</v>
      </c>
      <c r="BR464" t="s">
        <v>99</v>
      </c>
      <c r="BS464" t="s">
        <v>8945</v>
      </c>
      <c r="BT464" t="str">
        <f>HYPERLINK("https%3A%2F%2Fwww.webofscience.com%2Fwos%2Fwoscc%2Ffull-record%2FWOS:001056285000001","View Full Record in Web of Science")</f>
        <v>View Full Record in Web of Science</v>
      </c>
    </row>
    <row r="465" spans="1:72" x14ac:dyDescent="0.15">
      <c r="A465" t="s">
        <v>72</v>
      </c>
      <c r="B465" t="s">
        <v>8946</v>
      </c>
      <c r="C465" t="s">
        <v>74</v>
      </c>
      <c r="D465" t="s">
        <v>74</v>
      </c>
      <c r="E465" t="s">
        <v>74</v>
      </c>
      <c r="F465" t="s">
        <v>8947</v>
      </c>
      <c r="G465" t="s">
        <v>74</v>
      </c>
      <c r="H465" t="s">
        <v>74</v>
      </c>
      <c r="I465" t="s">
        <v>8948</v>
      </c>
      <c r="J465" t="s">
        <v>8949</v>
      </c>
      <c r="K465" t="s">
        <v>74</v>
      </c>
      <c r="L465" t="s">
        <v>74</v>
      </c>
      <c r="M465" t="s">
        <v>78</v>
      </c>
      <c r="N465" t="s">
        <v>79</v>
      </c>
      <c r="O465" t="s">
        <v>74</v>
      </c>
      <c r="P465" t="s">
        <v>74</v>
      </c>
      <c r="Q465" t="s">
        <v>74</v>
      </c>
      <c r="R465" t="s">
        <v>74</v>
      </c>
      <c r="S465" t="s">
        <v>74</v>
      </c>
      <c r="T465" t="s">
        <v>8950</v>
      </c>
      <c r="U465" t="s">
        <v>8951</v>
      </c>
      <c r="V465" t="s">
        <v>8952</v>
      </c>
      <c r="W465" t="s">
        <v>8953</v>
      </c>
      <c r="X465" t="s">
        <v>8954</v>
      </c>
      <c r="Y465" t="s">
        <v>8955</v>
      </c>
      <c r="Z465" t="s">
        <v>8956</v>
      </c>
      <c r="AA465" t="s">
        <v>74</v>
      </c>
      <c r="AB465" t="s">
        <v>74</v>
      </c>
      <c r="AC465" t="s">
        <v>8957</v>
      </c>
      <c r="AD465" t="s">
        <v>8958</v>
      </c>
      <c r="AE465" t="s">
        <v>8959</v>
      </c>
      <c r="AF465" t="s">
        <v>74</v>
      </c>
      <c r="AG465">
        <v>16</v>
      </c>
      <c r="AH465">
        <v>0</v>
      </c>
      <c r="AI465">
        <v>0</v>
      </c>
      <c r="AJ465">
        <v>0</v>
      </c>
      <c r="AK465">
        <v>0</v>
      </c>
      <c r="AL465" t="s">
        <v>5347</v>
      </c>
      <c r="AM465" t="s">
        <v>118</v>
      </c>
      <c r="AN465" t="s">
        <v>5348</v>
      </c>
      <c r="AO465" t="s">
        <v>8960</v>
      </c>
      <c r="AP465" t="s">
        <v>8961</v>
      </c>
      <c r="AQ465" t="s">
        <v>74</v>
      </c>
      <c r="AR465" t="s">
        <v>8962</v>
      </c>
      <c r="AS465" t="s">
        <v>8963</v>
      </c>
      <c r="AT465" t="s">
        <v>8614</v>
      </c>
      <c r="AU465">
        <v>2023</v>
      </c>
      <c r="AV465">
        <v>97</v>
      </c>
      <c r="AW465">
        <v>9</v>
      </c>
      <c r="AX465" t="s">
        <v>74</v>
      </c>
      <c r="AY465" t="s">
        <v>74</v>
      </c>
      <c r="AZ465" t="s">
        <v>74</v>
      </c>
      <c r="BA465" t="s">
        <v>74</v>
      </c>
      <c r="BB465">
        <v>2020</v>
      </c>
      <c r="BC465">
        <v>2025</v>
      </c>
      <c r="BD465" t="s">
        <v>74</v>
      </c>
      <c r="BE465" t="s">
        <v>8964</v>
      </c>
      <c r="BF465" t="str">
        <f>HYPERLINK("http://dx.doi.org/10.1134/S0036024423090030","http://dx.doi.org/10.1134/S0036024423090030")</f>
        <v>http://dx.doi.org/10.1134/S0036024423090030</v>
      </c>
      <c r="BG465" t="s">
        <v>74</v>
      </c>
      <c r="BH465" t="s">
        <v>74</v>
      </c>
      <c r="BI465">
        <v>6</v>
      </c>
      <c r="BJ465" t="s">
        <v>8965</v>
      </c>
      <c r="BK465" t="s">
        <v>126</v>
      </c>
      <c r="BL465" t="s">
        <v>2826</v>
      </c>
      <c r="BM465" t="s">
        <v>8966</v>
      </c>
      <c r="BN465" t="s">
        <v>74</v>
      </c>
      <c r="BO465" t="s">
        <v>74</v>
      </c>
      <c r="BP465" t="s">
        <v>74</v>
      </c>
      <c r="BQ465" t="s">
        <v>74</v>
      </c>
      <c r="BR465" t="s">
        <v>99</v>
      </c>
      <c r="BS465" t="s">
        <v>8967</v>
      </c>
      <c r="BT465" t="str">
        <f>HYPERLINK("https%3A%2F%2Fwww.webofscience.com%2Fwos%2Fwoscc%2Ffull-record%2FWOS:001060257300020","View Full Record in Web of Science")</f>
        <v>View Full Record in Web of Science</v>
      </c>
    </row>
    <row r="466" spans="1:72" x14ac:dyDescent="0.15">
      <c r="A466" t="s">
        <v>72</v>
      </c>
      <c r="B466" t="s">
        <v>8968</v>
      </c>
      <c r="C466" t="s">
        <v>74</v>
      </c>
      <c r="D466" t="s">
        <v>74</v>
      </c>
      <c r="E466" t="s">
        <v>74</v>
      </c>
      <c r="F466" t="s">
        <v>8969</v>
      </c>
      <c r="G466" t="s">
        <v>74</v>
      </c>
      <c r="H466" t="s">
        <v>74</v>
      </c>
      <c r="I466" t="s">
        <v>8970</v>
      </c>
      <c r="J466" t="s">
        <v>8971</v>
      </c>
      <c r="K466" t="s">
        <v>74</v>
      </c>
      <c r="L466" t="s">
        <v>74</v>
      </c>
      <c r="M466" t="s">
        <v>78</v>
      </c>
      <c r="N466" t="s">
        <v>872</v>
      </c>
      <c r="O466" t="s">
        <v>74</v>
      </c>
      <c r="P466" t="s">
        <v>74</v>
      </c>
      <c r="Q466" t="s">
        <v>74</v>
      </c>
      <c r="R466" t="s">
        <v>74</v>
      </c>
      <c r="S466" t="s">
        <v>74</v>
      </c>
      <c r="T466" t="s">
        <v>74</v>
      </c>
      <c r="U466" t="s">
        <v>74</v>
      </c>
      <c r="V466" t="s">
        <v>74</v>
      </c>
      <c r="W466" t="s">
        <v>8972</v>
      </c>
      <c r="X466" t="s">
        <v>8973</v>
      </c>
      <c r="Y466" t="s">
        <v>8974</v>
      </c>
      <c r="Z466" t="s">
        <v>8975</v>
      </c>
      <c r="AA466" t="s">
        <v>74</v>
      </c>
      <c r="AB466" t="s">
        <v>74</v>
      </c>
      <c r="AC466" t="s">
        <v>74</v>
      </c>
      <c r="AD466" t="s">
        <v>74</v>
      </c>
      <c r="AE466" t="s">
        <v>74</v>
      </c>
      <c r="AF466" t="s">
        <v>74</v>
      </c>
      <c r="AG466">
        <v>1</v>
      </c>
      <c r="AH466">
        <v>0</v>
      </c>
      <c r="AI466">
        <v>0</v>
      </c>
      <c r="AJ466">
        <v>1</v>
      </c>
      <c r="AK466">
        <v>1</v>
      </c>
      <c r="AL466" t="s">
        <v>172</v>
      </c>
      <c r="AM466" t="s">
        <v>173</v>
      </c>
      <c r="AN466" t="s">
        <v>174</v>
      </c>
      <c r="AO466" t="s">
        <v>8976</v>
      </c>
      <c r="AP466" t="s">
        <v>8977</v>
      </c>
      <c r="AQ466" t="s">
        <v>74</v>
      </c>
      <c r="AR466" t="s">
        <v>8978</v>
      </c>
      <c r="AS466" t="s">
        <v>8979</v>
      </c>
      <c r="AT466" t="s">
        <v>8614</v>
      </c>
      <c r="AU466">
        <v>2023</v>
      </c>
      <c r="AV466">
        <v>23</v>
      </c>
      <c r="AW466">
        <v>3</v>
      </c>
      <c r="AX466" t="s">
        <v>74</v>
      </c>
      <c r="AY466" t="s">
        <v>74</v>
      </c>
      <c r="AZ466" t="s">
        <v>74</v>
      </c>
      <c r="BA466" t="s">
        <v>74</v>
      </c>
      <c r="BB466" t="s">
        <v>74</v>
      </c>
      <c r="BC466" t="s">
        <v>74</v>
      </c>
      <c r="BD466">
        <v>91</v>
      </c>
      <c r="BE466" t="s">
        <v>8980</v>
      </c>
      <c r="BF466" t="str">
        <f>HYPERLINK("http://dx.doi.org/10.1007/s10113-023-02088-1","http://dx.doi.org/10.1007/s10113-023-02088-1")</f>
        <v>http://dx.doi.org/10.1007/s10113-023-02088-1</v>
      </c>
      <c r="BG466" t="s">
        <v>74</v>
      </c>
      <c r="BH466" t="s">
        <v>74</v>
      </c>
      <c r="BI466">
        <v>2</v>
      </c>
      <c r="BJ466" t="s">
        <v>8981</v>
      </c>
      <c r="BK466" t="s">
        <v>2431</v>
      </c>
      <c r="BL466" t="s">
        <v>1347</v>
      </c>
      <c r="BM466" t="s">
        <v>8982</v>
      </c>
      <c r="BN466" t="s">
        <v>74</v>
      </c>
      <c r="BO466" t="s">
        <v>762</v>
      </c>
      <c r="BP466" t="s">
        <v>74</v>
      </c>
      <c r="BQ466" t="s">
        <v>74</v>
      </c>
      <c r="BR466" t="s">
        <v>99</v>
      </c>
      <c r="BS466" t="s">
        <v>8983</v>
      </c>
      <c r="BT466" t="str">
        <f>HYPERLINK("https%3A%2F%2Fwww.webofscience.com%2Fwos%2Fwoscc%2Ffull-record%2FWOS:001020624400003","View Full Record in Web of Science")</f>
        <v>View Full Record in Web of Science</v>
      </c>
    </row>
    <row r="467" spans="1:72" x14ac:dyDescent="0.15">
      <c r="A467" t="s">
        <v>72</v>
      </c>
      <c r="B467" t="s">
        <v>8984</v>
      </c>
      <c r="C467" t="s">
        <v>74</v>
      </c>
      <c r="D467" t="s">
        <v>74</v>
      </c>
      <c r="E467" t="s">
        <v>74</v>
      </c>
      <c r="F467" t="s">
        <v>8985</v>
      </c>
      <c r="G467" t="s">
        <v>74</v>
      </c>
      <c r="H467" t="s">
        <v>74</v>
      </c>
      <c r="I467" t="s">
        <v>8986</v>
      </c>
      <c r="J467" t="s">
        <v>8987</v>
      </c>
      <c r="K467" t="s">
        <v>74</v>
      </c>
      <c r="L467" t="s">
        <v>74</v>
      </c>
      <c r="M467" t="s">
        <v>78</v>
      </c>
      <c r="N467" t="s">
        <v>79</v>
      </c>
      <c r="O467" t="s">
        <v>74</v>
      </c>
      <c r="P467" t="s">
        <v>74</v>
      </c>
      <c r="Q467" t="s">
        <v>74</v>
      </c>
      <c r="R467" t="s">
        <v>74</v>
      </c>
      <c r="S467" t="s">
        <v>74</v>
      </c>
      <c r="T467" t="s">
        <v>8988</v>
      </c>
      <c r="U467" t="s">
        <v>8989</v>
      </c>
      <c r="V467" t="s">
        <v>8990</v>
      </c>
      <c r="W467" t="s">
        <v>8991</v>
      </c>
      <c r="X467" t="s">
        <v>8992</v>
      </c>
      <c r="Y467" t="s">
        <v>8993</v>
      </c>
      <c r="Z467" t="s">
        <v>8994</v>
      </c>
      <c r="AA467" t="s">
        <v>74</v>
      </c>
      <c r="AB467" t="s">
        <v>74</v>
      </c>
      <c r="AC467" t="s">
        <v>8995</v>
      </c>
      <c r="AD467" t="s">
        <v>8996</v>
      </c>
      <c r="AE467" t="s">
        <v>8997</v>
      </c>
      <c r="AF467" t="s">
        <v>74</v>
      </c>
      <c r="AG467">
        <v>22</v>
      </c>
      <c r="AH467">
        <v>0</v>
      </c>
      <c r="AI467">
        <v>0</v>
      </c>
      <c r="AJ467">
        <v>2</v>
      </c>
      <c r="AK467">
        <v>2</v>
      </c>
      <c r="AL467" t="s">
        <v>219</v>
      </c>
      <c r="AM467" t="s">
        <v>220</v>
      </c>
      <c r="AN467" t="s">
        <v>221</v>
      </c>
      <c r="AO467" t="s">
        <v>8998</v>
      </c>
      <c r="AP467" t="s">
        <v>8999</v>
      </c>
      <c r="AQ467" t="s">
        <v>74</v>
      </c>
      <c r="AR467" t="s">
        <v>9000</v>
      </c>
      <c r="AS467" t="s">
        <v>9001</v>
      </c>
      <c r="AT467" t="s">
        <v>8614</v>
      </c>
      <c r="AU467">
        <v>2023</v>
      </c>
      <c r="AV467">
        <v>17</v>
      </c>
      <c r="AW467">
        <v>6</v>
      </c>
      <c r="AX467" t="s">
        <v>74</v>
      </c>
      <c r="AY467" t="s">
        <v>74</v>
      </c>
      <c r="AZ467" t="s">
        <v>74</v>
      </c>
      <c r="BA467" t="s">
        <v>74</v>
      </c>
      <c r="BB467" t="s">
        <v>74</v>
      </c>
      <c r="BC467" t="s">
        <v>74</v>
      </c>
      <c r="BD467">
        <v>81</v>
      </c>
      <c r="BE467" t="s">
        <v>9002</v>
      </c>
      <c r="BF467" t="str">
        <f>HYPERLINK("http://dx.doi.org/10.1007/s11785-023-01383-3","http://dx.doi.org/10.1007/s11785-023-01383-3")</f>
        <v>http://dx.doi.org/10.1007/s11785-023-01383-3</v>
      </c>
      <c r="BG467" t="s">
        <v>74</v>
      </c>
      <c r="BH467" t="s">
        <v>74</v>
      </c>
      <c r="BI467">
        <v>15</v>
      </c>
      <c r="BJ467" t="s">
        <v>227</v>
      </c>
      <c r="BK467" t="s">
        <v>126</v>
      </c>
      <c r="BL467" t="s">
        <v>228</v>
      </c>
      <c r="BM467" t="s">
        <v>9003</v>
      </c>
      <c r="BN467" t="s">
        <v>74</v>
      </c>
      <c r="BO467" t="s">
        <v>74</v>
      </c>
      <c r="BP467" t="s">
        <v>74</v>
      </c>
      <c r="BQ467" t="s">
        <v>74</v>
      </c>
      <c r="BR467" t="s">
        <v>99</v>
      </c>
      <c r="BS467" t="s">
        <v>9004</v>
      </c>
      <c r="BT467" t="str">
        <f>HYPERLINK("https%3A%2F%2Fwww.webofscience.com%2Fwos%2Fwoscc%2Ffull-record%2FWOS:001032457200001","View Full Record in Web of Science")</f>
        <v>View Full Record in Web of Science</v>
      </c>
    </row>
    <row r="468" spans="1:72" x14ac:dyDescent="0.15">
      <c r="A468" t="s">
        <v>72</v>
      </c>
      <c r="B468" t="s">
        <v>9005</v>
      </c>
      <c r="C468" t="s">
        <v>74</v>
      </c>
      <c r="D468" t="s">
        <v>74</v>
      </c>
      <c r="E468" t="s">
        <v>74</v>
      </c>
      <c r="F468" t="s">
        <v>9006</v>
      </c>
      <c r="G468" t="s">
        <v>74</v>
      </c>
      <c r="H468" t="s">
        <v>74</v>
      </c>
      <c r="I468" t="s">
        <v>9007</v>
      </c>
      <c r="J468" t="s">
        <v>6475</v>
      </c>
      <c r="K468" t="s">
        <v>74</v>
      </c>
      <c r="L468" t="s">
        <v>74</v>
      </c>
      <c r="M468" t="s">
        <v>78</v>
      </c>
      <c r="N468" t="s">
        <v>79</v>
      </c>
      <c r="O468" t="s">
        <v>74</v>
      </c>
      <c r="P468" t="s">
        <v>74</v>
      </c>
      <c r="Q468" t="s">
        <v>74</v>
      </c>
      <c r="R468" t="s">
        <v>74</v>
      </c>
      <c r="S468" t="s">
        <v>74</v>
      </c>
      <c r="T468" t="s">
        <v>9008</v>
      </c>
      <c r="U468" t="s">
        <v>9009</v>
      </c>
      <c r="V468" t="s">
        <v>9010</v>
      </c>
      <c r="W468" t="s">
        <v>9011</v>
      </c>
      <c r="X468" t="s">
        <v>9012</v>
      </c>
      <c r="Y468" t="s">
        <v>9013</v>
      </c>
      <c r="Z468" t="s">
        <v>9014</v>
      </c>
      <c r="AA468" t="s">
        <v>74</v>
      </c>
      <c r="AB468" t="s">
        <v>74</v>
      </c>
      <c r="AC468" t="s">
        <v>9015</v>
      </c>
      <c r="AD468" t="s">
        <v>9015</v>
      </c>
      <c r="AE468" t="s">
        <v>9016</v>
      </c>
      <c r="AF468" t="s">
        <v>74</v>
      </c>
      <c r="AG468">
        <v>43</v>
      </c>
      <c r="AH468">
        <v>0</v>
      </c>
      <c r="AI468">
        <v>0</v>
      </c>
      <c r="AJ468">
        <v>0</v>
      </c>
      <c r="AK468">
        <v>0</v>
      </c>
      <c r="AL468" t="s">
        <v>443</v>
      </c>
      <c r="AM468" t="s">
        <v>245</v>
      </c>
      <c r="AN468" t="s">
        <v>444</v>
      </c>
      <c r="AO468" t="s">
        <v>74</v>
      </c>
      <c r="AP468" t="s">
        <v>6483</v>
      </c>
      <c r="AQ468" t="s">
        <v>74</v>
      </c>
      <c r="AR468" t="s">
        <v>6484</v>
      </c>
      <c r="AS468" t="s">
        <v>6485</v>
      </c>
      <c r="AT468" t="s">
        <v>8783</v>
      </c>
      <c r="AU468">
        <v>2023</v>
      </c>
      <c r="AV468">
        <v>22</v>
      </c>
      <c r="AW468">
        <v>1</v>
      </c>
      <c r="AX468" t="s">
        <v>74</v>
      </c>
      <c r="AY468" t="s">
        <v>74</v>
      </c>
      <c r="AZ468" t="s">
        <v>74</v>
      </c>
      <c r="BA468" t="s">
        <v>74</v>
      </c>
      <c r="BB468" t="s">
        <v>74</v>
      </c>
      <c r="BC468" t="s">
        <v>74</v>
      </c>
      <c r="BD468">
        <v>234</v>
      </c>
      <c r="BE468" t="s">
        <v>9017</v>
      </c>
      <c r="BF468" t="str">
        <f>HYPERLINK("http://dx.doi.org/10.1186/s12933-023-01935-z","http://dx.doi.org/10.1186/s12933-023-01935-z")</f>
        <v>http://dx.doi.org/10.1186/s12933-023-01935-z</v>
      </c>
      <c r="BG468" t="s">
        <v>74</v>
      </c>
      <c r="BH468" t="s">
        <v>74</v>
      </c>
      <c r="BI468">
        <v>13</v>
      </c>
      <c r="BJ468" t="s">
        <v>6487</v>
      </c>
      <c r="BK468" t="s">
        <v>126</v>
      </c>
      <c r="BL468" t="s">
        <v>6488</v>
      </c>
      <c r="BM468" t="s">
        <v>9018</v>
      </c>
      <c r="BN468">
        <v>37658327</v>
      </c>
      <c r="BO468" t="s">
        <v>302</v>
      </c>
      <c r="BP468" t="s">
        <v>74</v>
      </c>
      <c r="BQ468" t="s">
        <v>74</v>
      </c>
      <c r="BR468" t="s">
        <v>99</v>
      </c>
      <c r="BS468" t="s">
        <v>9019</v>
      </c>
      <c r="BT468" t="str">
        <f>HYPERLINK("https%3A%2F%2Fwww.webofscience.com%2Fwos%2Fwoscc%2Ffull-record%2FWOS:001056374400001","View Full Record in Web of Science")</f>
        <v>View Full Record in Web of Science</v>
      </c>
    </row>
    <row r="469" spans="1:72" x14ac:dyDescent="0.15">
      <c r="A469" t="s">
        <v>72</v>
      </c>
      <c r="B469" t="s">
        <v>9020</v>
      </c>
      <c r="C469" t="s">
        <v>74</v>
      </c>
      <c r="D469" t="s">
        <v>74</v>
      </c>
      <c r="E469" t="s">
        <v>74</v>
      </c>
      <c r="F469" t="s">
        <v>9021</v>
      </c>
      <c r="G469" t="s">
        <v>74</v>
      </c>
      <c r="H469" t="s">
        <v>74</v>
      </c>
      <c r="I469" t="s">
        <v>9022</v>
      </c>
      <c r="J469" t="s">
        <v>9023</v>
      </c>
      <c r="K469" t="s">
        <v>74</v>
      </c>
      <c r="L469" t="s">
        <v>74</v>
      </c>
      <c r="M469" t="s">
        <v>78</v>
      </c>
      <c r="N469" t="s">
        <v>79</v>
      </c>
      <c r="O469" t="s">
        <v>74</v>
      </c>
      <c r="P469" t="s">
        <v>74</v>
      </c>
      <c r="Q469" t="s">
        <v>74</v>
      </c>
      <c r="R469" t="s">
        <v>74</v>
      </c>
      <c r="S469" t="s">
        <v>74</v>
      </c>
      <c r="T469" t="s">
        <v>9024</v>
      </c>
      <c r="U469" t="s">
        <v>9025</v>
      </c>
      <c r="V469" t="s">
        <v>9026</v>
      </c>
      <c r="W469" t="s">
        <v>9027</v>
      </c>
      <c r="X469" t="s">
        <v>9028</v>
      </c>
      <c r="Y469" t="s">
        <v>9029</v>
      </c>
      <c r="Z469" t="s">
        <v>9030</v>
      </c>
      <c r="AA469" t="s">
        <v>74</v>
      </c>
      <c r="AB469" t="s">
        <v>74</v>
      </c>
      <c r="AC469" t="s">
        <v>74</v>
      </c>
      <c r="AD469" t="s">
        <v>74</v>
      </c>
      <c r="AE469" t="s">
        <v>74</v>
      </c>
      <c r="AF469" t="s">
        <v>74</v>
      </c>
      <c r="AG469">
        <v>74</v>
      </c>
      <c r="AH469">
        <v>0</v>
      </c>
      <c r="AI469">
        <v>0</v>
      </c>
      <c r="AJ469">
        <v>8</v>
      </c>
      <c r="AK469">
        <v>8</v>
      </c>
      <c r="AL469" t="s">
        <v>269</v>
      </c>
      <c r="AM469" t="s">
        <v>118</v>
      </c>
      <c r="AN469" t="s">
        <v>270</v>
      </c>
      <c r="AO469" t="s">
        <v>9031</v>
      </c>
      <c r="AP469" t="s">
        <v>9032</v>
      </c>
      <c r="AQ469" t="s">
        <v>74</v>
      </c>
      <c r="AR469" t="s">
        <v>9033</v>
      </c>
      <c r="AS469" t="s">
        <v>9034</v>
      </c>
      <c r="AT469" t="s">
        <v>8614</v>
      </c>
      <c r="AU469">
        <v>2023</v>
      </c>
      <c r="AV469">
        <v>35</v>
      </c>
      <c r="AW469">
        <v>3</v>
      </c>
      <c r="AX469" t="s">
        <v>74</v>
      </c>
      <c r="AY469" t="s">
        <v>74</v>
      </c>
      <c r="AZ469" t="s">
        <v>74</v>
      </c>
      <c r="BA469" t="s">
        <v>74</v>
      </c>
      <c r="BB469" t="s">
        <v>74</v>
      </c>
      <c r="BC469" t="s">
        <v>74</v>
      </c>
      <c r="BD469">
        <v>86</v>
      </c>
      <c r="BE469" t="s">
        <v>9035</v>
      </c>
      <c r="BF469" t="str">
        <f>HYPERLINK("http://dx.doi.org/10.1007/s10648-023-09803-8","http://dx.doi.org/10.1007/s10648-023-09803-8")</f>
        <v>http://dx.doi.org/10.1007/s10648-023-09803-8</v>
      </c>
      <c r="BG469" t="s">
        <v>74</v>
      </c>
      <c r="BH469" t="s">
        <v>74</v>
      </c>
      <c r="BI469">
        <v>30</v>
      </c>
      <c r="BJ469" t="s">
        <v>3662</v>
      </c>
      <c r="BK469" t="s">
        <v>425</v>
      </c>
      <c r="BL469" t="s">
        <v>2907</v>
      </c>
      <c r="BM469" t="s">
        <v>9036</v>
      </c>
      <c r="BN469" t="s">
        <v>74</v>
      </c>
      <c r="BO469" t="s">
        <v>74</v>
      </c>
      <c r="BP469" t="s">
        <v>74</v>
      </c>
      <c r="BQ469" t="s">
        <v>74</v>
      </c>
      <c r="BR469" t="s">
        <v>99</v>
      </c>
      <c r="BS469" t="s">
        <v>9037</v>
      </c>
      <c r="BT469" t="str">
        <f>HYPERLINK("https%3A%2F%2Fwww.webofscience.com%2Fwos%2Fwoscc%2Ffull-record%2FWOS:001052568100001","View Full Record in Web of Science")</f>
        <v>View Full Record in Web of Science</v>
      </c>
    </row>
    <row r="470" spans="1:72" x14ac:dyDescent="0.15">
      <c r="A470" t="s">
        <v>72</v>
      </c>
      <c r="B470" t="s">
        <v>9038</v>
      </c>
      <c r="C470" t="s">
        <v>74</v>
      </c>
      <c r="D470" t="s">
        <v>74</v>
      </c>
      <c r="E470" t="s">
        <v>74</v>
      </c>
      <c r="F470" t="s">
        <v>9039</v>
      </c>
      <c r="G470" t="s">
        <v>74</v>
      </c>
      <c r="H470" t="s">
        <v>74</v>
      </c>
      <c r="I470" t="s">
        <v>9040</v>
      </c>
      <c r="J470" t="s">
        <v>1553</v>
      </c>
      <c r="K470" t="s">
        <v>74</v>
      </c>
      <c r="L470" t="s">
        <v>74</v>
      </c>
      <c r="M470" t="s">
        <v>78</v>
      </c>
      <c r="N470" t="s">
        <v>79</v>
      </c>
      <c r="O470" t="s">
        <v>74</v>
      </c>
      <c r="P470" t="s">
        <v>74</v>
      </c>
      <c r="Q470" t="s">
        <v>74</v>
      </c>
      <c r="R470" t="s">
        <v>74</v>
      </c>
      <c r="S470" t="s">
        <v>74</v>
      </c>
      <c r="T470" t="s">
        <v>9041</v>
      </c>
      <c r="U470" t="s">
        <v>9042</v>
      </c>
      <c r="V470" t="s">
        <v>9043</v>
      </c>
      <c r="W470" t="s">
        <v>9044</v>
      </c>
      <c r="X470" t="s">
        <v>9045</v>
      </c>
      <c r="Y470" t="s">
        <v>9046</v>
      </c>
      <c r="Z470" t="s">
        <v>9047</v>
      </c>
      <c r="AA470" t="s">
        <v>74</v>
      </c>
      <c r="AB470" t="s">
        <v>74</v>
      </c>
      <c r="AC470" t="s">
        <v>74</v>
      </c>
      <c r="AD470" t="s">
        <v>74</v>
      </c>
      <c r="AE470" t="s">
        <v>74</v>
      </c>
      <c r="AF470" t="s">
        <v>74</v>
      </c>
      <c r="AG470">
        <v>28</v>
      </c>
      <c r="AH470">
        <v>0</v>
      </c>
      <c r="AI470">
        <v>0</v>
      </c>
      <c r="AJ470">
        <v>1</v>
      </c>
      <c r="AK470">
        <v>1</v>
      </c>
      <c r="AL470" t="s">
        <v>117</v>
      </c>
      <c r="AM470" t="s">
        <v>627</v>
      </c>
      <c r="AN470" t="s">
        <v>628</v>
      </c>
      <c r="AO470" t="s">
        <v>1563</v>
      </c>
      <c r="AP470" t="s">
        <v>1564</v>
      </c>
      <c r="AQ470" t="s">
        <v>74</v>
      </c>
      <c r="AR470" t="s">
        <v>1565</v>
      </c>
      <c r="AS470" t="s">
        <v>1566</v>
      </c>
      <c r="AT470" t="s">
        <v>8614</v>
      </c>
      <c r="AU470">
        <v>2023</v>
      </c>
      <c r="AV470">
        <v>30</v>
      </c>
      <c r="AW470">
        <v>9</v>
      </c>
      <c r="AX470" t="s">
        <v>74</v>
      </c>
      <c r="AY470" t="s">
        <v>74</v>
      </c>
      <c r="AZ470" t="s">
        <v>74</v>
      </c>
      <c r="BA470" t="s">
        <v>74</v>
      </c>
      <c r="BB470" t="s">
        <v>74</v>
      </c>
      <c r="BC470" t="s">
        <v>74</v>
      </c>
      <c r="BD470">
        <v>341</v>
      </c>
      <c r="BE470" t="s">
        <v>9048</v>
      </c>
      <c r="BF470" t="str">
        <f>HYPERLINK("http://dx.doi.org/10.1007/s10965-023-03729-z","http://dx.doi.org/10.1007/s10965-023-03729-z")</f>
        <v>http://dx.doi.org/10.1007/s10965-023-03729-z</v>
      </c>
      <c r="BG470" t="s">
        <v>74</v>
      </c>
      <c r="BH470" t="s">
        <v>74</v>
      </c>
      <c r="BI470">
        <v>13</v>
      </c>
      <c r="BJ470" t="s">
        <v>1568</v>
      </c>
      <c r="BK470" t="s">
        <v>126</v>
      </c>
      <c r="BL470" t="s">
        <v>1568</v>
      </c>
      <c r="BM470" t="s">
        <v>9049</v>
      </c>
      <c r="BN470" t="s">
        <v>74</v>
      </c>
      <c r="BO470" t="s">
        <v>74</v>
      </c>
      <c r="BP470" t="s">
        <v>74</v>
      </c>
      <c r="BQ470" t="s">
        <v>74</v>
      </c>
      <c r="BR470" t="s">
        <v>99</v>
      </c>
      <c r="BS470" t="s">
        <v>9050</v>
      </c>
      <c r="BT470" t="str">
        <f>HYPERLINK("https%3A%2F%2Fwww.webofscience.com%2Fwos%2Fwoscc%2Ffull-record%2FWOS:001043153200001","View Full Record in Web of Science")</f>
        <v>View Full Record in Web of Science</v>
      </c>
    </row>
    <row r="471" spans="1:72" x14ac:dyDescent="0.15">
      <c r="A471" t="s">
        <v>72</v>
      </c>
      <c r="B471" t="s">
        <v>9051</v>
      </c>
      <c r="C471" t="s">
        <v>74</v>
      </c>
      <c r="D471" t="s">
        <v>74</v>
      </c>
      <c r="E471" t="s">
        <v>74</v>
      </c>
      <c r="F471" t="s">
        <v>9052</v>
      </c>
      <c r="G471" t="s">
        <v>74</v>
      </c>
      <c r="H471" t="s">
        <v>74</v>
      </c>
      <c r="I471" t="s">
        <v>9053</v>
      </c>
      <c r="J471" t="s">
        <v>9054</v>
      </c>
      <c r="K471" t="s">
        <v>74</v>
      </c>
      <c r="L471" t="s">
        <v>74</v>
      </c>
      <c r="M471" t="s">
        <v>78</v>
      </c>
      <c r="N471" t="s">
        <v>1246</v>
      </c>
      <c r="O471" t="s">
        <v>74</v>
      </c>
      <c r="P471" t="s">
        <v>74</v>
      </c>
      <c r="Q471" t="s">
        <v>74</v>
      </c>
      <c r="R471" t="s">
        <v>74</v>
      </c>
      <c r="S471" t="s">
        <v>74</v>
      </c>
      <c r="T471" t="s">
        <v>9055</v>
      </c>
      <c r="U471" t="s">
        <v>9056</v>
      </c>
      <c r="V471" t="s">
        <v>9057</v>
      </c>
      <c r="W471" t="s">
        <v>9058</v>
      </c>
      <c r="X471" t="s">
        <v>74</v>
      </c>
      <c r="Y471" t="s">
        <v>9059</v>
      </c>
      <c r="Z471" t="s">
        <v>9060</v>
      </c>
      <c r="AA471" t="s">
        <v>74</v>
      </c>
      <c r="AB471" t="s">
        <v>74</v>
      </c>
      <c r="AC471" t="s">
        <v>74</v>
      </c>
      <c r="AD471" t="s">
        <v>74</v>
      </c>
      <c r="AE471" t="s">
        <v>74</v>
      </c>
      <c r="AF471" t="s">
        <v>74</v>
      </c>
      <c r="AG471">
        <v>19</v>
      </c>
      <c r="AH471">
        <v>0</v>
      </c>
      <c r="AI471">
        <v>0</v>
      </c>
      <c r="AJ471">
        <v>0</v>
      </c>
      <c r="AK471">
        <v>0</v>
      </c>
      <c r="AL471" t="s">
        <v>87</v>
      </c>
      <c r="AM471" t="s">
        <v>88</v>
      </c>
      <c r="AN471" t="s">
        <v>89</v>
      </c>
      <c r="AO471" t="s">
        <v>9061</v>
      </c>
      <c r="AP471" t="s">
        <v>9062</v>
      </c>
      <c r="AQ471" t="s">
        <v>74</v>
      </c>
      <c r="AR471" t="s">
        <v>9063</v>
      </c>
      <c r="AS471" t="s">
        <v>9064</v>
      </c>
      <c r="AT471" t="s">
        <v>8746</v>
      </c>
      <c r="AU471">
        <v>2023</v>
      </c>
      <c r="AV471" t="s">
        <v>74</v>
      </c>
      <c r="AW471" t="s">
        <v>74</v>
      </c>
      <c r="AX471" t="s">
        <v>74</v>
      </c>
      <c r="AY471" t="s">
        <v>74</v>
      </c>
      <c r="AZ471" t="s">
        <v>74</v>
      </c>
      <c r="BA471" t="s">
        <v>74</v>
      </c>
      <c r="BB471" t="s">
        <v>74</v>
      </c>
      <c r="BC471" t="s">
        <v>74</v>
      </c>
      <c r="BD471" t="s">
        <v>74</v>
      </c>
      <c r="BE471" t="s">
        <v>9065</v>
      </c>
      <c r="BF471" t="str">
        <f>HYPERLINK("http://dx.doi.org/10.1007/s12262-023-03914","http://dx.doi.org/10.1007/s12262-023-03914")</f>
        <v>http://dx.doi.org/10.1007/s12262-023-03914</v>
      </c>
      <c r="BG471" t="s">
        <v>74</v>
      </c>
      <c r="BH471" t="s">
        <v>2079</v>
      </c>
      <c r="BI471">
        <v>5</v>
      </c>
      <c r="BJ471" t="s">
        <v>2373</v>
      </c>
      <c r="BK471" t="s">
        <v>126</v>
      </c>
      <c r="BL471" t="s">
        <v>2373</v>
      </c>
      <c r="BM471" t="s">
        <v>9066</v>
      </c>
      <c r="BN471" t="s">
        <v>74</v>
      </c>
      <c r="BO471" t="s">
        <v>74</v>
      </c>
      <c r="BP471" t="s">
        <v>74</v>
      </c>
      <c r="BQ471" t="s">
        <v>74</v>
      </c>
      <c r="BR471" t="s">
        <v>99</v>
      </c>
      <c r="BS471" t="s">
        <v>9067</v>
      </c>
      <c r="BT471" t="str">
        <f>HYPERLINK("https%3A%2F%2Fwww.webofscience.com%2Fwos%2Fwoscc%2Ffull-record%2FWOS:001056951200001","View Full Record in Web of Science")</f>
        <v>View Full Record in Web of Science</v>
      </c>
    </row>
    <row r="472" spans="1:72" x14ac:dyDescent="0.15">
      <c r="A472" t="s">
        <v>72</v>
      </c>
      <c r="B472" t="s">
        <v>9068</v>
      </c>
      <c r="C472" t="s">
        <v>74</v>
      </c>
      <c r="D472" t="s">
        <v>74</v>
      </c>
      <c r="E472" t="s">
        <v>74</v>
      </c>
      <c r="F472" t="s">
        <v>9069</v>
      </c>
      <c r="G472" t="s">
        <v>74</v>
      </c>
      <c r="H472" t="s">
        <v>74</v>
      </c>
      <c r="I472" t="s">
        <v>9070</v>
      </c>
      <c r="J472" t="s">
        <v>1169</v>
      </c>
      <c r="K472" t="s">
        <v>74</v>
      </c>
      <c r="L472" t="s">
        <v>74</v>
      </c>
      <c r="M472" t="s">
        <v>78</v>
      </c>
      <c r="N472" t="s">
        <v>79</v>
      </c>
      <c r="O472" t="s">
        <v>74</v>
      </c>
      <c r="P472" t="s">
        <v>74</v>
      </c>
      <c r="Q472" t="s">
        <v>74</v>
      </c>
      <c r="R472" t="s">
        <v>74</v>
      </c>
      <c r="S472" t="s">
        <v>74</v>
      </c>
      <c r="T472" t="s">
        <v>9071</v>
      </c>
      <c r="U472" t="s">
        <v>9072</v>
      </c>
      <c r="V472" t="s">
        <v>9073</v>
      </c>
      <c r="W472" t="s">
        <v>9074</v>
      </c>
      <c r="X472" t="s">
        <v>9075</v>
      </c>
      <c r="Y472" t="s">
        <v>9076</v>
      </c>
      <c r="Z472" t="s">
        <v>9077</v>
      </c>
      <c r="AA472" t="s">
        <v>74</v>
      </c>
      <c r="AB472" t="s">
        <v>74</v>
      </c>
      <c r="AC472" t="s">
        <v>9078</v>
      </c>
      <c r="AD472" t="s">
        <v>9078</v>
      </c>
      <c r="AE472" t="s">
        <v>9079</v>
      </c>
      <c r="AF472" t="s">
        <v>74</v>
      </c>
      <c r="AG472">
        <v>19</v>
      </c>
      <c r="AH472">
        <v>0</v>
      </c>
      <c r="AI472">
        <v>0</v>
      </c>
      <c r="AJ472">
        <v>0</v>
      </c>
      <c r="AK472">
        <v>0</v>
      </c>
      <c r="AL472" t="s">
        <v>117</v>
      </c>
      <c r="AM472" t="s">
        <v>118</v>
      </c>
      <c r="AN472" t="s">
        <v>119</v>
      </c>
      <c r="AO472" t="s">
        <v>1177</v>
      </c>
      <c r="AP472" t="s">
        <v>1178</v>
      </c>
      <c r="AQ472" t="s">
        <v>74</v>
      </c>
      <c r="AR472" t="s">
        <v>1179</v>
      </c>
      <c r="AS472" t="s">
        <v>1180</v>
      </c>
      <c r="AT472" t="s">
        <v>8614</v>
      </c>
      <c r="AU472">
        <v>2023</v>
      </c>
      <c r="AV472">
        <v>33</v>
      </c>
      <c r="AW472">
        <v>9</v>
      </c>
      <c r="AX472" t="s">
        <v>74</v>
      </c>
      <c r="AY472" t="s">
        <v>74</v>
      </c>
      <c r="AZ472" t="s">
        <v>74</v>
      </c>
      <c r="BA472" t="s">
        <v>74</v>
      </c>
      <c r="BB472" t="s">
        <v>74</v>
      </c>
      <c r="BC472" t="s">
        <v>74</v>
      </c>
      <c r="BD472">
        <v>278</v>
      </c>
      <c r="BE472" t="s">
        <v>9080</v>
      </c>
      <c r="BF472" t="str">
        <f>HYPERLINK("http://dx.doi.org/10.1007/s12220-023-01336-4","http://dx.doi.org/10.1007/s12220-023-01336-4")</f>
        <v>http://dx.doi.org/10.1007/s12220-023-01336-4</v>
      </c>
      <c r="BG472" t="s">
        <v>74</v>
      </c>
      <c r="BH472" t="s">
        <v>74</v>
      </c>
      <c r="BI472">
        <v>31</v>
      </c>
      <c r="BJ472" t="s">
        <v>228</v>
      </c>
      <c r="BK472" t="s">
        <v>126</v>
      </c>
      <c r="BL472" t="s">
        <v>228</v>
      </c>
      <c r="BM472" t="s">
        <v>9081</v>
      </c>
      <c r="BN472" t="s">
        <v>74</v>
      </c>
      <c r="BO472" t="s">
        <v>1183</v>
      </c>
      <c r="BP472" t="s">
        <v>74</v>
      </c>
      <c r="BQ472" t="s">
        <v>74</v>
      </c>
      <c r="BR472" t="s">
        <v>99</v>
      </c>
      <c r="BS472" t="s">
        <v>9082</v>
      </c>
      <c r="BT472" t="str">
        <f>HYPERLINK("https%3A%2F%2Fwww.webofscience.com%2Fwos%2Fwoscc%2Ffull-record%2FWOS:001012593500001","View Full Record in Web of Science")</f>
        <v>View Full Record in Web of Science</v>
      </c>
    </row>
    <row r="473" spans="1:72" x14ac:dyDescent="0.15">
      <c r="A473" t="s">
        <v>72</v>
      </c>
      <c r="B473" t="s">
        <v>9083</v>
      </c>
      <c r="C473" t="s">
        <v>74</v>
      </c>
      <c r="D473" t="s">
        <v>74</v>
      </c>
      <c r="E473" t="s">
        <v>74</v>
      </c>
      <c r="F473" t="s">
        <v>9084</v>
      </c>
      <c r="G473" t="s">
        <v>74</v>
      </c>
      <c r="H473" t="s">
        <v>74</v>
      </c>
      <c r="I473" t="s">
        <v>9085</v>
      </c>
      <c r="J473" t="s">
        <v>8949</v>
      </c>
      <c r="K473" t="s">
        <v>74</v>
      </c>
      <c r="L473" t="s">
        <v>74</v>
      </c>
      <c r="M473" t="s">
        <v>78</v>
      </c>
      <c r="N473" t="s">
        <v>79</v>
      </c>
      <c r="O473" t="s">
        <v>74</v>
      </c>
      <c r="P473" t="s">
        <v>74</v>
      </c>
      <c r="Q473" t="s">
        <v>74</v>
      </c>
      <c r="R473" t="s">
        <v>74</v>
      </c>
      <c r="S473" t="s">
        <v>74</v>
      </c>
      <c r="T473" t="s">
        <v>9086</v>
      </c>
      <c r="U473" t="s">
        <v>9087</v>
      </c>
      <c r="V473" t="s">
        <v>9088</v>
      </c>
      <c r="W473" t="s">
        <v>9089</v>
      </c>
      <c r="X473" t="s">
        <v>9090</v>
      </c>
      <c r="Y473" t="s">
        <v>9091</v>
      </c>
      <c r="Z473" t="s">
        <v>9092</v>
      </c>
      <c r="AA473" t="s">
        <v>74</v>
      </c>
      <c r="AB473" t="s">
        <v>74</v>
      </c>
      <c r="AC473" t="s">
        <v>9093</v>
      </c>
      <c r="AD473" t="s">
        <v>9094</v>
      </c>
      <c r="AE473" t="s">
        <v>9095</v>
      </c>
      <c r="AF473" t="s">
        <v>74</v>
      </c>
      <c r="AG473">
        <v>30</v>
      </c>
      <c r="AH473">
        <v>0</v>
      </c>
      <c r="AI473">
        <v>0</v>
      </c>
      <c r="AJ473">
        <v>0</v>
      </c>
      <c r="AK473">
        <v>0</v>
      </c>
      <c r="AL473" t="s">
        <v>5347</v>
      </c>
      <c r="AM473" t="s">
        <v>118</v>
      </c>
      <c r="AN473" t="s">
        <v>5348</v>
      </c>
      <c r="AO473" t="s">
        <v>8960</v>
      </c>
      <c r="AP473" t="s">
        <v>8961</v>
      </c>
      <c r="AQ473" t="s">
        <v>74</v>
      </c>
      <c r="AR473" t="s">
        <v>8962</v>
      </c>
      <c r="AS473" t="s">
        <v>8963</v>
      </c>
      <c r="AT473" t="s">
        <v>8614</v>
      </c>
      <c r="AU473">
        <v>2023</v>
      </c>
      <c r="AV473">
        <v>97</v>
      </c>
      <c r="AW473">
        <v>9</v>
      </c>
      <c r="AX473" t="s">
        <v>74</v>
      </c>
      <c r="AY473" t="s">
        <v>74</v>
      </c>
      <c r="AZ473" t="s">
        <v>74</v>
      </c>
      <c r="BA473" t="s">
        <v>74</v>
      </c>
      <c r="BB473">
        <v>2038</v>
      </c>
      <c r="BC473">
        <v>2043</v>
      </c>
      <c r="BD473" t="s">
        <v>74</v>
      </c>
      <c r="BE473" t="s">
        <v>9096</v>
      </c>
      <c r="BF473" t="str">
        <f>HYPERLINK("http://dx.doi.org/10.1134/S0036024423090042","http://dx.doi.org/10.1134/S0036024423090042")</f>
        <v>http://dx.doi.org/10.1134/S0036024423090042</v>
      </c>
      <c r="BG473" t="s">
        <v>74</v>
      </c>
      <c r="BH473" t="s">
        <v>74</v>
      </c>
      <c r="BI473">
        <v>6</v>
      </c>
      <c r="BJ473" t="s">
        <v>8965</v>
      </c>
      <c r="BK473" t="s">
        <v>126</v>
      </c>
      <c r="BL473" t="s">
        <v>2826</v>
      </c>
      <c r="BM473" t="s">
        <v>8966</v>
      </c>
      <c r="BN473" t="s">
        <v>74</v>
      </c>
      <c r="BO473" t="s">
        <v>74</v>
      </c>
      <c r="BP473" t="s">
        <v>74</v>
      </c>
      <c r="BQ473" t="s">
        <v>74</v>
      </c>
      <c r="BR473" t="s">
        <v>99</v>
      </c>
      <c r="BS473" t="s">
        <v>9097</v>
      </c>
      <c r="BT473" t="str">
        <f>HYPERLINK("https%3A%2F%2Fwww.webofscience.com%2Fwos%2Fwoscc%2Ffull-record%2FWOS:001060257300022","View Full Record in Web of Science")</f>
        <v>View Full Record in Web of Science</v>
      </c>
    </row>
    <row r="474" spans="1:72" x14ac:dyDescent="0.15">
      <c r="A474" t="s">
        <v>72</v>
      </c>
      <c r="B474" t="s">
        <v>9098</v>
      </c>
      <c r="C474" t="s">
        <v>74</v>
      </c>
      <c r="D474" t="s">
        <v>74</v>
      </c>
      <c r="E474" t="s">
        <v>74</v>
      </c>
      <c r="F474" t="s">
        <v>9099</v>
      </c>
      <c r="G474" t="s">
        <v>74</v>
      </c>
      <c r="H474" t="s">
        <v>74</v>
      </c>
      <c r="I474" t="s">
        <v>9100</v>
      </c>
      <c r="J474" t="s">
        <v>258</v>
      </c>
      <c r="K474" t="s">
        <v>74</v>
      </c>
      <c r="L474" t="s">
        <v>74</v>
      </c>
      <c r="M474" t="s">
        <v>78</v>
      </c>
      <c r="N474" t="s">
        <v>79</v>
      </c>
      <c r="O474" t="s">
        <v>74</v>
      </c>
      <c r="P474" t="s">
        <v>74</v>
      </c>
      <c r="Q474" t="s">
        <v>74</v>
      </c>
      <c r="R474" t="s">
        <v>74</v>
      </c>
      <c r="S474" t="s">
        <v>74</v>
      </c>
      <c r="T474" t="s">
        <v>9101</v>
      </c>
      <c r="U474" t="s">
        <v>9102</v>
      </c>
      <c r="V474" t="s">
        <v>9103</v>
      </c>
      <c r="W474" t="s">
        <v>9104</v>
      </c>
      <c r="X474" t="s">
        <v>9105</v>
      </c>
      <c r="Y474" t="s">
        <v>9106</v>
      </c>
      <c r="Z474" t="s">
        <v>9107</v>
      </c>
      <c r="AA474" t="s">
        <v>74</v>
      </c>
      <c r="AB474" t="s">
        <v>74</v>
      </c>
      <c r="AC474" t="s">
        <v>9108</v>
      </c>
      <c r="AD474" t="s">
        <v>9109</v>
      </c>
      <c r="AE474" t="s">
        <v>9110</v>
      </c>
      <c r="AF474" t="s">
        <v>74</v>
      </c>
      <c r="AG474">
        <v>52</v>
      </c>
      <c r="AH474">
        <v>0</v>
      </c>
      <c r="AI474">
        <v>0</v>
      </c>
      <c r="AJ474">
        <v>4</v>
      </c>
      <c r="AK474">
        <v>4</v>
      </c>
      <c r="AL474" t="s">
        <v>269</v>
      </c>
      <c r="AM474" t="s">
        <v>118</v>
      </c>
      <c r="AN474" t="s">
        <v>270</v>
      </c>
      <c r="AO474" t="s">
        <v>271</v>
      </c>
      <c r="AP474" t="s">
        <v>272</v>
      </c>
      <c r="AQ474" t="s">
        <v>74</v>
      </c>
      <c r="AR474" t="s">
        <v>273</v>
      </c>
      <c r="AS474" t="s">
        <v>274</v>
      </c>
      <c r="AT474" t="s">
        <v>8614</v>
      </c>
      <c r="AU474">
        <v>2023</v>
      </c>
      <c r="AV474">
        <v>71</v>
      </c>
      <c r="AW474">
        <v>3</v>
      </c>
      <c r="AX474" t="s">
        <v>74</v>
      </c>
      <c r="AY474" t="s">
        <v>74</v>
      </c>
      <c r="AZ474" t="s">
        <v>74</v>
      </c>
      <c r="BA474" t="s">
        <v>74</v>
      </c>
      <c r="BB474" t="s">
        <v>74</v>
      </c>
      <c r="BC474" t="s">
        <v>74</v>
      </c>
      <c r="BD474">
        <v>80</v>
      </c>
      <c r="BE474" t="s">
        <v>9111</v>
      </c>
      <c r="BF474" t="str">
        <f>HYPERLINK("http://dx.doi.org/10.1007/s11249-023-01752-1","http://dx.doi.org/10.1007/s11249-023-01752-1")</f>
        <v>http://dx.doi.org/10.1007/s11249-023-01752-1</v>
      </c>
      <c r="BG474" t="s">
        <v>74</v>
      </c>
      <c r="BH474" t="s">
        <v>74</v>
      </c>
      <c r="BI474">
        <v>11</v>
      </c>
      <c r="BJ474" t="s">
        <v>276</v>
      </c>
      <c r="BK474" t="s">
        <v>126</v>
      </c>
      <c r="BL474" t="s">
        <v>277</v>
      </c>
      <c r="BM474" t="s">
        <v>9112</v>
      </c>
      <c r="BN474" t="s">
        <v>74</v>
      </c>
      <c r="BO474" t="s">
        <v>74</v>
      </c>
      <c r="BP474" t="s">
        <v>74</v>
      </c>
      <c r="BQ474" t="s">
        <v>74</v>
      </c>
      <c r="BR474" t="s">
        <v>99</v>
      </c>
      <c r="BS474" t="s">
        <v>9113</v>
      </c>
      <c r="BT474" t="str">
        <f>HYPERLINK("https%3A%2F%2Fwww.webofscience.com%2Fwos%2Fwoscc%2Ffull-record%2FWOS:001021051400002","View Full Record in Web of Science")</f>
        <v>View Full Record in Web of Science</v>
      </c>
    </row>
    <row r="475" spans="1:72" x14ac:dyDescent="0.15">
      <c r="A475" t="s">
        <v>72</v>
      </c>
      <c r="B475" t="s">
        <v>9114</v>
      </c>
      <c r="C475" t="s">
        <v>74</v>
      </c>
      <c r="D475" t="s">
        <v>74</v>
      </c>
      <c r="E475" t="s">
        <v>74</v>
      </c>
      <c r="F475" t="s">
        <v>9115</v>
      </c>
      <c r="G475" t="s">
        <v>74</v>
      </c>
      <c r="H475" t="s">
        <v>74</v>
      </c>
      <c r="I475" t="s">
        <v>9116</v>
      </c>
      <c r="J475" t="s">
        <v>9117</v>
      </c>
      <c r="K475" t="s">
        <v>74</v>
      </c>
      <c r="L475" t="s">
        <v>74</v>
      </c>
      <c r="M475" t="s">
        <v>78</v>
      </c>
      <c r="N475" t="s">
        <v>79</v>
      </c>
      <c r="O475" t="s">
        <v>74</v>
      </c>
      <c r="P475" t="s">
        <v>74</v>
      </c>
      <c r="Q475" t="s">
        <v>74</v>
      </c>
      <c r="R475" t="s">
        <v>74</v>
      </c>
      <c r="S475" t="s">
        <v>74</v>
      </c>
      <c r="T475" t="s">
        <v>9118</v>
      </c>
      <c r="U475" t="s">
        <v>9119</v>
      </c>
      <c r="V475" t="s">
        <v>9120</v>
      </c>
      <c r="W475" t="s">
        <v>9121</v>
      </c>
      <c r="X475" t="s">
        <v>9122</v>
      </c>
      <c r="Y475" t="s">
        <v>9123</v>
      </c>
      <c r="Z475" t="s">
        <v>9124</v>
      </c>
      <c r="AA475" t="s">
        <v>9125</v>
      </c>
      <c r="AB475" t="s">
        <v>9126</v>
      </c>
      <c r="AC475" t="s">
        <v>74</v>
      </c>
      <c r="AD475" t="s">
        <v>74</v>
      </c>
      <c r="AE475" t="s">
        <v>74</v>
      </c>
      <c r="AF475" t="s">
        <v>74</v>
      </c>
      <c r="AG475">
        <v>22</v>
      </c>
      <c r="AH475">
        <v>0</v>
      </c>
      <c r="AI475">
        <v>0</v>
      </c>
      <c r="AJ475">
        <v>0</v>
      </c>
      <c r="AK475">
        <v>0</v>
      </c>
      <c r="AL475" t="s">
        <v>117</v>
      </c>
      <c r="AM475" t="s">
        <v>627</v>
      </c>
      <c r="AN475" t="s">
        <v>628</v>
      </c>
      <c r="AO475" t="s">
        <v>9127</v>
      </c>
      <c r="AP475" t="s">
        <v>9128</v>
      </c>
      <c r="AQ475" t="s">
        <v>74</v>
      </c>
      <c r="AR475" t="s">
        <v>9117</v>
      </c>
      <c r="AS475" t="s">
        <v>9129</v>
      </c>
      <c r="AT475" t="s">
        <v>8614</v>
      </c>
      <c r="AU475">
        <v>2023</v>
      </c>
      <c r="AV475">
        <v>27</v>
      </c>
      <c r="AW475">
        <v>4</v>
      </c>
      <c r="AX475" t="s">
        <v>74</v>
      </c>
      <c r="AY475" t="s">
        <v>74</v>
      </c>
      <c r="AZ475" t="s">
        <v>74</v>
      </c>
      <c r="BA475" t="s">
        <v>74</v>
      </c>
      <c r="BB475" t="s">
        <v>74</v>
      </c>
      <c r="BC475" t="s">
        <v>74</v>
      </c>
      <c r="BD475">
        <v>47</v>
      </c>
      <c r="BE475" t="s">
        <v>9130</v>
      </c>
      <c r="BF475" t="str">
        <f>HYPERLINK("http://dx.doi.org/10.1007/s11117-023-00997-3","http://dx.doi.org/10.1007/s11117-023-00997-3")</f>
        <v>http://dx.doi.org/10.1007/s11117-023-00997-3</v>
      </c>
      <c r="BG475" t="s">
        <v>74</v>
      </c>
      <c r="BH475" t="s">
        <v>74</v>
      </c>
      <c r="BI475">
        <v>38</v>
      </c>
      <c r="BJ475" t="s">
        <v>228</v>
      </c>
      <c r="BK475" t="s">
        <v>126</v>
      </c>
      <c r="BL475" t="s">
        <v>228</v>
      </c>
      <c r="BM475" t="s">
        <v>9131</v>
      </c>
      <c r="BN475" t="s">
        <v>74</v>
      </c>
      <c r="BO475" t="s">
        <v>327</v>
      </c>
      <c r="BP475" t="s">
        <v>74</v>
      </c>
      <c r="BQ475" t="s">
        <v>74</v>
      </c>
      <c r="BR475" t="s">
        <v>99</v>
      </c>
      <c r="BS475" t="s">
        <v>9132</v>
      </c>
      <c r="BT475" t="str">
        <f>HYPERLINK("https%3A%2F%2Fwww.webofscience.com%2Fwos%2Fwoscc%2Ffull-record%2FWOS:001028765600001","View Full Record in Web of Science")</f>
        <v>View Full Record in Web of Science</v>
      </c>
    </row>
    <row r="476" spans="1:72" x14ac:dyDescent="0.15">
      <c r="A476" t="s">
        <v>72</v>
      </c>
      <c r="B476" t="s">
        <v>9133</v>
      </c>
      <c r="C476" t="s">
        <v>74</v>
      </c>
      <c r="D476" t="s">
        <v>74</v>
      </c>
      <c r="E476" t="s">
        <v>74</v>
      </c>
      <c r="F476" t="s">
        <v>9134</v>
      </c>
      <c r="G476" t="s">
        <v>74</v>
      </c>
      <c r="H476" t="s">
        <v>74</v>
      </c>
      <c r="I476" t="s">
        <v>9135</v>
      </c>
      <c r="J476" t="s">
        <v>1642</v>
      </c>
      <c r="K476" t="s">
        <v>74</v>
      </c>
      <c r="L476" t="s">
        <v>74</v>
      </c>
      <c r="M476" t="s">
        <v>78</v>
      </c>
      <c r="N476" t="s">
        <v>79</v>
      </c>
      <c r="O476" t="s">
        <v>74</v>
      </c>
      <c r="P476" t="s">
        <v>74</v>
      </c>
      <c r="Q476" t="s">
        <v>74</v>
      </c>
      <c r="R476" t="s">
        <v>74</v>
      </c>
      <c r="S476" t="s">
        <v>74</v>
      </c>
      <c r="T476" t="s">
        <v>9136</v>
      </c>
      <c r="U476" t="s">
        <v>9137</v>
      </c>
      <c r="V476" t="s">
        <v>9138</v>
      </c>
      <c r="W476" t="s">
        <v>9139</v>
      </c>
      <c r="X476" t="s">
        <v>9140</v>
      </c>
      <c r="Y476" t="s">
        <v>9141</v>
      </c>
      <c r="Z476" t="s">
        <v>9142</v>
      </c>
      <c r="AA476" t="s">
        <v>9143</v>
      </c>
      <c r="AB476" t="s">
        <v>9144</v>
      </c>
      <c r="AC476" t="s">
        <v>9145</v>
      </c>
      <c r="AD476" t="s">
        <v>9146</v>
      </c>
      <c r="AE476" t="s">
        <v>9147</v>
      </c>
      <c r="AF476" t="s">
        <v>74</v>
      </c>
      <c r="AG476">
        <v>42</v>
      </c>
      <c r="AH476">
        <v>0</v>
      </c>
      <c r="AI476">
        <v>0</v>
      </c>
      <c r="AJ476">
        <v>1</v>
      </c>
      <c r="AK476">
        <v>1</v>
      </c>
      <c r="AL476" t="s">
        <v>172</v>
      </c>
      <c r="AM476" t="s">
        <v>173</v>
      </c>
      <c r="AN476" t="s">
        <v>174</v>
      </c>
      <c r="AO476" t="s">
        <v>1651</v>
      </c>
      <c r="AP476" t="s">
        <v>1652</v>
      </c>
      <c r="AQ476" t="s">
        <v>74</v>
      </c>
      <c r="AR476" t="s">
        <v>1653</v>
      </c>
      <c r="AS476" t="s">
        <v>1654</v>
      </c>
      <c r="AT476" t="s">
        <v>8614</v>
      </c>
      <c r="AU476">
        <v>2023</v>
      </c>
      <c r="AV476">
        <v>82</v>
      </c>
      <c r="AW476">
        <v>9</v>
      </c>
      <c r="AX476" t="s">
        <v>74</v>
      </c>
      <c r="AY476" t="s">
        <v>74</v>
      </c>
      <c r="AZ476" t="s">
        <v>74</v>
      </c>
      <c r="BA476" t="s">
        <v>74</v>
      </c>
      <c r="BB476" t="s">
        <v>74</v>
      </c>
      <c r="BC476" t="s">
        <v>74</v>
      </c>
      <c r="BD476">
        <v>369</v>
      </c>
      <c r="BE476" t="s">
        <v>9148</v>
      </c>
      <c r="BF476" t="str">
        <f>HYPERLINK("http://dx.doi.org/10.1007/s10064-023-03389-9","http://dx.doi.org/10.1007/s10064-023-03389-9")</f>
        <v>http://dx.doi.org/10.1007/s10064-023-03389-9</v>
      </c>
      <c r="BG476" t="s">
        <v>74</v>
      </c>
      <c r="BH476" t="s">
        <v>74</v>
      </c>
      <c r="BI476">
        <v>16</v>
      </c>
      <c r="BJ476" t="s">
        <v>1656</v>
      </c>
      <c r="BK476" t="s">
        <v>126</v>
      </c>
      <c r="BL476" t="s">
        <v>1657</v>
      </c>
      <c r="BM476" t="s">
        <v>9149</v>
      </c>
      <c r="BN476" t="s">
        <v>74</v>
      </c>
      <c r="BO476" t="s">
        <v>74</v>
      </c>
      <c r="BP476" t="s">
        <v>74</v>
      </c>
      <c r="BQ476" t="s">
        <v>74</v>
      </c>
      <c r="BR476" t="s">
        <v>99</v>
      </c>
      <c r="BS476" t="s">
        <v>9150</v>
      </c>
      <c r="BT476" t="str">
        <f>HYPERLINK("https%3A%2F%2Fwww.webofscience.com%2Fwos%2Fwoscc%2Ffull-record%2FWOS:001058995500001","View Full Record in Web of Science")</f>
        <v>View Full Record in Web of Science</v>
      </c>
    </row>
    <row r="477" spans="1:72" x14ac:dyDescent="0.15">
      <c r="A477" t="s">
        <v>72</v>
      </c>
      <c r="B477" t="s">
        <v>9151</v>
      </c>
      <c r="C477" t="s">
        <v>74</v>
      </c>
      <c r="D477" t="s">
        <v>74</v>
      </c>
      <c r="E477" t="s">
        <v>74</v>
      </c>
      <c r="F477" t="s">
        <v>9152</v>
      </c>
      <c r="G477" t="s">
        <v>74</v>
      </c>
      <c r="H477" t="s">
        <v>74</v>
      </c>
      <c r="I477" t="s">
        <v>9153</v>
      </c>
      <c r="J477" t="s">
        <v>9154</v>
      </c>
      <c r="K477" t="s">
        <v>74</v>
      </c>
      <c r="L477" t="s">
        <v>74</v>
      </c>
      <c r="M477" t="s">
        <v>78</v>
      </c>
      <c r="N477" t="s">
        <v>1246</v>
      </c>
      <c r="O477" t="s">
        <v>74</v>
      </c>
      <c r="P477" t="s">
        <v>74</v>
      </c>
      <c r="Q477" t="s">
        <v>74</v>
      </c>
      <c r="R477" t="s">
        <v>74</v>
      </c>
      <c r="S477" t="s">
        <v>74</v>
      </c>
      <c r="T477" t="s">
        <v>9155</v>
      </c>
      <c r="U477" t="s">
        <v>9156</v>
      </c>
      <c r="V477" t="s">
        <v>9157</v>
      </c>
      <c r="W477" t="s">
        <v>9158</v>
      </c>
      <c r="X477" t="s">
        <v>74</v>
      </c>
      <c r="Y477" t="s">
        <v>9159</v>
      </c>
      <c r="Z477" t="s">
        <v>9160</v>
      </c>
      <c r="AA477" t="s">
        <v>74</v>
      </c>
      <c r="AB477" t="s">
        <v>74</v>
      </c>
      <c r="AC477" t="s">
        <v>9161</v>
      </c>
      <c r="AD477" t="s">
        <v>9161</v>
      </c>
      <c r="AE477" t="s">
        <v>9162</v>
      </c>
      <c r="AF477" t="s">
        <v>74</v>
      </c>
      <c r="AG477">
        <v>35</v>
      </c>
      <c r="AH477">
        <v>0</v>
      </c>
      <c r="AI477">
        <v>0</v>
      </c>
      <c r="AJ477">
        <v>0</v>
      </c>
      <c r="AK477">
        <v>0</v>
      </c>
      <c r="AL477" t="s">
        <v>117</v>
      </c>
      <c r="AM477" t="s">
        <v>118</v>
      </c>
      <c r="AN477" t="s">
        <v>119</v>
      </c>
      <c r="AO477" t="s">
        <v>9163</v>
      </c>
      <c r="AP477" t="s">
        <v>9164</v>
      </c>
      <c r="AQ477" t="s">
        <v>74</v>
      </c>
      <c r="AR477" t="s">
        <v>9165</v>
      </c>
      <c r="AS477" t="s">
        <v>9166</v>
      </c>
      <c r="AT477" t="s">
        <v>8746</v>
      </c>
      <c r="AU477">
        <v>2023</v>
      </c>
      <c r="AV477" t="s">
        <v>74</v>
      </c>
      <c r="AW477" t="s">
        <v>74</v>
      </c>
      <c r="AX477" t="s">
        <v>74</v>
      </c>
      <c r="AY477" t="s">
        <v>74</v>
      </c>
      <c r="AZ477" t="s">
        <v>74</v>
      </c>
      <c r="BA477" t="s">
        <v>74</v>
      </c>
      <c r="BB477" t="s">
        <v>74</v>
      </c>
      <c r="BC477" t="s">
        <v>74</v>
      </c>
      <c r="BD477" t="s">
        <v>74</v>
      </c>
      <c r="BE477" t="s">
        <v>9167</v>
      </c>
      <c r="BF477" t="str">
        <f>HYPERLINK("http://dx.doi.org/10.1007/s10943-023-01899-0","http://dx.doi.org/10.1007/s10943-023-01899-0")</f>
        <v>http://dx.doi.org/10.1007/s10943-023-01899-0</v>
      </c>
      <c r="BG477" t="s">
        <v>74</v>
      </c>
      <c r="BH477" t="s">
        <v>2079</v>
      </c>
      <c r="BI477">
        <v>14</v>
      </c>
      <c r="BJ477" t="s">
        <v>9168</v>
      </c>
      <c r="BK477" t="s">
        <v>9169</v>
      </c>
      <c r="BL477" t="s">
        <v>9168</v>
      </c>
      <c r="BM477" t="s">
        <v>9170</v>
      </c>
      <c r="BN477">
        <v>37656304</v>
      </c>
      <c r="BO477" t="s">
        <v>74</v>
      </c>
      <c r="BP477" t="s">
        <v>74</v>
      </c>
      <c r="BQ477" t="s">
        <v>74</v>
      </c>
      <c r="BR477" t="s">
        <v>99</v>
      </c>
      <c r="BS477" t="s">
        <v>9171</v>
      </c>
      <c r="BT477" t="str">
        <f>HYPERLINK("https%3A%2F%2Fwww.webofscience.com%2Fwos%2Fwoscc%2Ffull-record%2FWOS:001056971000001","View Full Record in Web of Science")</f>
        <v>View Full Record in Web of Science</v>
      </c>
    </row>
    <row r="478" spans="1:72" x14ac:dyDescent="0.15">
      <c r="A478" t="s">
        <v>72</v>
      </c>
      <c r="B478" t="s">
        <v>9172</v>
      </c>
      <c r="C478" t="s">
        <v>74</v>
      </c>
      <c r="D478" t="s">
        <v>74</v>
      </c>
      <c r="E478" t="s">
        <v>74</v>
      </c>
      <c r="F478" t="s">
        <v>9173</v>
      </c>
      <c r="G478" t="s">
        <v>74</v>
      </c>
      <c r="H478" t="s">
        <v>74</v>
      </c>
      <c r="I478" t="s">
        <v>9174</v>
      </c>
      <c r="J478" t="s">
        <v>9175</v>
      </c>
      <c r="K478" t="s">
        <v>74</v>
      </c>
      <c r="L478" t="s">
        <v>74</v>
      </c>
      <c r="M478" t="s">
        <v>78</v>
      </c>
      <c r="N478" t="s">
        <v>1246</v>
      </c>
      <c r="O478" t="s">
        <v>74</v>
      </c>
      <c r="P478" t="s">
        <v>74</v>
      </c>
      <c r="Q478" t="s">
        <v>74</v>
      </c>
      <c r="R478" t="s">
        <v>74</v>
      </c>
      <c r="S478" t="s">
        <v>74</v>
      </c>
      <c r="T478" t="s">
        <v>9176</v>
      </c>
      <c r="U478" t="s">
        <v>9177</v>
      </c>
      <c r="V478" t="s">
        <v>9178</v>
      </c>
      <c r="W478" t="s">
        <v>9179</v>
      </c>
      <c r="X478" t="s">
        <v>9180</v>
      </c>
      <c r="Y478" t="s">
        <v>9181</v>
      </c>
      <c r="Z478" t="s">
        <v>9182</v>
      </c>
      <c r="AA478" t="s">
        <v>74</v>
      </c>
      <c r="AB478" t="s">
        <v>9183</v>
      </c>
      <c r="AC478" t="s">
        <v>74</v>
      </c>
      <c r="AD478" t="s">
        <v>74</v>
      </c>
      <c r="AE478" t="s">
        <v>74</v>
      </c>
      <c r="AF478" t="s">
        <v>74</v>
      </c>
      <c r="AG478">
        <v>21</v>
      </c>
      <c r="AH478">
        <v>0</v>
      </c>
      <c r="AI478">
        <v>0</v>
      </c>
      <c r="AJ478">
        <v>0</v>
      </c>
      <c r="AK478">
        <v>0</v>
      </c>
      <c r="AL478" t="s">
        <v>117</v>
      </c>
      <c r="AM478" t="s">
        <v>627</v>
      </c>
      <c r="AN478" t="s">
        <v>628</v>
      </c>
      <c r="AO478" t="s">
        <v>9184</v>
      </c>
      <c r="AP478" t="s">
        <v>9185</v>
      </c>
      <c r="AQ478" t="s">
        <v>74</v>
      </c>
      <c r="AR478" t="s">
        <v>9186</v>
      </c>
      <c r="AS478" t="s">
        <v>9187</v>
      </c>
      <c r="AT478" t="s">
        <v>8746</v>
      </c>
      <c r="AU478">
        <v>2023</v>
      </c>
      <c r="AV478" t="s">
        <v>74</v>
      </c>
      <c r="AW478" t="s">
        <v>74</v>
      </c>
      <c r="AX478" t="s">
        <v>74</v>
      </c>
      <c r="AY478" t="s">
        <v>74</v>
      </c>
      <c r="AZ478" t="s">
        <v>74</v>
      </c>
      <c r="BA478" t="s">
        <v>74</v>
      </c>
      <c r="BB478" t="s">
        <v>74</v>
      </c>
      <c r="BC478" t="s">
        <v>74</v>
      </c>
      <c r="BD478" t="s">
        <v>74</v>
      </c>
      <c r="BE478" t="s">
        <v>9188</v>
      </c>
      <c r="BF478" t="str">
        <f>HYPERLINK("http://dx.doi.org/10.1007/s11139-023-00768-4","http://dx.doi.org/10.1007/s11139-023-00768-4")</f>
        <v>http://dx.doi.org/10.1007/s11139-023-00768-4</v>
      </c>
      <c r="BG478" t="s">
        <v>74</v>
      </c>
      <c r="BH478" t="s">
        <v>2079</v>
      </c>
      <c r="BI478">
        <v>32</v>
      </c>
      <c r="BJ478" t="s">
        <v>228</v>
      </c>
      <c r="BK478" t="s">
        <v>126</v>
      </c>
      <c r="BL478" t="s">
        <v>228</v>
      </c>
      <c r="BM478" t="s">
        <v>9189</v>
      </c>
      <c r="BN478" t="s">
        <v>74</v>
      </c>
      <c r="BO478" t="s">
        <v>327</v>
      </c>
      <c r="BP478" t="s">
        <v>74</v>
      </c>
      <c r="BQ478" t="s">
        <v>74</v>
      </c>
      <c r="BR478" t="s">
        <v>99</v>
      </c>
      <c r="BS478" t="s">
        <v>9190</v>
      </c>
      <c r="BT478" t="str">
        <f>HYPERLINK("https%3A%2F%2Fwww.webofscience.com%2Fwos%2Fwoscc%2Ffull-record%2FWOS:001060167500002","View Full Record in Web of Science")</f>
        <v>View Full Record in Web of Science</v>
      </c>
    </row>
    <row r="479" spans="1:72" x14ac:dyDescent="0.15">
      <c r="A479" t="s">
        <v>72</v>
      </c>
      <c r="B479" t="s">
        <v>9191</v>
      </c>
      <c r="C479" t="s">
        <v>74</v>
      </c>
      <c r="D479" t="s">
        <v>74</v>
      </c>
      <c r="E479" t="s">
        <v>74</v>
      </c>
      <c r="F479" t="s">
        <v>9192</v>
      </c>
      <c r="G479" t="s">
        <v>74</v>
      </c>
      <c r="H479" t="s">
        <v>74</v>
      </c>
      <c r="I479" t="s">
        <v>9193</v>
      </c>
      <c r="J479" t="s">
        <v>1553</v>
      </c>
      <c r="K479" t="s">
        <v>74</v>
      </c>
      <c r="L479" t="s">
        <v>74</v>
      </c>
      <c r="M479" t="s">
        <v>78</v>
      </c>
      <c r="N479" t="s">
        <v>79</v>
      </c>
      <c r="O479" t="s">
        <v>74</v>
      </c>
      <c r="P479" t="s">
        <v>74</v>
      </c>
      <c r="Q479" t="s">
        <v>74</v>
      </c>
      <c r="R479" t="s">
        <v>74</v>
      </c>
      <c r="S479" t="s">
        <v>74</v>
      </c>
      <c r="T479" t="s">
        <v>9194</v>
      </c>
      <c r="U479" t="s">
        <v>9195</v>
      </c>
      <c r="V479" t="s">
        <v>9196</v>
      </c>
      <c r="W479" t="s">
        <v>9197</v>
      </c>
      <c r="X479" t="s">
        <v>74</v>
      </c>
      <c r="Y479" t="s">
        <v>9198</v>
      </c>
      <c r="Z479" t="s">
        <v>9199</v>
      </c>
      <c r="AA479" t="s">
        <v>74</v>
      </c>
      <c r="AB479" t="s">
        <v>74</v>
      </c>
      <c r="AC479" t="s">
        <v>9200</v>
      </c>
      <c r="AD479" t="s">
        <v>9201</v>
      </c>
      <c r="AE479" t="s">
        <v>9202</v>
      </c>
      <c r="AF479" t="s">
        <v>74</v>
      </c>
      <c r="AG479">
        <v>47</v>
      </c>
      <c r="AH479">
        <v>0</v>
      </c>
      <c r="AI479">
        <v>0</v>
      </c>
      <c r="AJ479">
        <v>1</v>
      </c>
      <c r="AK479">
        <v>1</v>
      </c>
      <c r="AL479" t="s">
        <v>117</v>
      </c>
      <c r="AM479" t="s">
        <v>627</v>
      </c>
      <c r="AN479" t="s">
        <v>628</v>
      </c>
      <c r="AO479" t="s">
        <v>1563</v>
      </c>
      <c r="AP479" t="s">
        <v>1564</v>
      </c>
      <c r="AQ479" t="s">
        <v>74</v>
      </c>
      <c r="AR479" t="s">
        <v>1565</v>
      </c>
      <c r="AS479" t="s">
        <v>1566</v>
      </c>
      <c r="AT479" t="s">
        <v>8614</v>
      </c>
      <c r="AU479">
        <v>2023</v>
      </c>
      <c r="AV479">
        <v>30</v>
      </c>
      <c r="AW479">
        <v>9</v>
      </c>
      <c r="AX479" t="s">
        <v>74</v>
      </c>
      <c r="AY479" t="s">
        <v>74</v>
      </c>
      <c r="AZ479" t="s">
        <v>74</v>
      </c>
      <c r="BA479" t="s">
        <v>74</v>
      </c>
      <c r="BB479" t="s">
        <v>74</v>
      </c>
      <c r="BC479" t="s">
        <v>74</v>
      </c>
      <c r="BD479">
        <v>345</v>
      </c>
      <c r="BE479" t="s">
        <v>9203</v>
      </c>
      <c r="BF479" t="str">
        <f>HYPERLINK("http://dx.doi.org/10.1007/s10965-023-03727-1","http://dx.doi.org/10.1007/s10965-023-03727-1")</f>
        <v>http://dx.doi.org/10.1007/s10965-023-03727-1</v>
      </c>
      <c r="BG479" t="s">
        <v>74</v>
      </c>
      <c r="BH479" t="s">
        <v>74</v>
      </c>
      <c r="BI479">
        <v>15</v>
      </c>
      <c r="BJ479" t="s">
        <v>1568</v>
      </c>
      <c r="BK479" t="s">
        <v>126</v>
      </c>
      <c r="BL479" t="s">
        <v>1568</v>
      </c>
      <c r="BM479" t="s">
        <v>9204</v>
      </c>
      <c r="BN479" t="s">
        <v>74</v>
      </c>
      <c r="BO479" t="s">
        <v>183</v>
      </c>
      <c r="BP479" t="s">
        <v>74</v>
      </c>
      <c r="BQ479" t="s">
        <v>74</v>
      </c>
      <c r="BR479" t="s">
        <v>99</v>
      </c>
      <c r="BS479" t="s">
        <v>9205</v>
      </c>
      <c r="BT479" t="str">
        <f>HYPERLINK("https%3A%2F%2Fwww.webofscience.com%2Fwos%2Fwoscc%2Ffull-record%2FWOS:001049161600001","View Full Record in Web of Science")</f>
        <v>View Full Record in Web of Science</v>
      </c>
    </row>
    <row r="480" spans="1:72" x14ac:dyDescent="0.15">
      <c r="A480" t="s">
        <v>72</v>
      </c>
      <c r="B480" t="s">
        <v>9206</v>
      </c>
      <c r="C480" t="s">
        <v>74</v>
      </c>
      <c r="D480" t="s">
        <v>74</v>
      </c>
      <c r="E480" t="s">
        <v>74</v>
      </c>
      <c r="F480" t="s">
        <v>9207</v>
      </c>
      <c r="G480" t="s">
        <v>74</v>
      </c>
      <c r="H480" t="s">
        <v>74</v>
      </c>
      <c r="I480" t="s">
        <v>9208</v>
      </c>
      <c r="J480" t="s">
        <v>9209</v>
      </c>
      <c r="K480" t="s">
        <v>74</v>
      </c>
      <c r="L480" t="s">
        <v>74</v>
      </c>
      <c r="M480" t="s">
        <v>78</v>
      </c>
      <c r="N480" t="s">
        <v>105</v>
      </c>
      <c r="O480" t="s">
        <v>74</v>
      </c>
      <c r="P480" t="s">
        <v>74</v>
      </c>
      <c r="Q480" t="s">
        <v>74</v>
      </c>
      <c r="R480" t="s">
        <v>74</v>
      </c>
      <c r="S480" t="s">
        <v>74</v>
      </c>
      <c r="T480" t="s">
        <v>74</v>
      </c>
      <c r="U480" t="s">
        <v>9210</v>
      </c>
      <c r="V480" t="s">
        <v>9211</v>
      </c>
      <c r="W480" t="s">
        <v>9212</v>
      </c>
      <c r="X480" t="s">
        <v>9213</v>
      </c>
      <c r="Y480" t="s">
        <v>9214</v>
      </c>
      <c r="Z480" t="s">
        <v>9215</v>
      </c>
      <c r="AA480" t="s">
        <v>74</v>
      </c>
      <c r="AB480" t="s">
        <v>74</v>
      </c>
      <c r="AC480" t="s">
        <v>9216</v>
      </c>
      <c r="AD480" t="s">
        <v>9217</v>
      </c>
      <c r="AE480" t="s">
        <v>9218</v>
      </c>
      <c r="AF480" t="s">
        <v>74</v>
      </c>
      <c r="AG480">
        <v>202</v>
      </c>
      <c r="AH480">
        <v>0</v>
      </c>
      <c r="AI480">
        <v>0</v>
      </c>
      <c r="AJ480">
        <v>4</v>
      </c>
      <c r="AK480">
        <v>4</v>
      </c>
      <c r="AL480" t="s">
        <v>117</v>
      </c>
      <c r="AM480" t="s">
        <v>118</v>
      </c>
      <c r="AN480" t="s">
        <v>119</v>
      </c>
      <c r="AO480" t="s">
        <v>9219</v>
      </c>
      <c r="AP480" t="s">
        <v>9220</v>
      </c>
      <c r="AQ480" t="s">
        <v>74</v>
      </c>
      <c r="AR480" t="s">
        <v>9221</v>
      </c>
      <c r="AS480" t="s">
        <v>9222</v>
      </c>
      <c r="AT480" t="s">
        <v>8614</v>
      </c>
      <c r="AU480">
        <v>2023</v>
      </c>
      <c r="AV480">
        <v>43</v>
      </c>
      <c r="AW480">
        <v>3</v>
      </c>
      <c r="AX480" t="s">
        <v>74</v>
      </c>
      <c r="AY480" t="s">
        <v>74</v>
      </c>
      <c r="AZ480" t="s">
        <v>74</v>
      </c>
      <c r="BA480" t="s">
        <v>74</v>
      </c>
      <c r="BB480" t="s">
        <v>74</v>
      </c>
      <c r="BC480" t="s">
        <v>74</v>
      </c>
      <c r="BD480">
        <v>15</v>
      </c>
      <c r="BE480" t="s">
        <v>9223</v>
      </c>
      <c r="BF480" t="str">
        <f>HYPERLINK("http://dx.doi.org/10.1007/s00367-023-00756-z","http://dx.doi.org/10.1007/s00367-023-00756-z")</f>
        <v>http://dx.doi.org/10.1007/s00367-023-00756-z</v>
      </c>
      <c r="BG480" t="s">
        <v>74</v>
      </c>
      <c r="BH480" t="s">
        <v>74</v>
      </c>
      <c r="BI480">
        <v>22</v>
      </c>
      <c r="BJ480" t="s">
        <v>9224</v>
      </c>
      <c r="BK480" t="s">
        <v>126</v>
      </c>
      <c r="BL480" t="s">
        <v>9225</v>
      </c>
      <c r="BM480" t="s">
        <v>9226</v>
      </c>
      <c r="BN480" t="s">
        <v>74</v>
      </c>
      <c r="BO480" t="s">
        <v>74</v>
      </c>
      <c r="BP480" t="s">
        <v>74</v>
      </c>
      <c r="BQ480" t="s">
        <v>74</v>
      </c>
      <c r="BR480" t="s">
        <v>99</v>
      </c>
      <c r="BS480" t="s">
        <v>9227</v>
      </c>
      <c r="BT480" t="str">
        <f>HYPERLINK("https%3A%2F%2Fwww.webofscience.com%2Fwos%2Fwoscc%2Ffull-record%2FWOS:001052800800001","View Full Record in Web of Science")</f>
        <v>View Full Record in Web of Science</v>
      </c>
    </row>
    <row r="481" spans="1:72" x14ac:dyDescent="0.15">
      <c r="A481" t="s">
        <v>72</v>
      </c>
      <c r="B481" t="s">
        <v>9228</v>
      </c>
      <c r="C481" t="s">
        <v>74</v>
      </c>
      <c r="D481" t="s">
        <v>74</v>
      </c>
      <c r="E481" t="s">
        <v>74</v>
      </c>
      <c r="F481" t="s">
        <v>9229</v>
      </c>
      <c r="G481" t="s">
        <v>74</v>
      </c>
      <c r="H481" t="s">
        <v>74</v>
      </c>
      <c r="I481" t="s">
        <v>9230</v>
      </c>
      <c r="J481" t="s">
        <v>1430</v>
      </c>
      <c r="K481" t="s">
        <v>74</v>
      </c>
      <c r="L481" t="s">
        <v>74</v>
      </c>
      <c r="M481" t="s">
        <v>78</v>
      </c>
      <c r="N481" t="s">
        <v>79</v>
      </c>
      <c r="O481" t="s">
        <v>74</v>
      </c>
      <c r="P481" t="s">
        <v>74</v>
      </c>
      <c r="Q481" t="s">
        <v>74</v>
      </c>
      <c r="R481" t="s">
        <v>74</v>
      </c>
      <c r="S481" t="s">
        <v>74</v>
      </c>
      <c r="T481" t="s">
        <v>9231</v>
      </c>
      <c r="U481" t="s">
        <v>9232</v>
      </c>
      <c r="V481" t="s">
        <v>9233</v>
      </c>
      <c r="W481" t="s">
        <v>9234</v>
      </c>
      <c r="X481" t="s">
        <v>9235</v>
      </c>
      <c r="Y481" t="s">
        <v>9236</v>
      </c>
      <c r="Z481" t="s">
        <v>9237</v>
      </c>
      <c r="AA481" t="s">
        <v>9238</v>
      </c>
      <c r="AB481" t="s">
        <v>9239</v>
      </c>
      <c r="AC481" t="s">
        <v>74</v>
      </c>
      <c r="AD481" t="s">
        <v>74</v>
      </c>
      <c r="AE481" t="s">
        <v>74</v>
      </c>
      <c r="AF481" t="s">
        <v>74</v>
      </c>
      <c r="AG481">
        <v>51</v>
      </c>
      <c r="AH481">
        <v>0</v>
      </c>
      <c r="AI481">
        <v>0</v>
      </c>
      <c r="AJ481">
        <v>3</v>
      </c>
      <c r="AK481">
        <v>3</v>
      </c>
      <c r="AL481" t="s">
        <v>172</v>
      </c>
      <c r="AM481" t="s">
        <v>173</v>
      </c>
      <c r="AN481" t="s">
        <v>174</v>
      </c>
      <c r="AO481" t="s">
        <v>1438</v>
      </c>
      <c r="AP481" t="s">
        <v>1439</v>
      </c>
      <c r="AQ481" t="s">
        <v>74</v>
      </c>
      <c r="AR481" t="s">
        <v>1440</v>
      </c>
      <c r="AS481" t="s">
        <v>1441</v>
      </c>
      <c r="AT481" t="s">
        <v>8614</v>
      </c>
      <c r="AU481">
        <v>2023</v>
      </c>
      <c r="AV481">
        <v>129</v>
      </c>
      <c r="AW481">
        <v>9</v>
      </c>
      <c r="AX481" t="s">
        <v>74</v>
      </c>
      <c r="AY481" t="s">
        <v>74</v>
      </c>
      <c r="AZ481" t="s">
        <v>74</v>
      </c>
      <c r="BA481" t="s">
        <v>74</v>
      </c>
      <c r="BB481" t="s">
        <v>74</v>
      </c>
      <c r="BC481" t="s">
        <v>74</v>
      </c>
      <c r="BD481">
        <v>635</v>
      </c>
      <c r="BE481" t="s">
        <v>9240</v>
      </c>
      <c r="BF481" t="str">
        <f>HYPERLINK("http://dx.doi.org/10.1007/s00339-023-06895-5","http://dx.doi.org/10.1007/s00339-023-06895-5")</f>
        <v>http://dx.doi.org/10.1007/s00339-023-06895-5</v>
      </c>
      <c r="BG481" t="s">
        <v>74</v>
      </c>
      <c r="BH481" t="s">
        <v>74</v>
      </c>
      <c r="BI481">
        <v>10</v>
      </c>
      <c r="BJ481" t="s">
        <v>1443</v>
      </c>
      <c r="BK481" t="s">
        <v>126</v>
      </c>
      <c r="BL481" t="s">
        <v>1444</v>
      </c>
      <c r="BM481" t="s">
        <v>9241</v>
      </c>
      <c r="BN481" t="s">
        <v>74</v>
      </c>
      <c r="BO481" t="s">
        <v>74</v>
      </c>
      <c r="BP481" t="s">
        <v>74</v>
      </c>
      <c r="BQ481" t="s">
        <v>74</v>
      </c>
      <c r="BR481" t="s">
        <v>99</v>
      </c>
      <c r="BS481" t="s">
        <v>9242</v>
      </c>
      <c r="BT481" t="str">
        <f>HYPERLINK("https%3A%2F%2Fwww.webofscience.com%2Fwos%2Fwoscc%2Ffull-record%2FWOS:001052841700006","View Full Record in Web of Science")</f>
        <v>View Full Record in Web of Science</v>
      </c>
    </row>
    <row r="482" spans="1:72" x14ac:dyDescent="0.15">
      <c r="A482" t="s">
        <v>72</v>
      </c>
      <c r="B482" t="s">
        <v>9243</v>
      </c>
      <c r="C482" t="s">
        <v>74</v>
      </c>
      <c r="D482" t="s">
        <v>74</v>
      </c>
      <c r="E482" t="s">
        <v>74</v>
      </c>
      <c r="F482" t="s">
        <v>9244</v>
      </c>
      <c r="G482" t="s">
        <v>74</v>
      </c>
      <c r="H482" t="s">
        <v>74</v>
      </c>
      <c r="I482" t="s">
        <v>9245</v>
      </c>
      <c r="J482" t="s">
        <v>7716</v>
      </c>
      <c r="K482" t="s">
        <v>74</v>
      </c>
      <c r="L482" t="s">
        <v>74</v>
      </c>
      <c r="M482" t="s">
        <v>78</v>
      </c>
      <c r="N482" t="s">
        <v>79</v>
      </c>
      <c r="O482" t="s">
        <v>74</v>
      </c>
      <c r="P482" t="s">
        <v>74</v>
      </c>
      <c r="Q482" t="s">
        <v>74</v>
      </c>
      <c r="R482" t="s">
        <v>74</v>
      </c>
      <c r="S482" t="s">
        <v>74</v>
      </c>
      <c r="T482" t="s">
        <v>9246</v>
      </c>
      <c r="U482" t="s">
        <v>9247</v>
      </c>
      <c r="V482" t="s">
        <v>9248</v>
      </c>
      <c r="W482" t="s">
        <v>9249</v>
      </c>
      <c r="X482" t="s">
        <v>9250</v>
      </c>
      <c r="Y482" t="s">
        <v>9251</v>
      </c>
      <c r="Z482" t="s">
        <v>9252</v>
      </c>
      <c r="AA482" t="s">
        <v>74</v>
      </c>
      <c r="AB482" t="s">
        <v>74</v>
      </c>
      <c r="AC482" t="s">
        <v>9253</v>
      </c>
      <c r="AD482" t="s">
        <v>9253</v>
      </c>
      <c r="AE482" t="s">
        <v>9253</v>
      </c>
      <c r="AF482" t="s">
        <v>74</v>
      </c>
      <c r="AG482">
        <v>52</v>
      </c>
      <c r="AH482">
        <v>0</v>
      </c>
      <c r="AI482">
        <v>0</v>
      </c>
      <c r="AJ482">
        <v>0</v>
      </c>
      <c r="AK482">
        <v>0</v>
      </c>
      <c r="AL482" t="s">
        <v>443</v>
      </c>
      <c r="AM482" t="s">
        <v>245</v>
      </c>
      <c r="AN482" t="s">
        <v>444</v>
      </c>
      <c r="AO482" t="s">
        <v>7727</v>
      </c>
      <c r="AP482" t="s">
        <v>74</v>
      </c>
      <c r="AQ482" t="s">
        <v>74</v>
      </c>
      <c r="AR482" t="s">
        <v>7716</v>
      </c>
      <c r="AS482" t="s">
        <v>7728</v>
      </c>
      <c r="AT482" t="s">
        <v>8783</v>
      </c>
      <c r="AU482">
        <v>2023</v>
      </c>
      <c r="AV482">
        <v>24</v>
      </c>
      <c r="AW482">
        <v>1</v>
      </c>
      <c r="AX482" t="s">
        <v>74</v>
      </c>
      <c r="AY482" t="s">
        <v>74</v>
      </c>
      <c r="AZ482" t="s">
        <v>74</v>
      </c>
      <c r="BA482" t="s">
        <v>74</v>
      </c>
      <c r="BB482" t="s">
        <v>74</v>
      </c>
      <c r="BC482" t="s">
        <v>74</v>
      </c>
      <c r="BD482">
        <v>512</v>
      </c>
      <c r="BE482" t="s">
        <v>9254</v>
      </c>
      <c r="BF482" t="str">
        <f>HYPERLINK("http://dx.doi.org/10.1186/s12864-023-09576-y","http://dx.doi.org/10.1186/s12864-023-09576-y")</f>
        <v>http://dx.doi.org/10.1186/s12864-023-09576-y</v>
      </c>
      <c r="BG482" t="s">
        <v>74</v>
      </c>
      <c r="BH482" t="s">
        <v>74</v>
      </c>
      <c r="BI482">
        <v>16</v>
      </c>
      <c r="BJ482" t="s">
        <v>4881</v>
      </c>
      <c r="BK482" t="s">
        <v>126</v>
      </c>
      <c r="BL482" t="s">
        <v>4881</v>
      </c>
      <c r="BM482" t="s">
        <v>9255</v>
      </c>
      <c r="BN482">
        <v>37658321</v>
      </c>
      <c r="BO482" t="s">
        <v>9256</v>
      </c>
      <c r="BP482" t="s">
        <v>74</v>
      </c>
      <c r="BQ482" t="s">
        <v>74</v>
      </c>
      <c r="BR482" t="s">
        <v>99</v>
      </c>
      <c r="BS482" t="s">
        <v>9257</v>
      </c>
      <c r="BT482" t="str">
        <f>HYPERLINK("https%3A%2F%2Fwww.webofscience.com%2Fwos%2Fwoscc%2Ffull-record%2FWOS:001059930700001","View Full Record in Web of Science")</f>
        <v>View Full Record in Web of Science</v>
      </c>
    </row>
    <row r="483" spans="1:72" x14ac:dyDescent="0.15">
      <c r="A483" t="s">
        <v>72</v>
      </c>
      <c r="B483" t="s">
        <v>9258</v>
      </c>
      <c r="C483" t="s">
        <v>74</v>
      </c>
      <c r="D483" t="s">
        <v>74</v>
      </c>
      <c r="E483" t="s">
        <v>74</v>
      </c>
      <c r="F483" t="s">
        <v>9259</v>
      </c>
      <c r="G483" t="s">
        <v>74</v>
      </c>
      <c r="H483" t="s">
        <v>74</v>
      </c>
      <c r="I483" t="s">
        <v>9260</v>
      </c>
      <c r="J483" t="s">
        <v>8971</v>
      </c>
      <c r="K483" t="s">
        <v>74</v>
      </c>
      <c r="L483" t="s">
        <v>74</v>
      </c>
      <c r="M483" t="s">
        <v>78</v>
      </c>
      <c r="N483" t="s">
        <v>79</v>
      </c>
      <c r="O483" t="s">
        <v>74</v>
      </c>
      <c r="P483" t="s">
        <v>74</v>
      </c>
      <c r="Q483" t="s">
        <v>74</v>
      </c>
      <c r="R483" t="s">
        <v>74</v>
      </c>
      <c r="S483" t="s">
        <v>74</v>
      </c>
      <c r="T483" t="s">
        <v>9261</v>
      </c>
      <c r="U483" t="s">
        <v>9262</v>
      </c>
      <c r="V483" t="s">
        <v>9263</v>
      </c>
      <c r="W483" t="s">
        <v>9264</v>
      </c>
      <c r="X483" t="s">
        <v>9265</v>
      </c>
      <c r="Y483" t="s">
        <v>9266</v>
      </c>
      <c r="Z483" t="s">
        <v>9267</v>
      </c>
      <c r="AA483" t="s">
        <v>74</v>
      </c>
      <c r="AB483" t="s">
        <v>9268</v>
      </c>
      <c r="AC483" t="s">
        <v>74</v>
      </c>
      <c r="AD483" t="s">
        <v>74</v>
      </c>
      <c r="AE483" t="s">
        <v>74</v>
      </c>
      <c r="AF483" t="s">
        <v>74</v>
      </c>
      <c r="AG483">
        <v>71</v>
      </c>
      <c r="AH483">
        <v>0</v>
      </c>
      <c r="AI483">
        <v>0</v>
      </c>
      <c r="AJ483">
        <v>4</v>
      </c>
      <c r="AK483">
        <v>4</v>
      </c>
      <c r="AL483" t="s">
        <v>172</v>
      </c>
      <c r="AM483" t="s">
        <v>173</v>
      </c>
      <c r="AN483" t="s">
        <v>174</v>
      </c>
      <c r="AO483" t="s">
        <v>8976</v>
      </c>
      <c r="AP483" t="s">
        <v>8977</v>
      </c>
      <c r="AQ483" t="s">
        <v>74</v>
      </c>
      <c r="AR483" t="s">
        <v>8978</v>
      </c>
      <c r="AS483" t="s">
        <v>8979</v>
      </c>
      <c r="AT483" t="s">
        <v>8614</v>
      </c>
      <c r="AU483">
        <v>2023</v>
      </c>
      <c r="AV483">
        <v>23</v>
      </c>
      <c r="AW483">
        <v>3</v>
      </c>
      <c r="AX483" t="s">
        <v>74</v>
      </c>
      <c r="AY483" t="s">
        <v>74</v>
      </c>
      <c r="AZ483" t="s">
        <v>74</v>
      </c>
      <c r="BA483" t="s">
        <v>74</v>
      </c>
      <c r="BB483" t="s">
        <v>74</v>
      </c>
      <c r="BC483" t="s">
        <v>74</v>
      </c>
      <c r="BD483">
        <v>103</v>
      </c>
      <c r="BE483" t="s">
        <v>9269</v>
      </c>
      <c r="BF483" t="str">
        <f>HYPERLINK("http://dx.doi.org/10.1007/s10113-023-02096-1","http://dx.doi.org/10.1007/s10113-023-02096-1")</f>
        <v>http://dx.doi.org/10.1007/s10113-023-02096-1</v>
      </c>
      <c r="BG483" t="s">
        <v>74</v>
      </c>
      <c r="BH483" t="s">
        <v>74</v>
      </c>
      <c r="BI483">
        <v>15</v>
      </c>
      <c r="BJ483" t="s">
        <v>8981</v>
      </c>
      <c r="BK483" t="s">
        <v>2431</v>
      </c>
      <c r="BL483" t="s">
        <v>1347</v>
      </c>
      <c r="BM483" t="s">
        <v>9270</v>
      </c>
      <c r="BN483" t="s">
        <v>74</v>
      </c>
      <c r="BO483" t="s">
        <v>74</v>
      </c>
      <c r="BP483" t="s">
        <v>74</v>
      </c>
      <c r="BQ483" t="s">
        <v>74</v>
      </c>
      <c r="BR483" t="s">
        <v>99</v>
      </c>
      <c r="BS483" t="s">
        <v>9271</v>
      </c>
      <c r="BT483" t="str">
        <f>HYPERLINK("https%3A%2F%2Fwww.webofscience.com%2Fwos%2Fwoscc%2Ffull-record%2FWOS:001040324000003","View Full Record in Web of Science")</f>
        <v>View Full Record in Web of Science</v>
      </c>
    </row>
    <row r="484" spans="1:72" x14ac:dyDescent="0.15">
      <c r="A484" t="s">
        <v>72</v>
      </c>
      <c r="B484" t="s">
        <v>9272</v>
      </c>
      <c r="C484" t="s">
        <v>74</v>
      </c>
      <c r="D484" t="s">
        <v>74</v>
      </c>
      <c r="E484" t="s">
        <v>74</v>
      </c>
      <c r="F484" t="s">
        <v>9273</v>
      </c>
      <c r="G484" t="s">
        <v>74</v>
      </c>
      <c r="H484" t="s">
        <v>74</v>
      </c>
      <c r="I484" t="s">
        <v>9274</v>
      </c>
      <c r="J484" t="s">
        <v>8905</v>
      </c>
      <c r="K484" t="s">
        <v>74</v>
      </c>
      <c r="L484" t="s">
        <v>74</v>
      </c>
      <c r="M484" t="s">
        <v>78</v>
      </c>
      <c r="N484" t="s">
        <v>79</v>
      </c>
      <c r="O484" t="s">
        <v>74</v>
      </c>
      <c r="P484" t="s">
        <v>74</v>
      </c>
      <c r="Q484" t="s">
        <v>74</v>
      </c>
      <c r="R484" t="s">
        <v>74</v>
      </c>
      <c r="S484" t="s">
        <v>74</v>
      </c>
      <c r="T484" t="s">
        <v>9275</v>
      </c>
      <c r="U484" t="s">
        <v>9276</v>
      </c>
      <c r="V484" t="s">
        <v>9277</v>
      </c>
      <c r="W484" t="s">
        <v>9278</v>
      </c>
      <c r="X484" t="s">
        <v>9279</v>
      </c>
      <c r="Y484" t="s">
        <v>9280</v>
      </c>
      <c r="Z484" t="s">
        <v>9281</v>
      </c>
      <c r="AA484" t="s">
        <v>9282</v>
      </c>
      <c r="AB484" t="s">
        <v>9283</v>
      </c>
      <c r="AC484" t="s">
        <v>9284</v>
      </c>
      <c r="AD484" t="s">
        <v>9285</v>
      </c>
      <c r="AE484" t="s">
        <v>9286</v>
      </c>
      <c r="AF484" t="s">
        <v>74</v>
      </c>
      <c r="AG484">
        <v>59</v>
      </c>
      <c r="AH484">
        <v>0</v>
      </c>
      <c r="AI484">
        <v>0</v>
      </c>
      <c r="AJ484">
        <v>2</v>
      </c>
      <c r="AK484">
        <v>2</v>
      </c>
      <c r="AL484" t="s">
        <v>117</v>
      </c>
      <c r="AM484" t="s">
        <v>118</v>
      </c>
      <c r="AN484" t="s">
        <v>119</v>
      </c>
      <c r="AO484" t="s">
        <v>8917</v>
      </c>
      <c r="AP484" t="s">
        <v>8918</v>
      </c>
      <c r="AQ484" t="s">
        <v>74</v>
      </c>
      <c r="AR484" t="s">
        <v>8905</v>
      </c>
      <c r="AS484" t="s">
        <v>8919</v>
      </c>
      <c r="AT484" t="s">
        <v>8614</v>
      </c>
      <c r="AU484">
        <v>2023</v>
      </c>
      <c r="AV484">
        <v>258</v>
      </c>
      <c r="AW484">
        <v>3</v>
      </c>
      <c r="AX484" t="s">
        <v>74</v>
      </c>
      <c r="AY484" t="s">
        <v>74</v>
      </c>
      <c r="AZ484" t="s">
        <v>74</v>
      </c>
      <c r="BA484" t="s">
        <v>74</v>
      </c>
      <c r="BB484" t="s">
        <v>74</v>
      </c>
      <c r="BC484" t="s">
        <v>74</v>
      </c>
      <c r="BD484">
        <v>52</v>
      </c>
      <c r="BE484" t="s">
        <v>9287</v>
      </c>
      <c r="BF484" t="str">
        <f>HYPERLINK("http://dx.doi.org/10.1007/s00425-023-04210-3","http://dx.doi.org/10.1007/s00425-023-04210-3")</f>
        <v>http://dx.doi.org/10.1007/s00425-023-04210-3</v>
      </c>
      <c r="BG484" t="s">
        <v>74</v>
      </c>
      <c r="BH484" t="s">
        <v>74</v>
      </c>
      <c r="BI484">
        <v>17</v>
      </c>
      <c r="BJ484" t="s">
        <v>8921</v>
      </c>
      <c r="BK484" t="s">
        <v>126</v>
      </c>
      <c r="BL484" t="s">
        <v>8921</v>
      </c>
      <c r="BM484" t="s">
        <v>9288</v>
      </c>
      <c r="BN484">
        <v>37491477</v>
      </c>
      <c r="BO484" t="s">
        <v>74</v>
      </c>
      <c r="BP484" t="s">
        <v>74</v>
      </c>
      <c r="BQ484" t="s">
        <v>74</v>
      </c>
      <c r="BR484" t="s">
        <v>99</v>
      </c>
      <c r="BS484" t="s">
        <v>9289</v>
      </c>
      <c r="BT484" t="str">
        <f>HYPERLINK("https%3A%2F%2Fwww.webofscience.com%2Fwos%2Fwoscc%2Ffull-record%2FWOS:001036832200002","View Full Record in Web of Science")</f>
        <v>View Full Record in Web of Science</v>
      </c>
    </row>
    <row r="485" spans="1:72" x14ac:dyDescent="0.15">
      <c r="A485" t="s">
        <v>72</v>
      </c>
      <c r="B485" t="s">
        <v>9290</v>
      </c>
      <c r="C485" t="s">
        <v>74</v>
      </c>
      <c r="D485" t="s">
        <v>74</v>
      </c>
      <c r="E485" t="s">
        <v>74</v>
      </c>
      <c r="F485" t="s">
        <v>9291</v>
      </c>
      <c r="G485" t="s">
        <v>74</v>
      </c>
      <c r="H485" t="s">
        <v>74</v>
      </c>
      <c r="I485" t="s">
        <v>9292</v>
      </c>
      <c r="J485" t="s">
        <v>598</v>
      </c>
      <c r="K485" t="s">
        <v>74</v>
      </c>
      <c r="L485" t="s">
        <v>74</v>
      </c>
      <c r="M485" t="s">
        <v>78</v>
      </c>
      <c r="N485" t="s">
        <v>79</v>
      </c>
      <c r="O485" t="s">
        <v>74</v>
      </c>
      <c r="P485" t="s">
        <v>74</v>
      </c>
      <c r="Q485" t="s">
        <v>74</v>
      </c>
      <c r="R485" t="s">
        <v>74</v>
      </c>
      <c r="S485" t="s">
        <v>74</v>
      </c>
      <c r="T485" t="s">
        <v>9293</v>
      </c>
      <c r="U485" t="s">
        <v>9294</v>
      </c>
      <c r="V485" t="s">
        <v>9295</v>
      </c>
      <c r="W485" t="s">
        <v>9296</v>
      </c>
      <c r="X485" t="s">
        <v>9297</v>
      </c>
      <c r="Y485" t="s">
        <v>9298</v>
      </c>
      <c r="Z485" t="s">
        <v>9299</v>
      </c>
      <c r="AA485" t="s">
        <v>9300</v>
      </c>
      <c r="AB485" t="s">
        <v>9301</v>
      </c>
      <c r="AC485" t="s">
        <v>9302</v>
      </c>
      <c r="AD485" t="s">
        <v>9303</v>
      </c>
      <c r="AE485" t="s">
        <v>9304</v>
      </c>
      <c r="AF485" t="s">
        <v>74</v>
      </c>
      <c r="AG485">
        <v>24</v>
      </c>
      <c r="AH485">
        <v>2</v>
      </c>
      <c r="AI485">
        <v>2</v>
      </c>
      <c r="AJ485">
        <v>3</v>
      </c>
      <c r="AK485">
        <v>3</v>
      </c>
      <c r="AL485" t="s">
        <v>219</v>
      </c>
      <c r="AM485" t="s">
        <v>220</v>
      </c>
      <c r="AN485" t="s">
        <v>221</v>
      </c>
      <c r="AO485" t="s">
        <v>608</v>
      </c>
      <c r="AP485" t="s">
        <v>609</v>
      </c>
      <c r="AQ485" t="s">
        <v>74</v>
      </c>
      <c r="AR485" t="s">
        <v>610</v>
      </c>
      <c r="AS485" t="s">
        <v>611</v>
      </c>
      <c r="AT485" t="s">
        <v>8614</v>
      </c>
      <c r="AU485">
        <v>2023</v>
      </c>
      <c r="AV485">
        <v>22</v>
      </c>
      <c r="AW485">
        <v>3</v>
      </c>
      <c r="AX485" t="s">
        <v>74</v>
      </c>
      <c r="AY485" t="s">
        <v>74</v>
      </c>
      <c r="AZ485" t="s">
        <v>74</v>
      </c>
      <c r="BA485" t="s">
        <v>74</v>
      </c>
      <c r="BB485" t="s">
        <v>74</v>
      </c>
      <c r="BC485" t="s">
        <v>74</v>
      </c>
      <c r="BD485">
        <v>97</v>
      </c>
      <c r="BE485" t="s">
        <v>9305</v>
      </c>
      <c r="BF485" t="str">
        <f>HYPERLINK("http://dx.doi.org/10.1007/s12346-023-00784-1","http://dx.doi.org/10.1007/s12346-023-00784-1")</f>
        <v>http://dx.doi.org/10.1007/s12346-023-00784-1</v>
      </c>
      <c r="BG485" t="s">
        <v>74</v>
      </c>
      <c r="BH485" t="s">
        <v>74</v>
      </c>
      <c r="BI485">
        <v>20</v>
      </c>
      <c r="BJ485" t="s">
        <v>227</v>
      </c>
      <c r="BK485" t="s">
        <v>126</v>
      </c>
      <c r="BL485" t="s">
        <v>228</v>
      </c>
      <c r="BM485" t="s">
        <v>9306</v>
      </c>
      <c r="BN485" t="s">
        <v>74</v>
      </c>
      <c r="BO485" t="s">
        <v>327</v>
      </c>
      <c r="BP485" t="s">
        <v>74</v>
      </c>
      <c r="BQ485" t="s">
        <v>74</v>
      </c>
      <c r="BR485" t="s">
        <v>99</v>
      </c>
      <c r="BS485" t="s">
        <v>9307</v>
      </c>
      <c r="BT485" t="str">
        <f>HYPERLINK("https%3A%2F%2Fwww.webofscience.com%2Fwos%2Fwoscc%2Ffull-record%2FWOS:000981011600002","View Full Record in Web of Science")</f>
        <v>View Full Record in Web of Science</v>
      </c>
    </row>
    <row r="486" spans="1:72" x14ac:dyDescent="0.15">
      <c r="A486" t="s">
        <v>72</v>
      </c>
      <c r="B486" t="s">
        <v>9308</v>
      </c>
      <c r="C486" t="s">
        <v>74</v>
      </c>
      <c r="D486" t="s">
        <v>74</v>
      </c>
      <c r="E486" t="s">
        <v>74</v>
      </c>
      <c r="F486" t="s">
        <v>9309</v>
      </c>
      <c r="G486" t="s">
        <v>74</v>
      </c>
      <c r="H486" t="s">
        <v>74</v>
      </c>
      <c r="I486" t="s">
        <v>9310</v>
      </c>
      <c r="J486" t="s">
        <v>9311</v>
      </c>
      <c r="K486" t="s">
        <v>74</v>
      </c>
      <c r="L486" t="s">
        <v>74</v>
      </c>
      <c r="M486" t="s">
        <v>78</v>
      </c>
      <c r="N486" t="s">
        <v>1246</v>
      </c>
      <c r="O486" t="s">
        <v>74</v>
      </c>
      <c r="P486" t="s">
        <v>74</v>
      </c>
      <c r="Q486" t="s">
        <v>74</v>
      </c>
      <c r="R486" t="s">
        <v>74</v>
      </c>
      <c r="S486" t="s">
        <v>74</v>
      </c>
      <c r="T486" t="s">
        <v>9312</v>
      </c>
      <c r="U486" t="s">
        <v>9313</v>
      </c>
      <c r="V486" t="s">
        <v>9314</v>
      </c>
      <c r="W486" t="s">
        <v>9315</v>
      </c>
      <c r="X486" t="s">
        <v>9316</v>
      </c>
      <c r="Y486" t="s">
        <v>9317</v>
      </c>
      <c r="Z486" t="s">
        <v>9318</v>
      </c>
      <c r="AA486" t="s">
        <v>74</v>
      </c>
      <c r="AB486" t="s">
        <v>74</v>
      </c>
      <c r="AC486" t="s">
        <v>9319</v>
      </c>
      <c r="AD486" t="s">
        <v>9319</v>
      </c>
      <c r="AE486" t="s">
        <v>9319</v>
      </c>
      <c r="AF486" t="s">
        <v>74</v>
      </c>
      <c r="AG486">
        <v>31</v>
      </c>
      <c r="AH486">
        <v>0</v>
      </c>
      <c r="AI486">
        <v>0</v>
      </c>
      <c r="AJ486">
        <v>0</v>
      </c>
      <c r="AK486">
        <v>0</v>
      </c>
      <c r="AL486" t="s">
        <v>117</v>
      </c>
      <c r="AM486" t="s">
        <v>118</v>
      </c>
      <c r="AN486" t="s">
        <v>119</v>
      </c>
      <c r="AO486" t="s">
        <v>9320</v>
      </c>
      <c r="AP486" t="s">
        <v>9321</v>
      </c>
      <c r="AQ486" t="s">
        <v>74</v>
      </c>
      <c r="AR486" t="s">
        <v>9322</v>
      </c>
      <c r="AS486" t="s">
        <v>9323</v>
      </c>
      <c r="AT486" t="s">
        <v>8746</v>
      </c>
      <c r="AU486">
        <v>2023</v>
      </c>
      <c r="AV486" t="s">
        <v>74</v>
      </c>
      <c r="AW486" t="s">
        <v>74</v>
      </c>
      <c r="AX486" t="s">
        <v>74</v>
      </c>
      <c r="AY486" t="s">
        <v>74</v>
      </c>
      <c r="AZ486" t="s">
        <v>74</v>
      </c>
      <c r="BA486" t="s">
        <v>74</v>
      </c>
      <c r="BB486" t="s">
        <v>74</v>
      </c>
      <c r="BC486" t="s">
        <v>74</v>
      </c>
      <c r="BD486" t="s">
        <v>74</v>
      </c>
      <c r="BE486" t="s">
        <v>9324</v>
      </c>
      <c r="BF486" t="str">
        <f>HYPERLINK("http://dx.doi.org/10.1007/s12529-023-10217-7","http://dx.doi.org/10.1007/s12529-023-10217-7")</f>
        <v>http://dx.doi.org/10.1007/s12529-023-10217-7</v>
      </c>
      <c r="BG486" t="s">
        <v>74</v>
      </c>
      <c r="BH486" t="s">
        <v>2079</v>
      </c>
      <c r="BI486">
        <v>11</v>
      </c>
      <c r="BJ486" t="s">
        <v>9325</v>
      </c>
      <c r="BK486" t="s">
        <v>425</v>
      </c>
      <c r="BL486" t="s">
        <v>2907</v>
      </c>
      <c r="BM486" t="s">
        <v>9326</v>
      </c>
      <c r="BN486">
        <v>37656308</v>
      </c>
      <c r="BO486" t="s">
        <v>183</v>
      </c>
      <c r="BP486" t="s">
        <v>74</v>
      </c>
      <c r="BQ486" t="s">
        <v>74</v>
      </c>
      <c r="BR486" t="s">
        <v>99</v>
      </c>
      <c r="BS486" t="s">
        <v>9327</v>
      </c>
      <c r="BT486" t="str">
        <f>HYPERLINK("https%3A%2F%2Fwww.webofscience.com%2Fwos%2Fwoscc%2Ffull-record%2FWOS:001056290200002","View Full Record in Web of Science")</f>
        <v>View Full Record in Web of Science</v>
      </c>
    </row>
    <row r="487" spans="1:72" x14ac:dyDescent="0.15">
      <c r="A487" t="s">
        <v>72</v>
      </c>
      <c r="B487" t="s">
        <v>9328</v>
      </c>
      <c r="C487" t="s">
        <v>74</v>
      </c>
      <c r="D487" t="s">
        <v>74</v>
      </c>
      <c r="E487" t="s">
        <v>74</v>
      </c>
      <c r="F487" t="s">
        <v>9329</v>
      </c>
      <c r="G487" t="s">
        <v>74</v>
      </c>
      <c r="H487" t="s">
        <v>74</v>
      </c>
      <c r="I487" t="s">
        <v>9330</v>
      </c>
      <c r="J487" t="s">
        <v>1145</v>
      </c>
      <c r="K487" t="s">
        <v>74</v>
      </c>
      <c r="L487" t="s">
        <v>74</v>
      </c>
      <c r="M487" t="s">
        <v>78</v>
      </c>
      <c r="N487" t="s">
        <v>79</v>
      </c>
      <c r="O487" t="s">
        <v>74</v>
      </c>
      <c r="P487" t="s">
        <v>74</v>
      </c>
      <c r="Q487" t="s">
        <v>74</v>
      </c>
      <c r="R487" t="s">
        <v>74</v>
      </c>
      <c r="S487" t="s">
        <v>74</v>
      </c>
      <c r="T487" t="s">
        <v>9331</v>
      </c>
      <c r="U487" t="s">
        <v>9332</v>
      </c>
      <c r="V487" t="s">
        <v>9333</v>
      </c>
      <c r="W487" t="s">
        <v>9334</v>
      </c>
      <c r="X487" t="s">
        <v>9335</v>
      </c>
      <c r="Y487" t="s">
        <v>9336</v>
      </c>
      <c r="Z487" t="s">
        <v>9337</v>
      </c>
      <c r="AA487" t="s">
        <v>74</v>
      </c>
      <c r="AB487" t="s">
        <v>74</v>
      </c>
      <c r="AC487" t="s">
        <v>74</v>
      </c>
      <c r="AD487" t="s">
        <v>74</v>
      </c>
      <c r="AE487" t="s">
        <v>74</v>
      </c>
      <c r="AF487" t="s">
        <v>74</v>
      </c>
      <c r="AG487">
        <v>54</v>
      </c>
      <c r="AH487">
        <v>0</v>
      </c>
      <c r="AI487">
        <v>0</v>
      </c>
      <c r="AJ487">
        <v>2</v>
      </c>
      <c r="AK487">
        <v>2</v>
      </c>
      <c r="AL487" t="s">
        <v>117</v>
      </c>
      <c r="AM487" t="s">
        <v>627</v>
      </c>
      <c r="AN487" t="s">
        <v>628</v>
      </c>
      <c r="AO487" t="s">
        <v>1157</v>
      </c>
      <c r="AP487" t="s">
        <v>1158</v>
      </c>
      <c r="AQ487" t="s">
        <v>74</v>
      </c>
      <c r="AR487" t="s">
        <v>1159</v>
      </c>
      <c r="AS487" t="s">
        <v>1160</v>
      </c>
      <c r="AT487" t="s">
        <v>8614</v>
      </c>
      <c r="AU487">
        <v>2023</v>
      </c>
      <c r="AV487">
        <v>55</v>
      </c>
      <c r="AW487">
        <v>9</v>
      </c>
      <c r="AX487" t="s">
        <v>74</v>
      </c>
      <c r="AY487" t="s">
        <v>74</v>
      </c>
      <c r="AZ487" t="s">
        <v>74</v>
      </c>
      <c r="BA487" t="s">
        <v>74</v>
      </c>
      <c r="BB487" t="s">
        <v>74</v>
      </c>
      <c r="BC487" t="s">
        <v>74</v>
      </c>
      <c r="BD487" t="s">
        <v>74</v>
      </c>
      <c r="BE487" t="s">
        <v>9338</v>
      </c>
      <c r="BF487" t="str">
        <f>HYPERLINK("http://dx.doi.org/10.1007/s11082-023-05055-6","http://dx.doi.org/10.1007/s11082-023-05055-6")</f>
        <v>http://dx.doi.org/10.1007/s11082-023-05055-6</v>
      </c>
      <c r="BG487" t="s">
        <v>74</v>
      </c>
      <c r="BH487" t="s">
        <v>74</v>
      </c>
      <c r="BI487">
        <v>17</v>
      </c>
      <c r="BJ487" t="s">
        <v>1162</v>
      </c>
      <c r="BK487" t="s">
        <v>126</v>
      </c>
      <c r="BL487" t="s">
        <v>1163</v>
      </c>
      <c r="BM487" t="s">
        <v>9339</v>
      </c>
      <c r="BN487" t="s">
        <v>74</v>
      </c>
      <c r="BO487" t="s">
        <v>74</v>
      </c>
      <c r="BP487" t="s">
        <v>74</v>
      </c>
      <c r="BQ487" t="s">
        <v>74</v>
      </c>
      <c r="BR487" t="s">
        <v>99</v>
      </c>
      <c r="BS487" t="s">
        <v>9340</v>
      </c>
      <c r="BT487" t="str">
        <f>HYPERLINK("https%3A%2F%2Fwww.webofscience.com%2Fwos%2Fwoscc%2Ffull-record%2FWOS:001022709300024","View Full Record in Web of Science")</f>
        <v>View Full Record in Web of Science</v>
      </c>
    </row>
    <row r="488" spans="1:72" x14ac:dyDescent="0.15">
      <c r="A488" t="s">
        <v>72</v>
      </c>
      <c r="B488" t="s">
        <v>9341</v>
      </c>
      <c r="C488" t="s">
        <v>74</v>
      </c>
      <c r="D488" t="s">
        <v>74</v>
      </c>
      <c r="E488" t="s">
        <v>74</v>
      </c>
      <c r="F488" t="s">
        <v>9342</v>
      </c>
      <c r="G488" t="s">
        <v>74</v>
      </c>
      <c r="H488" t="s">
        <v>74</v>
      </c>
      <c r="I488" t="s">
        <v>9343</v>
      </c>
      <c r="J488" t="s">
        <v>9344</v>
      </c>
      <c r="K488" t="s">
        <v>74</v>
      </c>
      <c r="L488" t="s">
        <v>74</v>
      </c>
      <c r="M488" t="s">
        <v>78</v>
      </c>
      <c r="N488" t="s">
        <v>79</v>
      </c>
      <c r="O488" t="s">
        <v>74</v>
      </c>
      <c r="P488" t="s">
        <v>74</v>
      </c>
      <c r="Q488" t="s">
        <v>74</v>
      </c>
      <c r="R488" t="s">
        <v>74</v>
      </c>
      <c r="S488" t="s">
        <v>74</v>
      </c>
      <c r="T488" t="s">
        <v>9345</v>
      </c>
      <c r="U488" t="s">
        <v>74</v>
      </c>
      <c r="V488" t="s">
        <v>9346</v>
      </c>
      <c r="W488" t="s">
        <v>9347</v>
      </c>
      <c r="X488" t="s">
        <v>9348</v>
      </c>
      <c r="Y488" t="s">
        <v>9349</v>
      </c>
      <c r="Z488" t="s">
        <v>9350</v>
      </c>
      <c r="AA488" t="s">
        <v>9351</v>
      </c>
      <c r="AB488" t="s">
        <v>9352</v>
      </c>
      <c r="AC488" t="s">
        <v>9353</v>
      </c>
      <c r="AD488" t="s">
        <v>9354</v>
      </c>
      <c r="AE488" t="s">
        <v>9355</v>
      </c>
      <c r="AF488" t="s">
        <v>74</v>
      </c>
      <c r="AG488">
        <v>59</v>
      </c>
      <c r="AH488">
        <v>0</v>
      </c>
      <c r="AI488">
        <v>0</v>
      </c>
      <c r="AJ488">
        <v>1</v>
      </c>
      <c r="AK488">
        <v>3</v>
      </c>
      <c r="AL488" t="s">
        <v>117</v>
      </c>
      <c r="AM488" t="s">
        <v>627</v>
      </c>
      <c r="AN488" t="s">
        <v>628</v>
      </c>
      <c r="AO488" t="s">
        <v>9356</v>
      </c>
      <c r="AP488" t="s">
        <v>9357</v>
      </c>
      <c r="AQ488" t="s">
        <v>74</v>
      </c>
      <c r="AR488" t="s">
        <v>9358</v>
      </c>
      <c r="AS488" t="s">
        <v>9359</v>
      </c>
      <c r="AT488" t="s">
        <v>8614</v>
      </c>
      <c r="AU488">
        <v>2023</v>
      </c>
      <c r="AV488">
        <v>37</v>
      </c>
      <c r="AW488">
        <v>5</v>
      </c>
      <c r="AX488" t="s">
        <v>74</v>
      </c>
      <c r="AY488" t="s">
        <v>74</v>
      </c>
      <c r="AZ488" t="s">
        <v>74</v>
      </c>
      <c r="BA488" t="s">
        <v>74</v>
      </c>
      <c r="BB488">
        <v>1930</v>
      </c>
      <c r="BC488">
        <v>1958</v>
      </c>
      <c r="BD488" t="s">
        <v>74</v>
      </c>
      <c r="BE488" t="s">
        <v>9360</v>
      </c>
      <c r="BF488" t="str">
        <f>HYPERLINK("http://dx.doi.org/10.1007/s10618-023-00922-y","http://dx.doi.org/10.1007/s10618-023-00922-y")</f>
        <v>http://dx.doi.org/10.1007/s10618-023-00922-y</v>
      </c>
      <c r="BG488" t="s">
        <v>74</v>
      </c>
      <c r="BH488" t="s">
        <v>74</v>
      </c>
      <c r="BI488">
        <v>29</v>
      </c>
      <c r="BJ488" t="s">
        <v>3818</v>
      </c>
      <c r="BK488" t="s">
        <v>126</v>
      </c>
      <c r="BL488" t="s">
        <v>1139</v>
      </c>
      <c r="BM488" t="s">
        <v>9361</v>
      </c>
      <c r="BN488" t="s">
        <v>74</v>
      </c>
      <c r="BO488" t="s">
        <v>74</v>
      </c>
      <c r="BP488" t="s">
        <v>74</v>
      </c>
      <c r="BQ488" t="s">
        <v>74</v>
      </c>
      <c r="BR488" t="s">
        <v>99</v>
      </c>
      <c r="BS488" t="s">
        <v>9362</v>
      </c>
      <c r="BT488" t="str">
        <f>HYPERLINK("https%3A%2F%2Fwww.webofscience.com%2Fwos%2Fwoscc%2Ffull-record%2FWOS:001049013300004","View Full Record in Web of Science")</f>
        <v>View Full Record in Web of Science</v>
      </c>
    </row>
    <row r="489" spans="1:72" x14ac:dyDescent="0.15">
      <c r="A489" t="s">
        <v>72</v>
      </c>
      <c r="B489" t="s">
        <v>9363</v>
      </c>
      <c r="C489" t="s">
        <v>74</v>
      </c>
      <c r="D489" t="s">
        <v>74</v>
      </c>
      <c r="E489" t="s">
        <v>74</v>
      </c>
      <c r="F489" t="s">
        <v>9364</v>
      </c>
      <c r="G489" t="s">
        <v>74</v>
      </c>
      <c r="H489" t="s">
        <v>74</v>
      </c>
      <c r="I489" t="s">
        <v>9365</v>
      </c>
      <c r="J489" t="s">
        <v>8905</v>
      </c>
      <c r="K489" t="s">
        <v>74</v>
      </c>
      <c r="L489" t="s">
        <v>74</v>
      </c>
      <c r="M489" t="s">
        <v>78</v>
      </c>
      <c r="N489" t="s">
        <v>79</v>
      </c>
      <c r="O489" t="s">
        <v>74</v>
      </c>
      <c r="P489" t="s">
        <v>74</v>
      </c>
      <c r="Q489" t="s">
        <v>74</v>
      </c>
      <c r="R489" t="s">
        <v>74</v>
      </c>
      <c r="S489" t="s">
        <v>74</v>
      </c>
      <c r="T489" t="s">
        <v>9366</v>
      </c>
      <c r="U489" t="s">
        <v>9367</v>
      </c>
      <c r="V489" t="s">
        <v>9368</v>
      </c>
      <c r="W489" t="s">
        <v>9369</v>
      </c>
      <c r="X489" t="s">
        <v>9370</v>
      </c>
      <c r="Y489" t="s">
        <v>9371</v>
      </c>
      <c r="Z489" t="s">
        <v>9372</v>
      </c>
      <c r="AA489" t="s">
        <v>9373</v>
      </c>
      <c r="AB489" t="s">
        <v>9374</v>
      </c>
      <c r="AC489" t="s">
        <v>9375</v>
      </c>
      <c r="AD489" t="s">
        <v>9376</v>
      </c>
      <c r="AE489" t="s">
        <v>9377</v>
      </c>
      <c r="AF489" t="s">
        <v>74</v>
      </c>
      <c r="AG489">
        <v>56</v>
      </c>
      <c r="AH489">
        <v>0</v>
      </c>
      <c r="AI489">
        <v>0</v>
      </c>
      <c r="AJ489">
        <v>1</v>
      </c>
      <c r="AK489">
        <v>1</v>
      </c>
      <c r="AL489" t="s">
        <v>117</v>
      </c>
      <c r="AM489" t="s">
        <v>118</v>
      </c>
      <c r="AN489" t="s">
        <v>119</v>
      </c>
      <c r="AO489" t="s">
        <v>8917</v>
      </c>
      <c r="AP489" t="s">
        <v>8918</v>
      </c>
      <c r="AQ489" t="s">
        <v>74</v>
      </c>
      <c r="AR489" t="s">
        <v>8905</v>
      </c>
      <c r="AS489" t="s">
        <v>8919</v>
      </c>
      <c r="AT489" t="s">
        <v>8614</v>
      </c>
      <c r="AU489">
        <v>2023</v>
      </c>
      <c r="AV489">
        <v>258</v>
      </c>
      <c r="AW489">
        <v>3</v>
      </c>
      <c r="AX489" t="s">
        <v>74</v>
      </c>
      <c r="AY489" t="s">
        <v>74</v>
      </c>
      <c r="AZ489" t="s">
        <v>74</v>
      </c>
      <c r="BA489" t="s">
        <v>74</v>
      </c>
      <c r="BB489" t="s">
        <v>74</v>
      </c>
      <c r="BC489" t="s">
        <v>74</v>
      </c>
      <c r="BD489">
        <v>67</v>
      </c>
      <c r="BE489" t="s">
        <v>9378</v>
      </c>
      <c r="BF489" t="str">
        <f>HYPERLINK("http://dx.doi.org/10.1007/s00425-023-04224-x","http://dx.doi.org/10.1007/s00425-023-04224-x")</f>
        <v>http://dx.doi.org/10.1007/s00425-023-04224-x</v>
      </c>
      <c r="BG489" t="s">
        <v>74</v>
      </c>
      <c r="BH489" t="s">
        <v>74</v>
      </c>
      <c r="BI489">
        <v>15</v>
      </c>
      <c r="BJ489" t="s">
        <v>8921</v>
      </c>
      <c r="BK489" t="s">
        <v>126</v>
      </c>
      <c r="BL489" t="s">
        <v>8921</v>
      </c>
      <c r="BM489" t="s">
        <v>9379</v>
      </c>
      <c r="BN489">
        <v>37597049</v>
      </c>
      <c r="BO489" t="s">
        <v>183</v>
      </c>
      <c r="BP489" t="s">
        <v>74</v>
      </c>
      <c r="BQ489" t="s">
        <v>74</v>
      </c>
      <c r="BR489" t="s">
        <v>99</v>
      </c>
      <c r="BS489" t="s">
        <v>9380</v>
      </c>
      <c r="BT489" t="str">
        <f>HYPERLINK("https%3A%2F%2Fwww.webofscience.com%2Fwos%2Fwoscc%2Ffull-record%2FWOS:001050716500002","View Full Record in Web of Science")</f>
        <v>View Full Record in Web of Science</v>
      </c>
    </row>
    <row r="490" spans="1:72" x14ac:dyDescent="0.15">
      <c r="A490" t="s">
        <v>72</v>
      </c>
      <c r="B490" t="s">
        <v>9381</v>
      </c>
      <c r="C490" t="s">
        <v>74</v>
      </c>
      <c r="D490" t="s">
        <v>74</v>
      </c>
      <c r="E490" t="s">
        <v>74</v>
      </c>
      <c r="F490" t="s">
        <v>9382</v>
      </c>
      <c r="G490" t="s">
        <v>74</v>
      </c>
      <c r="H490" t="s">
        <v>74</v>
      </c>
      <c r="I490" t="s">
        <v>9383</v>
      </c>
      <c r="J490" t="s">
        <v>9384</v>
      </c>
      <c r="K490" t="s">
        <v>74</v>
      </c>
      <c r="L490" t="s">
        <v>74</v>
      </c>
      <c r="M490" t="s">
        <v>78</v>
      </c>
      <c r="N490" t="s">
        <v>79</v>
      </c>
      <c r="O490" t="s">
        <v>74</v>
      </c>
      <c r="P490" t="s">
        <v>74</v>
      </c>
      <c r="Q490" t="s">
        <v>74</v>
      </c>
      <c r="R490" t="s">
        <v>74</v>
      </c>
      <c r="S490" t="s">
        <v>74</v>
      </c>
      <c r="T490" t="s">
        <v>9385</v>
      </c>
      <c r="U490" t="s">
        <v>9386</v>
      </c>
      <c r="V490" t="s">
        <v>9387</v>
      </c>
      <c r="W490" t="s">
        <v>9388</v>
      </c>
      <c r="X490" t="s">
        <v>9389</v>
      </c>
      <c r="Y490" t="s">
        <v>9390</v>
      </c>
      <c r="Z490" t="s">
        <v>9391</v>
      </c>
      <c r="AA490" t="s">
        <v>74</v>
      </c>
      <c r="AB490" t="s">
        <v>74</v>
      </c>
      <c r="AC490" t="s">
        <v>74</v>
      </c>
      <c r="AD490" t="s">
        <v>74</v>
      </c>
      <c r="AE490" t="s">
        <v>74</v>
      </c>
      <c r="AF490" t="s">
        <v>74</v>
      </c>
      <c r="AG490">
        <v>66</v>
      </c>
      <c r="AH490">
        <v>0</v>
      </c>
      <c r="AI490">
        <v>0</v>
      </c>
      <c r="AJ490">
        <v>7</v>
      </c>
      <c r="AK490">
        <v>7</v>
      </c>
      <c r="AL490" t="s">
        <v>172</v>
      </c>
      <c r="AM490" t="s">
        <v>173</v>
      </c>
      <c r="AN490" t="s">
        <v>174</v>
      </c>
      <c r="AO490" t="s">
        <v>9392</v>
      </c>
      <c r="AP490" t="s">
        <v>9393</v>
      </c>
      <c r="AQ490" t="s">
        <v>74</v>
      </c>
      <c r="AR490" t="s">
        <v>9394</v>
      </c>
      <c r="AS490" t="s">
        <v>9395</v>
      </c>
      <c r="AT490" t="s">
        <v>8614</v>
      </c>
      <c r="AU490">
        <v>2023</v>
      </c>
      <c r="AV490">
        <v>23</v>
      </c>
      <c r="AW490">
        <v>3</v>
      </c>
      <c r="AX490" t="s">
        <v>74</v>
      </c>
      <c r="AY490" t="s">
        <v>74</v>
      </c>
      <c r="AZ490" t="s">
        <v>74</v>
      </c>
      <c r="BA490" t="s">
        <v>74</v>
      </c>
      <c r="BB490" t="s">
        <v>74</v>
      </c>
      <c r="BC490" t="s">
        <v>74</v>
      </c>
      <c r="BD490">
        <v>272</v>
      </c>
      <c r="BE490" t="s">
        <v>9396</v>
      </c>
      <c r="BF490" t="str">
        <f>HYPERLINK("http://dx.doi.org/10.1007/s10142-023-01203-z","http://dx.doi.org/10.1007/s10142-023-01203-z")</f>
        <v>http://dx.doi.org/10.1007/s10142-023-01203-z</v>
      </c>
      <c r="BG490" t="s">
        <v>74</v>
      </c>
      <c r="BH490" t="s">
        <v>74</v>
      </c>
      <c r="BI490">
        <v>14</v>
      </c>
      <c r="BJ490" t="s">
        <v>3740</v>
      </c>
      <c r="BK490" t="s">
        <v>126</v>
      </c>
      <c r="BL490" t="s">
        <v>3740</v>
      </c>
      <c r="BM490" t="s">
        <v>9397</v>
      </c>
      <c r="BN490">
        <v>37568053</v>
      </c>
      <c r="BO490" t="s">
        <v>674</v>
      </c>
      <c r="BP490" t="s">
        <v>74</v>
      </c>
      <c r="BQ490" t="s">
        <v>74</v>
      </c>
      <c r="BR490" t="s">
        <v>99</v>
      </c>
      <c r="BS490" t="s">
        <v>9398</v>
      </c>
      <c r="BT490" t="str">
        <f>HYPERLINK("https%3A%2F%2Fwww.webofscience.com%2Fwos%2Fwoscc%2Ffull-record%2FWOS:001048196000001","View Full Record in Web of Science")</f>
        <v>View Full Record in Web of Science</v>
      </c>
    </row>
    <row r="491" spans="1:72" x14ac:dyDescent="0.15">
      <c r="A491" t="s">
        <v>72</v>
      </c>
      <c r="B491" t="s">
        <v>9399</v>
      </c>
      <c r="C491" t="s">
        <v>74</v>
      </c>
      <c r="D491" t="s">
        <v>74</v>
      </c>
      <c r="E491" t="s">
        <v>74</v>
      </c>
      <c r="F491" t="s">
        <v>9400</v>
      </c>
      <c r="G491" t="s">
        <v>74</v>
      </c>
      <c r="H491" t="s">
        <v>74</v>
      </c>
      <c r="I491" t="s">
        <v>9401</v>
      </c>
      <c r="J491" t="s">
        <v>9402</v>
      </c>
      <c r="K491" t="s">
        <v>74</v>
      </c>
      <c r="L491" t="s">
        <v>74</v>
      </c>
      <c r="M491" t="s">
        <v>78</v>
      </c>
      <c r="N491" t="s">
        <v>79</v>
      </c>
      <c r="O491" t="s">
        <v>74</v>
      </c>
      <c r="P491" t="s">
        <v>74</v>
      </c>
      <c r="Q491" t="s">
        <v>74</v>
      </c>
      <c r="R491" t="s">
        <v>74</v>
      </c>
      <c r="S491" t="s">
        <v>74</v>
      </c>
      <c r="T491" t="s">
        <v>9403</v>
      </c>
      <c r="U491" t="s">
        <v>9404</v>
      </c>
      <c r="V491" t="s">
        <v>9405</v>
      </c>
      <c r="W491" t="s">
        <v>9406</v>
      </c>
      <c r="X491" t="s">
        <v>9407</v>
      </c>
      <c r="Y491" t="s">
        <v>9408</v>
      </c>
      <c r="Z491" t="s">
        <v>9409</v>
      </c>
      <c r="AA491" t="s">
        <v>74</v>
      </c>
      <c r="AB491" t="s">
        <v>74</v>
      </c>
      <c r="AC491" t="s">
        <v>9410</v>
      </c>
      <c r="AD491" t="s">
        <v>9411</v>
      </c>
      <c r="AE491" t="s">
        <v>9412</v>
      </c>
      <c r="AF491" t="s">
        <v>74</v>
      </c>
      <c r="AG491">
        <v>49</v>
      </c>
      <c r="AH491">
        <v>0</v>
      </c>
      <c r="AI491">
        <v>0</v>
      </c>
      <c r="AJ491">
        <v>0</v>
      </c>
      <c r="AK491">
        <v>0</v>
      </c>
      <c r="AL491" t="s">
        <v>117</v>
      </c>
      <c r="AM491" t="s">
        <v>118</v>
      </c>
      <c r="AN491" t="s">
        <v>119</v>
      </c>
      <c r="AO491" t="s">
        <v>9413</v>
      </c>
      <c r="AP491" t="s">
        <v>9414</v>
      </c>
      <c r="AQ491" t="s">
        <v>74</v>
      </c>
      <c r="AR491" t="s">
        <v>9415</v>
      </c>
      <c r="AS491" t="s">
        <v>9416</v>
      </c>
      <c r="AT491" t="s">
        <v>8614</v>
      </c>
      <c r="AU491">
        <v>2023</v>
      </c>
      <c r="AV491">
        <v>30</v>
      </c>
      <c r="AW491">
        <v>9</v>
      </c>
      <c r="AX491" t="s">
        <v>74</v>
      </c>
      <c r="AY491" t="s">
        <v>74</v>
      </c>
      <c r="AZ491" t="s">
        <v>74</v>
      </c>
      <c r="BA491" t="s">
        <v>74</v>
      </c>
      <c r="BB491">
        <v>1692</v>
      </c>
      <c r="BC491">
        <v>1704</v>
      </c>
      <c r="BD491" t="s">
        <v>74</v>
      </c>
      <c r="BE491" t="s">
        <v>9417</v>
      </c>
      <c r="BF491" t="str">
        <f>HYPERLINK("http://dx.doi.org/10.1007/s12613-022-2563-8","http://dx.doi.org/10.1007/s12613-022-2563-8")</f>
        <v>http://dx.doi.org/10.1007/s12613-022-2563-8</v>
      </c>
      <c r="BG491" t="s">
        <v>74</v>
      </c>
      <c r="BH491" t="s">
        <v>74</v>
      </c>
      <c r="BI491">
        <v>13</v>
      </c>
      <c r="BJ491" t="s">
        <v>9418</v>
      </c>
      <c r="BK491" t="s">
        <v>126</v>
      </c>
      <c r="BL491" t="s">
        <v>9419</v>
      </c>
      <c r="BM491" t="s">
        <v>9420</v>
      </c>
      <c r="BN491" t="s">
        <v>74</v>
      </c>
      <c r="BO491" t="s">
        <v>74</v>
      </c>
      <c r="BP491" t="s">
        <v>74</v>
      </c>
      <c r="BQ491" t="s">
        <v>74</v>
      </c>
      <c r="BR491" t="s">
        <v>99</v>
      </c>
      <c r="BS491" t="s">
        <v>9421</v>
      </c>
      <c r="BT491" t="str">
        <f>HYPERLINK("https%3A%2F%2Fwww.webofscience.com%2Fwos%2Fwoscc%2Ffull-record%2FWOS:001054759000006","View Full Record in Web of Science")</f>
        <v>View Full Record in Web of Science</v>
      </c>
    </row>
    <row r="492" spans="1:72" x14ac:dyDescent="0.15">
      <c r="A492" t="s">
        <v>72</v>
      </c>
      <c r="B492" t="s">
        <v>9422</v>
      </c>
      <c r="C492" t="s">
        <v>74</v>
      </c>
      <c r="D492" t="s">
        <v>74</v>
      </c>
      <c r="E492" t="s">
        <v>74</v>
      </c>
      <c r="F492" t="s">
        <v>9423</v>
      </c>
      <c r="G492" t="s">
        <v>74</v>
      </c>
      <c r="H492" t="s">
        <v>74</v>
      </c>
      <c r="I492" t="s">
        <v>9424</v>
      </c>
      <c r="J492" t="s">
        <v>9425</v>
      </c>
      <c r="K492" t="s">
        <v>74</v>
      </c>
      <c r="L492" t="s">
        <v>74</v>
      </c>
      <c r="M492" t="s">
        <v>78</v>
      </c>
      <c r="N492" t="s">
        <v>1246</v>
      </c>
      <c r="O492" t="s">
        <v>74</v>
      </c>
      <c r="P492" t="s">
        <v>74</v>
      </c>
      <c r="Q492" t="s">
        <v>74</v>
      </c>
      <c r="R492" t="s">
        <v>74</v>
      </c>
      <c r="S492" t="s">
        <v>74</v>
      </c>
      <c r="T492" t="s">
        <v>9426</v>
      </c>
      <c r="U492" t="s">
        <v>9427</v>
      </c>
      <c r="V492" t="s">
        <v>9428</v>
      </c>
      <c r="W492" t="s">
        <v>9429</v>
      </c>
      <c r="X492" t="s">
        <v>9430</v>
      </c>
      <c r="Y492" t="s">
        <v>9431</v>
      </c>
      <c r="Z492" t="s">
        <v>9432</v>
      </c>
      <c r="AA492" t="s">
        <v>74</v>
      </c>
      <c r="AB492" t="s">
        <v>74</v>
      </c>
      <c r="AC492" t="s">
        <v>9433</v>
      </c>
      <c r="AD492" t="s">
        <v>9434</v>
      </c>
      <c r="AE492" t="s">
        <v>9435</v>
      </c>
      <c r="AF492" t="s">
        <v>74</v>
      </c>
      <c r="AG492">
        <v>33</v>
      </c>
      <c r="AH492">
        <v>0</v>
      </c>
      <c r="AI492">
        <v>0</v>
      </c>
      <c r="AJ492">
        <v>0</v>
      </c>
      <c r="AK492">
        <v>0</v>
      </c>
      <c r="AL492" t="s">
        <v>117</v>
      </c>
      <c r="AM492" t="s">
        <v>627</v>
      </c>
      <c r="AN492" t="s">
        <v>628</v>
      </c>
      <c r="AO492" t="s">
        <v>9436</v>
      </c>
      <c r="AP492" t="s">
        <v>9437</v>
      </c>
      <c r="AQ492" t="s">
        <v>74</v>
      </c>
      <c r="AR492" t="s">
        <v>9438</v>
      </c>
      <c r="AS492" t="s">
        <v>9439</v>
      </c>
      <c r="AT492" t="s">
        <v>8746</v>
      </c>
      <c r="AU492">
        <v>2023</v>
      </c>
      <c r="AV492" t="s">
        <v>74</v>
      </c>
      <c r="AW492" t="s">
        <v>74</v>
      </c>
      <c r="AX492" t="s">
        <v>74</v>
      </c>
      <c r="AY492" t="s">
        <v>74</v>
      </c>
      <c r="AZ492" t="s">
        <v>74</v>
      </c>
      <c r="BA492" t="s">
        <v>74</v>
      </c>
      <c r="BB492" t="s">
        <v>74</v>
      </c>
      <c r="BC492" t="s">
        <v>74</v>
      </c>
      <c r="BD492" t="s">
        <v>74</v>
      </c>
      <c r="BE492" t="s">
        <v>9440</v>
      </c>
      <c r="BF492" t="str">
        <f>HYPERLINK("http://dx.doi.org/10.1007/s10529-023-03382","http://dx.doi.org/10.1007/s10529-023-03382")</f>
        <v>http://dx.doi.org/10.1007/s10529-023-03382</v>
      </c>
      <c r="BG492" t="s">
        <v>74</v>
      </c>
      <c r="BH492" t="s">
        <v>2079</v>
      </c>
      <c r="BI492">
        <v>14</v>
      </c>
      <c r="BJ492" t="s">
        <v>1843</v>
      </c>
      <c r="BK492" t="s">
        <v>126</v>
      </c>
      <c r="BL492" t="s">
        <v>1843</v>
      </c>
      <c r="BM492" t="s">
        <v>9441</v>
      </c>
      <c r="BN492" t="s">
        <v>74</v>
      </c>
      <c r="BO492" t="s">
        <v>74</v>
      </c>
      <c r="BP492" t="s">
        <v>74</v>
      </c>
      <c r="BQ492" t="s">
        <v>74</v>
      </c>
      <c r="BR492" t="s">
        <v>99</v>
      </c>
      <c r="BS492" t="s">
        <v>9442</v>
      </c>
      <c r="BT492" t="str">
        <f>HYPERLINK("https%3A%2F%2Fwww.webofscience.com%2Fwos%2Fwoscc%2Ffull-record%2FWOS:001056970600001","View Full Record in Web of Science")</f>
        <v>View Full Record in Web of Science</v>
      </c>
    </row>
    <row r="493" spans="1:72" x14ac:dyDescent="0.15">
      <c r="A493" t="s">
        <v>72</v>
      </c>
      <c r="B493" t="s">
        <v>9443</v>
      </c>
      <c r="C493" t="s">
        <v>74</v>
      </c>
      <c r="D493" t="s">
        <v>74</v>
      </c>
      <c r="E493" t="s">
        <v>74</v>
      </c>
      <c r="F493" t="s">
        <v>9444</v>
      </c>
      <c r="G493" t="s">
        <v>74</v>
      </c>
      <c r="H493" t="s">
        <v>74</v>
      </c>
      <c r="I493" t="s">
        <v>9445</v>
      </c>
      <c r="J493" t="s">
        <v>9446</v>
      </c>
      <c r="K493" t="s">
        <v>74</v>
      </c>
      <c r="L493" t="s">
        <v>74</v>
      </c>
      <c r="M493" t="s">
        <v>78</v>
      </c>
      <c r="N493" t="s">
        <v>105</v>
      </c>
      <c r="O493" t="s">
        <v>74</v>
      </c>
      <c r="P493" t="s">
        <v>74</v>
      </c>
      <c r="Q493" t="s">
        <v>74</v>
      </c>
      <c r="R493" t="s">
        <v>74</v>
      </c>
      <c r="S493" t="s">
        <v>74</v>
      </c>
      <c r="T493" t="s">
        <v>9447</v>
      </c>
      <c r="U493" t="s">
        <v>9448</v>
      </c>
      <c r="V493" t="s">
        <v>9449</v>
      </c>
      <c r="W493" t="s">
        <v>9450</v>
      </c>
      <c r="X493" t="s">
        <v>9451</v>
      </c>
      <c r="Y493" t="s">
        <v>9452</v>
      </c>
      <c r="Z493" t="s">
        <v>9453</v>
      </c>
      <c r="AA493" t="s">
        <v>74</v>
      </c>
      <c r="AB493" t="s">
        <v>74</v>
      </c>
      <c r="AC493" t="s">
        <v>9454</v>
      </c>
      <c r="AD493" t="s">
        <v>9455</v>
      </c>
      <c r="AE493" t="s">
        <v>9456</v>
      </c>
      <c r="AF493" t="s">
        <v>74</v>
      </c>
      <c r="AG493">
        <v>111</v>
      </c>
      <c r="AH493">
        <v>0</v>
      </c>
      <c r="AI493">
        <v>0</v>
      </c>
      <c r="AJ493">
        <v>3</v>
      </c>
      <c r="AK493">
        <v>3</v>
      </c>
      <c r="AL493" t="s">
        <v>117</v>
      </c>
      <c r="AM493" t="s">
        <v>627</v>
      </c>
      <c r="AN493" t="s">
        <v>628</v>
      </c>
      <c r="AO493" t="s">
        <v>9457</v>
      </c>
      <c r="AP493" t="s">
        <v>9458</v>
      </c>
      <c r="AQ493" t="s">
        <v>74</v>
      </c>
      <c r="AR493" t="s">
        <v>9459</v>
      </c>
      <c r="AS493" t="s">
        <v>9460</v>
      </c>
      <c r="AT493" t="s">
        <v>8614</v>
      </c>
      <c r="AU493">
        <v>2023</v>
      </c>
      <c r="AV493">
        <v>25</v>
      </c>
      <c r="AW493">
        <v>9</v>
      </c>
      <c r="AX493" t="s">
        <v>74</v>
      </c>
      <c r="AY493" t="s">
        <v>74</v>
      </c>
      <c r="AZ493" t="s">
        <v>74</v>
      </c>
      <c r="BA493" t="s">
        <v>74</v>
      </c>
      <c r="BB493" t="s">
        <v>74</v>
      </c>
      <c r="BC493" t="s">
        <v>74</v>
      </c>
      <c r="BD493">
        <v>176</v>
      </c>
      <c r="BE493" t="s">
        <v>9461</v>
      </c>
      <c r="BF493" t="str">
        <f>HYPERLINK("http://dx.doi.org/10.1007/s11051-023-05823-1","http://dx.doi.org/10.1007/s11051-023-05823-1")</f>
        <v>http://dx.doi.org/10.1007/s11051-023-05823-1</v>
      </c>
      <c r="BG493" t="s">
        <v>74</v>
      </c>
      <c r="BH493" t="s">
        <v>74</v>
      </c>
      <c r="BI493">
        <v>25</v>
      </c>
      <c r="BJ493" t="s">
        <v>9462</v>
      </c>
      <c r="BK493" t="s">
        <v>126</v>
      </c>
      <c r="BL493" t="s">
        <v>8580</v>
      </c>
      <c r="BM493" t="s">
        <v>9463</v>
      </c>
      <c r="BN493" t="s">
        <v>74</v>
      </c>
      <c r="BO493" t="s">
        <v>74</v>
      </c>
      <c r="BP493" t="s">
        <v>74</v>
      </c>
      <c r="BQ493" t="s">
        <v>74</v>
      </c>
      <c r="BR493" t="s">
        <v>99</v>
      </c>
      <c r="BS493" t="s">
        <v>9464</v>
      </c>
      <c r="BT493" t="str">
        <f>HYPERLINK("https%3A%2F%2Fwww.webofscience.com%2Fwos%2Fwoscc%2Ffull-record%2FWOS:001054476900001","View Full Record in Web of Science")</f>
        <v>View Full Record in Web of Science</v>
      </c>
    </row>
    <row r="494" spans="1:72" x14ac:dyDescent="0.15">
      <c r="A494" t="s">
        <v>72</v>
      </c>
      <c r="B494" t="s">
        <v>9465</v>
      </c>
      <c r="C494" t="s">
        <v>74</v>
      </c>
      <c r="D494" t="s">
        <v>74</v>
      </c>
      <c r="E494" t="s">
        <v>74</v>
      </c>
      <c r="F494" t="s">
        <v>9466</v>
      </c>
      <c r="G494" t="s">
        <v>74</v>
      </c>
      <c r="H494" t="s">
        <v>74</v>
      </c>
      <c r="I494" t="s">
        <v>9467</v>
      </c>
      <c r="J494" t="s">
        <v>9468</v>
      </c>
      <c r="K494" t="s">
        <v>74</v>
      </c>
      <c r="L494" t="s">
        <v>74</v>
      </c>
      <c r="M494" t="s">
        <v>78</v>
      </c>
      <c r="N494" t="s">
        <v>79</v>
      </c>
      <c r="O494" t="s">
        <v>74</v>
      </c>
      <c r="P494" t="s">
        <v>74</v>
      </c>
      <c r="Q494" t="s">
        <v>74</v>
      </c>
      <c r="R494" t="s">
        <v>74</v>
      </c>
      <c r="S494" t="s">
        <v>74</v>
      </c>
      <c r="T494" t="s">
        <v>9469</v>
      </c>
      <c r="U494" t="s">
        <v>9470</v>
      </c>
      <c r="V494" t="s">
        <v>9471</v>
      </c>
      <c r="W494" t="s">
        <v>9472</v>
      </c>
      <c r="X494" t="s">
        <v>9473</v>
      </c>
      <c r="Y494" t="s">
        <v>9474</v>
      </c>
      <c r="Z494" t="s">
        <v>9475</v>
      </c>
      <c r="AA494" t="s">
        <v>74</v>
      </c>
      <c r="AB494" t="s">
        <v>74</v>
      </c>
      <c r="AC494" t="s">
        <v>9476</v>
      </c>
      <c r="AD494" t="s">
        <v>9477</v>
      </c>
      <c r="AE494" t="s">
        <v>9478</v>
      </c>
      <c r="AF494" t="s">
        <v>74</v>
      </c>
      <c r="AG494">
        <v>135</v>
      </c>
      <c r="AH494">
        <v>0</v>
      </c>
      <c r="AI494">
        <v>0</v>
      </c>
      <c r="AJ494">
        <v>2</v>
      </c>
      <c r="AK494">
        <v>2</v>
      </c>
      <c r="AL494" t="s">
        <v>117</v>
      </c>
      <c r="AM494" t="s">
        <v>118</v>
      </c>
      <c r="AN494" t="s">
        <v>119</v>
      </c>
      <c r="AO494" t="s">
        <v>9479</v>
      </c>
      <c r="AP494" t="s">
        <v>9480</v>
      </c>
      <c r="AQ494" t="s">
        <v>74</v>
      </c>
      <c r="AR494" t="s">
        <v>9481</v>
      </c>
      <c r="AS494" t="s">
        <v>9482</v>
      </c>
      <c r="AT494" t="s">
        <v>8614</v>
      </c>
      <c r="AU494">
        <v>2023</v>
      </c>
      <c r="AV494">
        <v>205</v>
      </c>
      <c r="AW494">
        <v>9</v>
      </c>
      <c r="AX494" t="s">
        <v>74</v>
      </c>
      <c r="AY494" t="s">
        <v>74</v>
      </c>
      <c r="AZ494" t="s">
        <v>74</v>
      </c>
      <c r="BA494" t="s">
        <v>74</v>
      </c>
      <c r="BB494" t="s">
        <v>74</v>
      </c>
      <c r="BC494" t="s">
        <v>74</v>
      </c>
      <c r="BD494" t="s">
        <v>74</v>
      </c>
      <c r="BE494" t="s">
        <v>9483</v>
      </c>
      <c r="BF494" t="str">
        <f>HYPERLINK("http://dx.doi.org/10.1007/s00203-023-03656-z","http://dx.doi.org/10.1007/s00203-023-03656-z")</f>
        <v>http://dx.doi.org/10.1007/s00203-023-03656-z</v>
      </c>
      <c r="BG494" t="s">
        <v>74</v>
      </c>
      <c r="BH494" t="s">
        <v>74</v>
      </c>
      <c r="BI494">
        <v>17</v>
      </c>
      <c r="BJ494" t="s">
        <v>1967</v>
      </c>
      <c r="BK494" t="s">
        <v>126</v>
      </c>
      <c r="BL494" t="s">
        <v>1967</v>
      </c>
      <c r="BM494" t="s">
        <v>9484</v>
      </c>
      <c r="BN494">
        <v>37626254</v>
      </c>
      <c r="BO494" t="s">
        <v>74</v>
      </c>
      <c r="BP494" t="s">
        <v>74</v>
      </c>
      <c r="BQ494" t="s">
        <v>74</v>
      </c>
      <c r="BR494" t="s">
        <v>99</v>
      </c>
      <c r="BS494" t="s">
        <v>9485</v>
      </c>
      <c r="BT494" t="str">
        <f>HYPERLINK("https%3A%2F%2Fwww.webofscience.com%2Fwos%2Fwoscc%2Ffull-record%2FWOS:001054512300001","View Full Record in Web of Science")</f>
        <v>View Full Record in Web of Science</v>
      </c>
    </row>
    <row r="495" spans="1:72" x14ac:dyDescent="0.15">
      <c r="A495" t="s">
        <v>72</v>
      </c>
      <c r="B495" t="s">
        <v>9486</v>
      </c>
      <c r="C495" t="s">
        <v>74</v>
      </c>
      <c r="D495" t="s">
        <v>74</v>
      </c>
      <c r="E495" t="s">
        <v>74</v>
      </c>
      <c r="F495" t="s">
        <v>9487</v>
      </c>
      <c r="G495" t="s">
        <v>74</v>
      </c>
      <c r="H495" t="s">
        <v>74</v>
      </c>
      <c r="I495" t="s">
        <v>9488</v>
      </c>
      <c r="J495" t="s">
        <v>1145</v>
      </c>
      <c r="K495" t="s">
        <v>74</v>
      </c>
      <c r="L495" t="s">
        <v>74</v>
      </c>
      <c r="M495" t="s">
        <v>78</v>
      </c>
      <c r="N495" t="s">
        <v>79</v>
      </c>
      <c r="O495" t="s">
        <v>74</v>
      </c>
      <c r="P495" t="s">
        <v>74</v>
      </c>
      <c r="Q495" t="s">
        <v>74</v>
      </c>
      <c r="R495" t="s">
        <v>74</v>
      </c>
      <c r="S495" t="s">
        <v>74</v>
      </c>
      <c r="T495" t="s">
        <v>9489</v>
      </c>
      <c r="U495" t="s">
        <v>9490</v>
      </c>
      <c r="V495" t="s">
        <v>9491</v>
      </c>
      <c r="W495" t="s">
        <v>9492</v>
      </c>
      <c r="X495" t="s">
        <v>9493</v>
      </c>
      <c r="Y495" t="s">
        <v>9494</v>
      </c>
      <c r="Z495" t="s">
        <v>9495</v>
      </c>
      <c r="AA495" t="s">
        <v>74</v>
      </c>
      <c r="AB495" t="s">
        <v>74</v>
      </c>
      <c r="AC495" t="s">
        <v>74</v>
      </c>
      <c r="AD495" t="s">
        <v>74</v>
      </c>
      <c r="AE495" t="s">
        <v>74</v>
      </c>
      <c r="AF495" t="s">
        <v>74</v>
      </c>
      <c r="AG495">
        <v>29</v>
      </c>
      <c r="AH495">
        <v>0</v>
      </c>
      <c r="AI495">
        <v>0</v>
      </c>
      <c r="AJ495">
        <v>1</v>
      </c>
      <c r="AK495">
        <v>1</v>
      </c>
      <c r="AL495" t="s">
        <v>117</v>
      </c>
      <c r="AM495" t="s">
        <v>627</v>
      </c>
      <c r="AN495" t="s">
        <v>628</v>
      </c>
      <c r="AO495" t="s">
        <v>1157</v>
      </c>
      <c r="AP495" t="s">
        <v>1158</v>
      </c>
      <c r="AQ495" t="s">
        <v>74</v>
      </c>
      <c r="AR495" t="s">
        <v>1159</v>
      </c>
      <c r="AS495" t="s">
        <v>1160</v>
      </c>
      <c r="AT495" t="s">
        <v>8614</v>
      </c>
      <c r="AU495">
        <v>2023</v>
      </c>
      <c r="AV495">
        <v>55</v>
      </c>
      <c r="AW495">
        <v>9</v>
      </c>
      <c r="AX495" t="s">
        <v>74</v>
      </c>
      <c r="AY495" t="s">
        <v>74</v>
      </c>
      <c r="AZ495" t="s">
        <v>74</v>
      </c>
      <c r="BA495" t="s">
        <v>74</v>
      </c>
      <c r="BB495" t="s">
        <v>74</v>
      </c>
      <c r="BC495" t="s">
        <v>74</v>
      </c>
      <c r="BD495">
        <v>839</v>
      </c>
      <c r="BE495" t="s">
        <v>9496</v>
      </c>
      <c r="BF495" t="str">
        <f>HYPERLINK("http://dx.doi.org/10.1007/s11082-023-05130-y","http://dx.doi.org/10.1007/s11082-023-05130-y")</f>
        <v>http://dx.doi.org/10.1007/s11082-023-05130-y</v>
      </c>
      <c r="BG495" t="s">
        <v>74</v>
      </c>
      <c r="BH495" t="s">
        <v>74</v>
      </c>
      <c r="BI495">
        <v>12</v>
      </c>
      <c r="BJ495" t="s">
        <v>1162</v>
      </c>
      <c r="BK495" t="s">
        <v>126</v>
      </c>
      <c r="BL495" t="s">
        <v>1163</v>
      </c>
      <c r="BM495" t="s">
        <v>9497</v>
      </c>
      <c r="BN495" t="s">
        <v>74</v>
      </c>
      <c r="BO495" t="s">
        <v>74</v>
      </c>
      <c r="BP495" t="s">
        <v>74</v>
      </c>
      <c r="BQ495" t="s">
        <v>74</v>
      </c>
      <c r="BR495" t="s">
        <v>99</v>
      </c>
      <c r="BS495" t="s">
        <v>9498</v>
      </c>
      <c r="BT495" t="str">
        <f>HYPERLINK("https%3A%2F%2Fwww.webofscience.com%2Fwos%2Fwoscc%2Ffull-record%2FWOS:001028769900002","View Full Record in Web of Science")</f>
        <v>View Full Record in Web of Science</v>
      </c>
    </row>
    <row r="496" spans="1:72" x14ac:dyDescent="0.15">
      <c r="A496" t="s">
        <v>72</v>
      </c>
      <c r="B496" t="s">
        <v>9499</v>
      </c>
      <c r="C496" t="s">
        <v>74</v>
      </c>
      <c r="D496" t="s">
        <v>74</v>
      </c>
      <c r="E496" t="s">
        <v>74</v>
      </c>
      <c r="F496" t="s">
        <v>9500</v>
      </c>
      <c r="G496" t="s">
        <v>74</v>
      </c>
      <c r="H496" t="s">
        <v>74</v>
      </c>
      <c r="I496" t="s">
        <v>9501</v>
      </c>
      <c r="J496" t="s">
        <v>9023</v>
      </c>
      <c r="K496" t="s">
        <v>74</v>
      </c>
      <c r="L496" t="s">
        <v>74</v>
      </c>
      <c r="M496" t="s">
        <v>78</v>
      </c>
      <c r="N496" t="s">
        <v>79</v>
      </c>
      <c r="O496" t="s">
        <v>74</v>
      </c>
      <c r="P496" t="s">
        <v>74</v>
      </c>
      <c r="Q496" t="s">
        <v>74</v>
      </c>
      <c r="R496" t="s">
        <v>74</v>
      </c>
      <c r="S496" t="s">
        <v>74</v>
      </c>
      <c r="T496" t="s">
        <v>9502</v>
      </c>
      <c r="U496" t="s">
        <v>9503</v>
      </c>
      <c r="V496" t="s">
        <v>9504</v>
      </c>
      <c r="W496" t="s">
        <v>9505</v>
      </c>
      <c r="X496" t="s">
        <v>9506</v>
      </c>
      <c r="Y496" t="s">
        <v>9507</v>
      </c>
      <c r="Z496" t="s">
        <v>9508</v>
      </c>
      <c r="AA496" t="s">
        <v>9509</v>
      </c>
      <c r="AB496" t="s">
        <v>74</v>
      </c>
      <c r="AC496" t="s">
        <v>9510</v>
      </c>
      <c r="AD496" t="s">
        <v>9510</v>
      </c>
      <c r="AE496" t="s">
        <v>9511</v>
      </c>
      <c r="AF496" t="s">
        <v>74</v>
      </c>
      <c r="AG496">
        <v>45</v>
      </c>
      <c r="AH496">
        <v>0</v>
      </c>
      <c r="AI496">
        <v>0</v>
      </c>
      <c r="AJ496">
        <v>4</v>
      </c>
      <c r="AK496">
        <v>4</v>
      </c>
      <c r="AL496" t="s">
        <v>269</v>
      </c>
      <c r="AM496" t="s">
        <v>118</v>
      </c>
      <c r="AN496" t="s">
        <v>270</v>
      </c>
      <c r="AO496" t="s">
        <v>9031</v>
      </c>
      <c r="AP496" t="s">
        <v>9032</v>
      </c>
      <c r="AQ496" t="s">
        <v>74</v>
      </c>
      <c r="AR496" t="s">
        <v>9033</v>
      </c>
      <c r="AS496" t="s">
        <v>9034</v>
      </c>
      <c r="AT496" t="s">
        <v>8614</v>
      </c>
      <c r="AU496">
        <v>2023</v>
      </c>
      <c r="AV496">
        <v>35</v>
      </c>
      <c r="AW496">
        <v>3</v>
      </c>
      <c r="AX496" t="s">
        <v>74</v>
      </c>
      <c r="AY496" t="s">
        <v>74</v>
      </c>
      <c r="AZ496" t="s">
        <v>74</v>
      </c>
      <c r="BA496" t="s">
        <v>74</v>
      </c>
      <c r="BB496" t="s">
        <v>74</v>
      </c>
      <c r="BC496" t="s">
        <v>74</v>
      </c>
      <c r="BD496">
        <v>85</v>
      </c>
      <c r="BE496" t="s">
        <v>9512</v>
      </c>
      <c r="BF496" t="str">
        <f>HYPERLINK("http://dx.doi.org/10.1007/s10648-023-09797-3","http://dx.doi.org/10.1007/s10648-023-09797-3")</f>
        <v>http://dx.doi.org/10.1007/s10648-023-09797-3</v>
      </c>
      <c r="BG496" t="s">
        <v>74</v>
      </c>
      <c r="BH496" t="s">
        <v>74</v>
      </c>
      <c r="BI496">
        <v>34</v>
      </c>
      <c r="BJ496" t="s">
        <v>3662</v>
      </c>
      <c r="BK496" t="s">
        <v>425</v>
      </c>
      <c r="BL496" t="s">
        <v>2907</v>
      </c>
      <c r="BM496" t="s">
        <v>9513</v>
      </c>
      <c r="BN496" t="s">
        <v>74</v>
      </c>
      <c r="BO496" t="s">
        <v>183</v>
      </c>
      <c r="BP496" t="s">
        <v>74</v>
      </c>
      <c r="BQ496" t="s">
        <v>74</v>
      </c>
      <c r="BR496" t="s">
        <v>99</v>
      </c>
      <c r="BS496" t="s">
        <v>9514</v>
      </c>
      <c r="BT496" t="str">
        <f>HYPERLINK("https%3A%2F%2Fwww.webofscience.com%2Fwos%2Fwoscc%2Ffull-record%2FWOS:001048794100002","View Full Record in Web of Science")</f>
        <v>View Full Record in Web of Science</v>
      </c>
    </row>
    <row r="497" spans="1:72" x14ac:dyDescent="0.15">
      <c r="A497" t="s">
        <v>72</v>
      </c>
      <c r="B497" t="s">
        <v>9515</v>
      </c>
      <c r="C497" t="s">
        <v>74</v>
      </c>
      <c r="D497" t="s">
        <v>74</v>
      </c>
      <c r="E497" t="s">
        <v>74</v>
      </c>
      <c r="F497" t="s">
        <v>9516</v>
      </c>
      <c r="G497" t="s">
        <v>74</v>
      </c>
      <c r="H497" t="s">
        <v>74</v>
      </c>
      <c r="I497" t="s">
        <v>9517</v>
      </c>
      <c r="J497" t="s">
        <v>9384</v>
      </c>
      <c r="K497" t="s">
        <v>74</v>
      </c>
      <c r="L497" t="s">
        <v>74</v>
      </c>
      <c r="M497" t="s">
        <v>78</v>
      </c>
      <c r="N497" t="s">
        <v>79</v>
      </c>
      <c r="O497" t="s">
        <v>74</v>
      </c>
      <c r="P497" t="s">
        <v>74</v>
      </c>
      <c r="Q497" t="s">
        <v>74</v>
      </c>
      <c r="R497" t="s">
        <v>74</v>
      </c>
      <c r="S497" t="s">
        <v>74</v>
      </c>
      <c r="T497" t="s">
        <v>9518</v>
      </c>
      <c r="U497" t="s">
        <v>9519</v>
      </c>
      <c r="V497" t="s">
        <v>9520</v>
      </c>
      <c r="W497" t="s">
        <v>9521</v>
      </c>
      <c r="X497" t="s">
        <v>9522</v>
      </c>
      <c r="Y497" t="s">
        <v>9523</v>
      </c>
      <c r="Z497" t="s">
        <v>9524</v>
      </c>
      <c r="AA497" t="s">
        <v>9525</v>
      </c>
      <c r="AB497" t="s">
        <v>9526</v>
      </c>
      <c r="AC497" t="s">
        <v>9527</v>
      </c>
      <c r="AD497" t="s">
        <v>9528</v>
      </c>
      <c r="AE497" t="s">
        <v>9529</v>
      </c>
      <c r="AF497" t="s">
        <v>74</v>
      </c>
      <c r="AG497">
        <v>65</v>
      </c>
      <c r="AH497">
        <v>0</v>
      </c>
      <c r="AI497">
        <v>0</v>
      </c>
      <c r="AJ497">
        <v>2</v>
      </c>
      <c r="AK497">
        <v>2</v>
      </c>
      <c r="AL497" t="s">
        <v>172</v>
      </c>
      <c r="AM497" t="s">
        <v>173</v>
      </c>
      <c r="AN497" t="s">
        <v>174</v>
      </c>
      <c r="AO497" t="s">
        <v>9392</v>
      </c>
      <c r="AP497" t="s">
        <v>9393</v>
      </c>
      <c r="AQ497" t="s">
        <v>74</v>
      </c>
      <c r="AR497" t="s">
        <v>9394</v>
      </c>
      <c r="AS497" t="s">
        <v>9395</v>
      </c>
      <c r="AT497" t="s">
        <v>8614</v>
      </c>
      <c r="AU497">
        <v>2023</v>
      </c>
      <c r="AV497">
        <v>23</v>
      </c>
      <c r="AW497">
        <v>3</v>
      </c>
      <c r="AX497" t="s">
        <v>74</v>
      </c>
      <c r="AY497" t="s">
        <v>74</v>
      </c>
      <c r="AZ497" t="s">
        <v>74</v>
      </c>
      <c r="BA497" t="s">
        <v>74</v>
      </c>
      <c r="BB497" t="s">
        <v>74</v>
      </c>
      <c r="BC497" t="s">
        <v>74</v>
      </c>
      <c r="BD497">
        <v>215</v>
      </c>
      <c r="BE497" t="s">
        <v>9530</v>
      </c>
      <c r="BF497" t="str">
        <f>HYPERLINK("http://dx.doi.org/10.1007/s10142-023-01138-5","http://dx.doi.org/10.1007/s10142-023-01138-5")</f>
        <v>http://dx.doi.org/10.1007/s10142-023-01138-5</v>
      </c>
      <c r="BG497" t="s">
        <v>74</v>
      </c>
      <c r="BH497" t="s">
        <v>74</v>
      </c>
      <c r="BI497">
        <v>17</v>
      </c>
      <c r="BJ497" t="s">
        <v>3740</v>
      </c>
      <c r="BK497" t="s">
        <v>126</v>
      </c>
      <c r="BL497" t="s">
        <v>3740</v>
      </c>
      <c r="BM497" t="s">
        <v>9531</v>
      </c>
      <c r="BN497">
        <v>37389664</v>
      </c>
      <c r="BO497" t="s">
        <v>74</v>
      </c>
      <c r="BP497" t="s">
        <v>74</v>
      </c>
      <c r="BQ497" t="s">
        <v>74</v>
      </c>
      <c r="BR497" t="s">
        <v>99</v>
      </c>
      <c r="BS497" t="s">
        <v>9532</v>
      </c>
      <c r="BT497" t="str">
        <f>HYPERLINK("https%3A%2F%2Fwww.webofscience.com%2Fwos%2Fwoscc%2Ffull-record%2FWOS:001021178600002","View Full Record in Web of Science")</f>
        <v>View Full Record in Web of Science</v>
      </c>
    </row>
    <row r="498" spans="1:72" x14ac:dyDescent="0.15">
      <c r="A498" t="s">
        <v>72</v>
      </c>
      <c r="B498" t="s">
        <v>9533</v>
      </c>
      <c r="C498" t="s">
        <v>74</v>
      </c>
      <c r="D498" t="s">
        <v>74</v>
      </c>
      <c r="E498" t="s">
        <v>74</v>
      </c>
      <c r="F498" t="s">
        <v>9534</v>
      </c>
      <c r="G498" t="s">
        <v>74</v>
      </c>
      <c r="H498" t="s">
        <v>74</v>
      </c>
      <c r="I498" t="s">
        <v>9535</v>
      </c>
      <c r="J498" t="s">
        <v>6357</v>
      </c>
      <c r="K498" t="s">
        <v>74</v>
      </c>
      <c r="L498" t="s">
        <v>74</v>
      </c>
      <c r="M498" t="s">
        <v>78</v>
      </c>
      <c r="N498" t="s">
        <v>79</v>
      </c>
      <c r="O498" t="s">
        <v>74</v>
      </c>
      <c r="P498" t="s">
        <v>74</v>
      </c>
      <c r="Q498" t="s">
        <v>74</v>
      </c>
      <c r="R498" t="s">
        <v>74</v>
      </c>
      <c r="S498" t="s">
        <v>74</v>
      </c>
      <c r="T498" t="s">
        <v>9536</v>
      </c>
      <c r="U498" t="s">
        <v>9537</v>
      </c>
      <c r="V498" t="s">
        <v>9538</v>
      </c>
      <c r="W498" t="s">
        <v>9539</v>
      </c>
      <c r="X498" t="s">
        <v>9540</v>
      </c>
      <c r="Y498" t="s">
        <v>9541</v>
      </c>
      <c r="Z498" t="s">
        <v>9542</v>
      </c>
      <c r="AA498" t="s">
        <v>74</v>
      </c>
      <c r="AB498" t="s">
        <v>74</v>
      </c>
      <c r="AC498" t="s">
        <v>9543</v>
      </c>
      <c r="AD498" t="s">
        <v>9543</v>
      </c>
      <c r="AE498" t="s">
        <v>9544</v>
      </c>
      <c r="AF498" t="s">
        <v>74</v>
      </c>
      <c r="AG498">
        <v>55</v>
      </c>
      <c r="AH498">
        <v>0</v>
      </c>
      <c r="AI498">
        <v>0</v>
      </c>
      <c r="AJ498">
        <v>0</v>
      </c>
      <c r="AK498">
        <v>0</v>
      </c>
      <c r="AL498" t="s">
        <v>443</v>
      </c>
      <c r="AM498" t="s">
        <v>245</v>
      </c>
      <c r="AN498" t="s">
        <v>444</v>
      </c>
      <c r="AO498" t="s">
        <v>74</v>
      </c>
      <c r="AP498" t="s">
        <v>6366</v>
      </c>
      <c r="AQ498" t="s">
        <v>74</v>
      </c>
      <c r="AR498" t="s">
        <v>6367</v>
      </c>
      <c r="AS498" t="s">
        <v>6368</v>
      </c>
      <c r="AT498" t="s">
        <v>8783</v>
      </c>
      <c r="AU498">
        <v>2023</v>
      </c>
      <c r="AV498">
        <v>20</v>
      </c>
      <c r="AW498">
        <v>1</v>
      </c>
      <c r="AX498" t="s">
        <v>74</v>
      </c>
      <c r="AY498" t="s">
        <v>74</v>
      </c>
      <c r="AZ498" t="s">
        <v>74</v>
      </c>
      <c r="BA498" t="s">
        <v>74</v>
      </c>
      <c r="BB498" t="s">
        <v>74</v>
      </c>
      <c r="BC498" t="s">
        <v>74</v>
      </c>
      <c r="BD498">
        <v>120</v>
      </c>
      <c r="BE498" t="s">
        <v>9545</v>
      </c>
      <c r="BF498" t="str">
        <f>HYPERLINK("http://dx.doi.org/10.1186/s12954-023-00840-8","http://dx.doi.org/10.1186/s12954-023-00840-8")</f>
        <v>http://dx.doi.org/10.1186/s12954-023-00840-8</v>
      </c>
      <c r="BG498" t="s">
        <v>74</v>
      </c>
      <c r="BH498" t="s">
        <v>74</v>
      </c>
      <c r="BI498">
        <v>13</v>
      </c>
      <c r="BJ498" t="s">
        <v>6370</v>
      </c>
      <c r="BK498" t="s">
        <v>425</v>
      </c>
      <c r="BL498" t="s">
        <v>6370</v>
      </c>
      <c r="BM498" t="s">
        <v>9546</v>
      </c>
      <c r="BN498">
        <v>37658379</v>
      </c>
      <c r="BO498" t="s">
        <v>302</v>
      </c>
      <c r="BP498" t="s">
        <v>74</v>
      </c>
      <c r="BQ498" t="s">
        <v>74</v>
      </c>
      <c r="BR498" t="s">
        <v>99</v>
      </c>
      <c r="BS498" t="s">
        <v>9547</v>
      </c>
      <c r="BT498" t="str">
        <f>HYPERLINK("https%3A%2F%2Fwww.webofscience.com%2Fwos%2Fwoscc%2Ffull-record%2FWOS:001058741500001","View Full Record in Web of Science")</f>
        <v>View Full Record in Web of Science</v>
      </c>
    </row>
    <row r="499" spans="1:72" x14ac:dyDescent="0.15">
      <c r="A499" t="s">
        <v>72</v>
      </c>
      <c r="B499" t="s">
        <v>9548</v>
      </c>
      <c r="C499" t="s">
        <v>74</v>
      </c>
      <c r="D499" t="s">
        <v>74</v>
      </c>
      <c r="E499" t="s">
        <v>74</v>
      </c>
      <c r="F499" t="s">
        <v>9549</v>
      </c>
      <c r="G499" t="s">
        <v>74</v>
      </c>
      <c r="H499" t="s">
        <v>74</v>
      </c>
      <c r="I499" t="s">
        <v>9550</v>
      </c>
      <c r="J499" t="s">
        <v>1145</v>
      </c>
      <c r="K499" t="s">
        <v>74</v>
      </c>
      <c r="L499" t="s">
        <v>74</v>
      </c>
      <c r="M499" t="s">
        <v>78</v>
      </c>
      <c r="N499" t="s">
        <v>79</v>
      </c>
      <c r="O499" t="s">
        <v>74</v>
      </c>
      <c r="P499" t="s">
        <v>74</v>
      </c>
      <c r="Q499" t="s">
        <v>74</v>
      </c>
      <c r="R499" t="s">
        <v>74</v>
      </c>
      <c r="S499" t="s">
        <v>74</v>
      </c>
      <c r="T499" t="s">
        <v>9551</v>
      </c>
      <c r="U499" t="s">
        <v>74</v>
      </c>
      <c r="V499" t="s">
        <v>9552</v>
      </c>
      <c r="W499" t="s">
        <v>9553</v>
      </c>
      <c r="X499" t="s">
        <v>9554</v>
      </c>
      <c r="Y499" t="s">
        <v>9555</v>
      </c>
      <c r="Z499" t="s">
        <v>9556</v>
      </c>
      <c r="AA499" t="s">
        <v>9557</v>
      </c>
      <c r="AB499" t="s">
        <v>9558</v>
      </c>
      <c r="AC499" t="s">
        <v>9559</v>
      </c>
      <c r="AD499" t="s">
        <v>9559</v>
      </c>
      <c r="AE499" t="s">
        <v>9560</v>
      </c>
      <c r="AF499" t="s">
        <v>74</v>
      </c>
      <c r="AG499">
        <v>20</v>
      </c>
      <c r="AH499">
        <v>0</v>
      </c>
      <c r="AI499">
        <v>0</v>
      </c>
      <c r="AJ499">
        <v>0</v>
      </c>
      <c r="AK499">
        <v>0</v>
      </c>
      <c r="AL499" t="s">
        <v>117</v>
      </c>
      <c r="AM499" t="s">
        <v>627</v>
      </c>
      <c r="AN499" t="s">
        <v>628</v>
      </c>
      <c r="AO499" t="s">
        <v>1157</v>
      </c>
      <c r="AP499" t="s">
        <v>1158</v>
      </c>
      <c r="AQ499" t="s">
        <v>74</v>
      </c>
      <c r="AR499" t="s">
        <v>1159</v>
      </c>
      <c r="AS499" t="s">
        <v>1160</v>
      </c>
      <c r="AT499" t="s">
        <v>8614</v>
      </c>
      <c r="AU499">
        <v>2023</v>
      </c>
      <c r="AV499">
        <v>55</v>
      </c>
      <c r="AW499">
        <v>9</v>
      </c>
      <c r="AX499" t="s">
        <v>74</v>
      </c>
      <c r="AY499" t="s">
        <v>74</v>
      </c>
      <c r="AZ499" t="s">
        <v>74</v>
      </c>
      <c r="BA499" t="s">
        <v>74</v>
      </c>
      <c r="BB499" t="s">
        <v>74</v>
      </c>
      <c r="BC499" t="s">
        <v>74</v>
      </c>
      <c r="BD499">
        <v>796</v>
      </c>
      <c r="BE499" t="s">
        <v>9561</v>
      </c>
      <c r="BF499" t="str">
        <f>HYPERLINK("http://dx.doi.org/10.1007/s11082-023-05074-3","http://dx.doi.org/10.1007/s11082-023-05074-3")</f>
        <v>http://dx.doi.org/10.1007/s11082-023-05074-3</v>
      </c>
      <c r="BG499" t="s">
        <v>74</v>
      </c>
      <c r="BH499" t="s">
        <v>74</v>
      </c>
      <c r="BI499">
        <v>16</v>
      </c>
      <c r="BJ499" t="s">
        <v>1162</v>
      </c>
      <c r="BK499" t="s">
        <v>126</v>
      </c>
      <c r="BL499" t="s">
        <v>1163</v>
      </c>
      <c r="BM499" t="s">
        <v>9339</v>
      </c>
      <c r="BN499" t="s">
        <v>74</v>
      </c>
      <c r="BO499" t="s">
        <v>183</v>
      </c>
      <c r="BP499" t="s">
        <v>74</v>
      </c>
      <c r="BQ499" t="s">
        <v>74</v>
      </c>
      <c r="BR499" t="s">
        <v>99</v>
      </c>
      <c r="BS499" t="s">
        <v>9562</v>
      </c>
      <c r="BT499" t="str">
        <f>HYPERLINK("https%3A%2F%2Fwww.webofscience.com%2Fwos%2Fwoscc%2Ffull-record%2FWOS:001022709300030","View Full Record in Web of Science")</f>
        <v>View Full Record in Web of Science</v>
      </c>
    </row>
    <row r="500" spans="1:72" x14ac:dyDescent="0.15">
      <c r="A500" t="s">
        <v>72</v>
      </c>
      <c r="B500" t="s">
        <v>9563</v>
      </c>
      <c r="C500" t="s">
        <v>74</v>
      </c>
      <c r="D500" t="s">
        <v>74</v>
      </c>
      <c r="E500" t="s">
        <v>74</v>
      </c>
      <c r="F500" t="s">
        <v>9564</v>
      </c>
      <c r="G500" t="s">
        <v>74</v>
      </c>
      <c r="H500" t="s">
        <v>74</v>
      </c>
      <c r="I500" t="s">
        <v>9565</v>
      </c>
      <c r="J500" t="s">
        <v>9566</v>
      </c>
      <c r="K500" t="s">
        <v>74</v>
      </c>
      <c r="L500" t="s">
        <v>74</v>
      </c>
      <c r="M500" t="s">
        <v>4349</v>
      </c>
      <c r="N500" t="s">
        <v>952</v>
      </c>
      <c r="O500" t="s">
        <v>74</v>
      </c>
      <c r="P500" t="s">
        <v>74</v>
      </c>
      <c r="Q500" t="s">
        <v>74</v>
      </c>
      <c r="R500" t="s">
        <v>74</v>
      </c>
      <c r="S500" t="s">
        <v>74</v>
      </c>
      <c r="T500" t="s">
        <v>74</v>
      </c>
      <c r="U500" t="s">
        <v>74</v>
      </c>
      <c r="V500" t="s">
        <v>74</v>
      </c>
      <c r="W500" t="s">
        <v>9567</v>
      </c>
      <c r="X500" t="s">
        <v>74</v>
      </c>
      <c r="Y500" t="s">
        <v>9568</v>
      </c>
      <c r="Z500" t="s">
        <v>9569</v>
      </c>
      <c r="AA500" t="s">
        <v>74</v>
      </c>
      <c r="AB500" t="s">
        <v>74</v>
      </c>
      <c r="AC500" t="s">
        <v>74</v>
      </c>
      <c r="AD500" t="s">
        <v>74</v>
      </c>
      <c r="AE500" t="s">
        <v>74</v>
      </c>
      <c r="AF500" t="s">
        <v>74</v>
      </c>
      <c r="AG500">
        <v>0</v>
      </c>
      <c r="AH500">
        <v>0</v>
      </c>
      <c r="AI500">
        <v>0</v>
      </c>
      <c r="AJ500">
        <v>0</v>
      </c>
      <c r="AK500">
        <v>0</v>
      </c>
      <c r="AL500" t="s">
        <v>117</v>
      </c>
      <c r="AM500" t="s">
        <v>118</v>
      </c>
      <c r="AN500" t="s">
        <v>119</v>
      </c>
      <c r="AO500" t="s">
        <v>9570</v>
      </c>
      <c r="AP500" t="s">
        <v>9571</v>
      </c>
      <c r="AQ500" t="s">
        <v>74</v>
      </c>
      <c r="AR500" t="s">
        <v>9572</v>
      </c>
      <c r="AS500" t="s">
        <v>9573</v>
      </c>
      <c r="AT500" t="s">
        <v>8614</v>
      </c>
      <c r="AU500">
        <v>2023</v>
      </c>
      <c r="AV500">
        <v>171</v>
      </c>
      <c r="AW500">
        <v>9</v>
      </c>
      <c r="AX500" t="s">
        <v>74</v>
      </c>
      <c r="AY500" t="s">
        <v>74</v>
      </c>
      <c r="AZ500" t="s">
        <v>5146</v>
      </c>
      <c r="BA500" t="s">
        <v>74</v>
      </c>
      <c r="BB500">
        <v>772</v>
      </c>
      <c r="BC500">
        <v>775</v>
      </c>
      <c r="BD500" t="s">
        <v>74</v>
      </c>
      <c r="BE500" t="s">
        <v>9574</v>
      </c>
      <c r="BF500" t="str">
        <f>HYPERLINK("http://dx.doi.org/10.1007/s00112-023-01821-8","http://dx.doi.org/10.1007/s00112-023-01821-8")</f>
        <v>http://dx.doi.org/10.1007/s00112-023-01821-8</v>
      </c>
      <c r="BG500" t="s">
        <v>74</v>
      </c>
      <c r="BH500" t="s">
        <v>74</v>
      </c>
      <c r="BI500">
        <v>4</v>
      </c>
      <c r="BJ500" t="s">
        <v>3066</v>
      </c>
      <c r="BK500" t="s">
        <v>126</v>
      </c>
      <c r="BL500" t="s">
        <v>3066</v>
      </c>
      <c r="BM500" t="s">
        <v>9575</v>
      </c>
      <c r="BN500" t="s">
        <v>74</v>
      </c>
      <c r="BO500" t="s">
        <v>762</v>
      </c>
      <c r="BP500" t="s">
        <v>74</v>
      </c>
      <c r="BQ500" t="s">
        <v>74</v>
      </c>
      <c r="BR500" t="s">
        <v>99</v>
      </c>
      <c r="BS500" t="s">
        <v>9576</v>
      </c>
      <c r="BT500" t="str">
        <f>HYPERLINK("https%3A%2F%2Fwww.webofscience.com%2Fwos%2Fwoscc%2Ffull-record%2FWOS:001069497700002","View Full Record in Web of Science")</f>
        <v>View Full Record in Web of Science</v>
      </c>
    </row>
    <row r="501" spans="1:72" x14ac:dyDescent="0.15">
      <c r="A501" t="s">
        <v>72</v>
      </c>
      <c r="B501" t="s">
        <v>9577</v>
      </c>
      <c r="C501" t="s">
        <v>74</v>
      </c>
      <c r="D501" t="s">
        <v>74</v>
      </c>
      <c r="E501" t="s">
        <v>74</v>
      </c>
      <c r="F501" t="s">
        <v>9578</v>
      </c>
      <c r="G501" t="s">
        <v>74</v>
      </c>
      <c r="H501" t="s">
        <v>74</v>
      </c>
      <c r="I501" t="s">
        <v>9579</v>
      </c>
      <c r="J501" t="s">
        <v>9384</v>
      </c>
      <c r="K501" t="s">
        <v>74</v>
      </c>
      <c r="L501" t="s">
        <v>74</v>
      </c>
      <c r="M501" t="s">
        <v>78</v>
      </c>
      <c r="N501" t="s">
        <v>79</v>
      </c>
      <c r="O501" t="s">
        <v>74</v>
      </c>
      <c r="P501" t="s">
        <v>74</v>
      </c>
      <c r="Q501" t="s">
        <v>74</v>
      </c>
      <c r="R501" t="s">
        <v>74</v>
      </c>
      <c r="S501" t="s">
        <v>74</v>
      </c>
      <c r="T501" t="s">
        <v>9580</v>
      </c>
      <c r="U501" t="s">
        <v>9581</v>
      </c>
      <c r="V501" t="s">
        <v>9582</v>
      </c>
      <c r="W501" t="s">
        <v>9583</v>
      </c>
      <c r="X501" t="s">
        <v>9584</v>
      </c>
      <c r="Y501" t="s">
        <v>9585</v>
      </c>
      <c r="Z501" t="s">
        <v>9586</v>
      </c>
      <c r="AA501" t="s">
        <v>9587</v>
      </c>
      <c r="AB501" t="s">
        <v>9588</v>
      </c>
      <c r="AC501" t="s">
        <v>9589</v>
      </c>
      <c r="AD501" t="s">
        <v>9590</v>
      </c>
      <c r="AE501" t="s">
        <v>9591</v>
      </c>
      <c r="AF501" t="s">
        <v>74</v>
      </c>
      <c r="AG501">
        <v>97</v>
      </c>
      <c r="AH501">
        <v>0</v>
      </c>
      <c r="AI501">
        <v>0</v>
      </c>
      <c r="AJ501">
        <v>2</v>
      </c>
      <c r="AK501">
        <v>2</v>
      </c>
      <c r="AL501" t="s">
        <v>172</v>
      </c>
      <c r="AM501" t="s">
        <v>173</v>
      </c>
      <c r="AN501" t="s">
        <v>174</v>
      </c>
      <c r="AO501" t="s">
        <v>9392</v>
      </c>
      <c r="AP501" t="s">
        <v>9393</v>
      </c>
      <c r="AQ501" t="s">
        <v>74</v>
      </c>
      <c r="AR501" t="s">
        <v>9394</v>
      </c>
      <c r="AS501" t="s">
        <v>9395</v>
      </c>
      <c r="AT501" t="s">
        <v>8614</v>
      </c>
      <c r="AU501">
        <v>2023</v>
      </c>
      <c r="AV501">
        <v>23</v>
      </c>
      <c r="AW501">
        <v>3</v>
      </c>
      <c r="AX501" t="s">
        <v>74</v>
      </c>
      <c r="AY501" t="s">
        <v>74</v>
      </c>
      <c r="AZ501" t="s">
        <v>74</v>
      </c>
      <c r="BA501" t="s">
        <v>74</v>
      </c>
      <c r="BB501" t="s">
        <v>74</v>
      </c>
      <c r="BC501" t="s">
        <v>74</v>
      </c>
      <c r="BD501">
        <v>254</v>
      </c>
      <c r="BE501" t="s">
        <v>9592</v>
      </c>
      <c r="BF501" t="str">
        <f>HYPERLINK("http://dx.doi.org/10.1007/s10142-023-01179-w","http://dx.doi.org/10.1007/s10142-023-01179-w")</f>
        <v>http://dx.doi.org/10.1007/s10142-023-01179-w</v>
      </c>
      <c r="BG501" t="s">
        <v>74</v>
      </c>
      <c r="BH501" t="s">
        <v>74</v>
      </c>
      <c r="BI501">
        <v>21</v>
      </c>
      <c r="BJ501" t="s">
        <v>3740</v>
      </c>
      <c r="BK501" t="s">
        <v>126</v>
      </c>
      <c r="BL501" t="s">
        <v>3740</v>
      </c>
      <c r="BM501" t="s">
        <v>9593</v>
      </c>
      <c r="BN501">
        <v>37495774</v>
      </c>
      <c r="BO501" t="s">
        <v>327</v>
      </c>
      <c r="BP501" t="s">
        <v>74</v>
      </c>
      <c r="BQ501" t="s">
        <v>74</v>
      </c>
      <c r="BR501" t="s">
        <v>99</v>
      </c>
      <c r="BS501" t="s">
        <v>9594</v>
      </c>
      <c r="BT501" t="str">
        <f>HYPERLINK("https%3A%2F%2Fwww.webofscience.com%2Fwos%2Fwoscc%2Ffull-record%2FWOS:001036161700001","View Full Record in Web of Science")</f>
        <v>View Full Record in Web of Science</v>
      </c>
    </row>
    <row r="502" spans="1:72" x14ac:dyDescent="0.15">
      <c r="A502" t="s">
        <v>72</v>
      </c>
      <c r="B502" t="s">
        <v>9595</v>
      </c>
      <c r="C502" t="s">
        <v>74</v>
      </c>
      <c r="D502" t="s">
        <v>74</v>
      </c>
      <c r="E502" t="s">
        <v>74</v>
      </c>
      <c r="F502" t="s">
        <v>9596</v>
      </c>
      <c r="G502" t="s">
        <v>74</v>
      </c>
      <c r="H502" t="s">
        <v>74</v>
      </c>
      <c r="I502" t="s">
        <v>9597</v>
      </c>
      <c r="J502" t="s">
        <v>9598</v>
      </c>
      <c r="K502" t="s">
        <v>74</v>
      </c>
      <c r="L502" t="s">
        <v>74</v>
      </c>
      <c r="M502" t="s">
        <v>78</v>
      </c>
      <c r="N502" t="s">
        <v>79</v>
      </c>
      <c r="O502" t="s">
        <v>74</v>
      </c>
      <c r="P502" t="s">
        <v>74</v>
      </c>
      <c r="Q502" t="s">
        <v>74</v>
      </c>
      <c r="R502" t="s">
        <v>74</v>
      </c>
      <c r="S502" t="s">
        <v>74</v>
      </c>
      <c r="T502" t="s">
        <v>9599</v>
      </c>
      <c r="U502" t="s">
        <v>9600</v>
      </c>
      <c r="V502" t="s">
        <v>9601</v>
      </c>
      <c r="W502" t="s">
        <v>9602</v>
      </c>
      <c r="X502" t="s">
        <v>9603</v>
      </c>
      <c r="Y502" t="s">
        <v>9604</v>
      </c>
      <c r="Z502" t="s">
        <v>9605</v>
      </c>
      <c r="AA502" t="s">
        <v>74</v>
      </c>
      <c r="AB502" t="s">
        <v>74</v>
      </c>
      <c r="AC502" t="s">
        <v>74</v>
      </c>
      <c r="AD502" t="s">
        <v>74</v>
      </c>
      <c r="AE502" t="s">
        <v>74</v>
      </c>
      <c r="AF502" t="s">
        <v>74</v>
      </c>
      <c r="AG502">
        <v>47</v>
      </c>
      <c r="AH502">
        <v>0</v>
      </c>
      <c r="AI502">
        <v>0</v>
      </c>
      <c r="AJ502">
        <v>0</v>
      </c>
      <c r="AK502">
        <v>0</v>
      </c>
      <c r="AL502" t="s">
        <v>117</v>
      </c>
      <c r="AM502" t="s">
        <v>118</v>
      </c>
      <c r="AN502" t="s">
        <v>119</v>
      </c>
      <c r="AO502" t="s">
        <v>9606</v>
      </c>
      <c r="AP502" t="s">
        <v>9607</v>
      </c>
      <c r="AQ502" t="s">
        <v>74</v>
      </c>
      <c r="AR502" t="s">
        <v>9608</v>
      </c>
      <c r="AS502" t="s">
        <v>9609</v>
      </c>
      <c r="AT502" t="s">
        <v>8614</v>
      </c>
      <c r="AU502">
        <v>2023</v>
      </c>
      <c r="AV502">
        <v>31</v>
      </c>
      <c r="AW502">
        <v>9</v>
      </c>
      <c r="AX502" t="s">
        <v>74</v>
      </c>
      <c r="AY502" t="s">
        <v>74</v>
      </c>
      <c r="AZ502" t="s">
        <v>74</v>
      </c>
      <c r="BA502" t="s">
        <v>74</v>
      </c>
      <c r="BB502">
        <v>3825</v>
      </c>
      <c r="BC502">
        <v>3840</v>
      </c>
      <c r="BD502" t="s">
        <v>74</v>
      </c>
      <c r="BE502" t="s">
        <v>9610</v>
      </c>
      <c r="BF502" t="str">
        <f>HYPERLINK("http://dx.doi.org/10.1007/s10924-023-02838-6","http://dx.doi.org/10.1007/s10924-023-02838-6")</f>
        <v>http://dx.doi.org/10.1007/s10924-023-02838-6</v>
      </c>
      <c r="BG502" t="s">
        <v>74</v>
      </c>
      <c r="BH502" t="s">
        <v>74</v>
      </c>
      <c r="BI502">
        <v>16</v>
      </c>
      <c r="BJ502" t="s">
        <v>9611</v>
      </c>
      <c r="BK502" t="s">
        <v>126</v>
      </c>
      <c r="BL502" t="s">
        <v>9612</v>
      </c>
      <c r="BM502" t="s">
        <v>9613</v>
      </c>
      <c r="BN502" t="s">
        <v>74</v>
      </c>
      <c r="BO502" t="s">
        <v>74</v>
      </c>
      <c r="BP502" t="s">
        <v>74</v>
      </c>
      <c r="BQ502" t="s">
        <v>74</v>
      </c>
      <c r="BR502" t="s">
        <v>99</v>
      </c>
      <c r="BS502" t="s">
        <v>9614</v>
      </c>
      <c r="BT502" t="str">
        <f>HYPERLINK("https%3A%2F%2Fwww.webofscience.com%2Fwos%2Fwoscc%2Ffull-record%2FWOS:001048709700009","View Full Record in Web of Science")</f>
        <v>View Full Record in Web of Science</v>
      </c>
    </row>
    <row r="503" spans="1:72" x14ac:dyDescent="0.15">
      <c r="A503" t="s">
        <v>72</v>
      </c>
      <c r="B503" t="s">
        <v>9615</v>
      </c>
      <c r="C503" t="s">
        <v>74</v>
      </c>
      <c r="D503" t="s">
        <v>74</v>
      </c>
      <c r="E503" t="s">
        <v>74</v>
      </c>
      <c r="F503" t="s">
        <v>9616</v>
      </c>
      <c r="G503" t="s">
        <v>74</v>
      </c>
      <c r="H503" t="s">
        <v>74</v>
      </c>
      <c r="I503" t="s">
        <v>9617</v>
      </c>
      <c r="J503" t="s">
        <v>9618</v>
      </c>
      <c r="K503" t="s">
        <v>74</v>
      </c>
      <c r="L503" t="s">
        <v>74</v>
      </c>
      <c r="M503" t="s">
        <v>78</v>
      </c>
      <c r="N503" t="s">
        <v>1246</v>
      </c>
      <c r="O503" t="s">
        <v>74</v>
      </c>
      <c r="P503" t="s">
        <v>74</v>
      </c>
      <c r="Q503" t="s">
        <v>74</v>
      </c>
      <c r="R503" t="s">
        <v>74</v>
      </c>
      <c r="S503" t="s">
        <v>74</v>
      </c>
      <c r="T503" t="s">
        <v>9619</v>
      </c>
      <c r="U503" t="s">
        <v>9620</v>
      </c>
      <c r="V503" t="s">
        <v>9621</v>
      </c>
      <c r="W503" t="s">
        <v>9622</v>
      </c>
      <c r="X503" t="s">
        <v>2814</v>
      </c>
      <c r="Y503" t="s">
        <v>9623</v>
      </c>
      <c r="Z503" t="s">
        <v>9624</v>
      </c>
      <c r="AA503" t="s">
        <v>9625</v>
      </c>
      <c r="AB503" t="s">
        <v>9626</v>
      </c>
      <c r="AC503" t="s">
        <v>9627</v>
      </c>
      <c r="AD503" t="s">
        <v>9628</v>
      </c>
      <c r="AE503" t="s">
        <v>9629</v>
      </c>
      <c r="AF503" t="s">
        <v>74</v>
      </c>
      <c r="AG503">
        <v>47</v>
      </c>
      <c r="AH503">
        <v>0</v>
      </c>
      <c r="AI503">
        <v>0</v>
      </c>
      <c r="AJ503">
        <v>3</v>
      </c>
      <c r="AK503">
        <v>3</v>
      </c>
      <c r="AL503" t="s">
        <v>117</v>
      </c>
      <c r="AM503" t="s">
        <v>627</v>
      </c>
      <c r="AN503" t="s">
        <v>628</v>
      </c>
      <c r="AO503" t="s">
        <v>9630</v>
      </c>
      <c r="AP503" t="s">
        <v>9631</v>
      </c>
      <c r="AQ503" t="s">
        <v>74</v>
      </c>
      <c r="AR503" t="s">
        <v>9632</v>
      </c>
      <c r="AS503" t="s">
        <v>9633</v>
      </c>
      <c r="AT503" t="s">
        <v>8746</v>
      </c>
      <c r="AU503">
        <v>2023</v>
      </c>
      <c r="AV503" t="s">
        <v>74</v>
      </c>
      <c r="AW503" t="s">
        <v>74</v>
      </c>
      <c r="AX503" t="s">
        <v>74</v>
      </c>
      <c r="AY503" t="s">
        <v>74</v>
      </c>
      <c r="AZ503" t="s">
        <v>74</v>
      </c>
      <c r="BA503" t="s">
        <v>74</v>
      </c>
      <c r="BB503" t="s">
        <v>74</v>
      </c>
      <c r="BC503" t="s">
        <v>74</v>
      </c>
      <c r="BD503" t="s">
        <v>74</v>
      </c>
      <c r="BE503" t="s">
        <v>9634</v>
      </c>
      <c r="BF503" t="str">
        <f>HYPERLINK("http://dx.doi.org/10.1007/s11248-023-00364-8","http://dx.doi.org/10.1007/s11248-023-00364-8")</f>
        <v>http://dx.doi.org/10.1007/s11248-023-00364-8</v>
      </c>
      <c r="BG503" t="s">
        <v>74</v>
      </c>
      <c r="BH503" t="s">
        <v>2079</v>
      </c>
      <c r="BI503">
        <v>11</v>
      </c>
      <c r="BJ503" t="s">
        <v>9635</v>
      </c>
      <c r="BK503" t="s">
        <v>126</v>
      </c>
      <c r="BL503" t="s">
        <v>9636</v>
      </c>
      <c r="BM503" t="s">
        <v>9637</v>
      </c>
      <c r="BN503">
        <v>37656262</v>
      </c>
      <c r="BO503" t="s">
        <v>327</v>
      </c>
      <c r="BP503" t="s">
        <v>74</v>
      </c>
      <c r="BQ503" t="s">
        <v>74</v>
      </c>
      <c r="BR503" t="s">
        <v>99</v>
      </c>
      <c r="BS503" t="s">
        <v>9638</v>
      </c>
      <c r="BT503" t="str">
        <f>HYPERLINK("https%3A%2F%2Fwww.webofscience.com%2Fwos%2Fwoscc%2Ffull-record%2FWOS:001056309200001","View Full Record in Web of Science")</f>
        <v>View Full Record in Web of Science</v>
      </c>
    </row>
    <row r="504" spans="1:72" x14ac:dyDescent="0.15">
      <c r="A504" t="s">
        <v>72</v>
      </c>
      <c r="B504" t="s">
        <v>9639</v>
      </c>
      <c r="C504" t="s">
        <v>74</v>
      </c>
      <c r="D504" t="s">
        <v>74</v>
      </c>
      <c r="E504" t="s">
        <v>74</v>
      </c>
      <c r="F504" t="s">
        <v>9640</v>
      </c>
      <c r="G504" t="s">
        <v>74</v>
      </c>
      <c r="H504" t="s">
        <v>74</v>
      </c>
      <c r="I504" t="s">
        <v>9641</v>
      </c>
      <c r="J504" t="s">
        <v>9642</v>
      </c>
      <c r="K504" t="s">
        <v>74</v>
      </c>
      <c r="L504" t="s">
        <v>74</v>
      </c>
      <c r="M504" t="s">
        <v>78</v>
      </c>
      <c r="N504" t="s">
        <v>1246</v>
      </c>
      <c r="O504" t="s">
        <v>74</v>
      </c>
      <c r="P504" t="s">
        <v>74</v>
      </c>
      <c r="Q504" t="s">
        <v>74</v>
      </c>
      <c r="R504" t="s">
        <v>74</v>
      </c>
      <c r="S504" t="s">
        <v>74</v>
      </c>
      <c r="T504" t="s">
        <v>74</v>
      </c>
      <c r="U504" t="s">
        <v>9643</v>
      </c>
      <c r="V504" t="s">
        <v>9644</v>
      </c>
      <c r="W504" t="s">
        <v>9645</v>
      </c>
      <c r="X504" t="s">
        <v>9646</v>
      </c>
      <c r="Y504" t="s">
        <v>9647</v>
      </c>
      <c r="Z504" t="s">
        <v>9648</v>
      </c>
      <c r="AA504" t="s">
        <v>74</v>
      </c>
      <c r="AB504" t="s">
        <v>9649</v>
      </c>
      <c r="AC504" t="s">
        <v>9650</v>
      </c>
      <c r="AD504" t="s">
        <v>9650</v>
      </c>
      <c r="AE504" t="s">
        <v>9650</v>
      </c>
      <c r="AF504" t="s">
        <v>74</v>
      </c>
      <c r="AG504">
        <v>53</v>
      </c>
      <c r="AH504">
        <v>0</v>
      </c>
      <c r="AI504">
        <v>0</v>
      </c>
      <c r="AJ504">
        <v>4</v>
      </c>
      <c r="AK504">
        <v>4</v>
      </c>
      <c r="AL504" t="s">
        <v>317</v>
      </c>
      <c r="AM504" t="s">
        <v>245</v>
      </c>
      <c r="AN504" t="s">
        <v>318</v>
      </c>
      <c r="AO504" t="s">
        <v>9651</v>
      </c>
      <c r="AP504" t="s">
        <v>9652</v>
      </c>
      <c r="AQ504" t="s">
        <v>74</v>
      </c>
      <c r="AR504" t="s">
        <v>9653</v>
      </c>
      <c r="AS504" t="s">
        <v>9654</v>
      </c>
      <c r="AT504" t="s">
        <v>8746</v>
      </c>
      <c r="AU504">
        <v>2023</v>
      </c>
      <c r="AV504" t="s">
        <v>74</v>
      </c>
      <c r="AW504" t="s">
        <v>74</v>
      </c>
      <c r="AX504" t="s">
        <v>74</v>
      </c>
      <c r="AY504" t="s">
        <v>74</v>
      </c>
      <c r="AZ504" t="s">
        <v>74</v>
      </c>
      <c r="BA504" t="s">
        <v>74</v>
      </c>
      <c r="BB504" t="s">
        <v>74</v>
      </c>
      <c r="BC504" t="s">
        <v>74</v>
      </c>
      <c r="BD504" t="s">
        <v>74</v>
      </c>
      <c r="BE504" t="s">
        <v>9655</v>
      </c>
      <c r="BF504" t="str">
        <f>HYPERLINK("http://dx.doi.org/10.1007/s43630-023-00468-4","http://dx.doi.org/10.1007/s43630-023-00468-4")</f>
        <v>http://dx.doi.org/10.1007/s43630-023-00468-4</v>
      </c>
      <c r="BG504" t="s">
        <v>74</v>
      </c>
      <c r="BH504" t="s">
        <v>2079</v>
      </c>
      <c r="BI504">
        <v>12</v>
      </c>
      <c r="BJ504" t="s">
        <v>9656</v>
      </c>
      <c r="BK504" t="s">
        <v>126</v>
      </c>
      <c r="BL504" t="s">
        <v>9657</v>
      </c>
      <c r="BM504" t="s">
        <v>9658</v>
      </c>
      <c r="BN504">
        <v>37656334</v>
      </c>
      <c r="BO504" t="s">
        <v>74</v>
      </c>
      <c r="BP504" t="s">
        <v>74</v>
      </c>
      <c r="BQ504" t="s">
        <v>74</v>
      </c>
      <c r="BR504" t="s">
        <v>99</v>
      </c>
      <c r="BS504" t="s">
        <v>9659</v>
      </c>
      <c r="BT504" t="str">
        <f>HYPERLINK("https%3A%2F%2Fwww.webofscience.com%2Fwos%2Fwoscc%2Ffull-record%2FWOS:001056318600002","View Full Record in Web of Science")</f>
        <v>View Full Record in Web of Science</v>
      </c>
    </row>
    <row r="505" spans="1:72" x14ac:dyDescent="0.15">
      <c r="A505" t="s">
        <v>72</v>
      </c>
      <c r="B505" t="s">
        <v>9660</v>
      </c>
      <c r="C505" t="s">
        <v>74</v>
      </c>
      <c r="D505" t="s">
        <v>74</v>
      </c>
      <c r="E505" t="s">
        <v>74</v>
      </c>
      <c r="F505" t="s">
        <v>9661</v>
      </c>
      <c r="G505" t="s">
        <v>74</v>
      </c>
      <c r="H505" t="s">
        <v>74</v>
      </c>
      <c r="I505" t="s">
        <v>9662</v>
      </c>
      <c r="J505" t="s">
        <v>9663</v>
      </c>
      <c r="K505" t="s">
        <v>74</v>
      </c>
      <c r="L505" t="s">
        <v>74</v>
      </c>
      <c r="M505" t="s">
        <v>4349</v>
      </c>
      <c r="N505" t="s">
        <v>1246</v>
      </c>
      <c r="O505" t="s">
        <v>74</v>
      </c>
      <c r="P505" t="s">
        <v>74</v>
      </c>
      <c r="Q505" t="s">
        <v>74</v>
      </c>
      <c r="R505" t="s">
        <v>74</v>
      </c>
      <c r="S505" t="s">
        <v>74</v>
      </c>
      <c r="T505" t="s">
        <v>9664</v>
      </c>
      <c r="U505" t="s">
        <v>9665</v>
      </c>
      <c r="V505" t="s">
        <v>9666</v>
      </c>
      <c r="W505" t="s">
        <v>9667</v>
      </c>
      <c r="X505" t="s">
        <v>9668</v>
      </c>
      <c r="Y505" t="s">
        <v>9669</v>
      </c>
      <c r="Z505" t="s">
        <v>9670</v>
      </c>
      <c r="AA505" t="s">
        <v>9671</v>
      </c>
      <c r="AB505" t="s">
        <v>9672</v>
      </c>
      <c r="AC505" t="s">
        <v>74</v>
      </c>
      <c r="AD505" t="s">
        <v>74</v>
      </c>
      <c r="AE505" t="s">
        <v>74</v>
      </c>
      <c r="AF505" t="s">
        <v>74</v>
      </c>
      <c r="AG505">
        <v>20</v>
      </c>
      <c r="AH505">
        <v>0</v>
      </c>
      <c r="AI505">
        <v>0</v>
      </c>
      <c r="AJ505">
        <v>1</v>
      </c>
      <c r="AK505">
        <v>1</v>
      </c>
      <c r="AL505" t="s">
        <v>172</v>
      </c>
      <c r="AM505" t="s">
        <v>173</v>
      </c>
      <c r="AN505" t="s">
        <v>174</v>
      </c>
      <c r="AO505" t="s">
        <v>9673</v>
      </c>
      <c r="AP505" t="s">
        <v>9674</v>
      </c>
      <c r="AQ505" t="s">
        <v>74</v>
      </c>
      <c r="AR505" t="s">
        <v>9675</v>
      </c>
      <c r="AS505" t="s">
        <v>9676</v>
      </c>
      <c r="AT505" t="s">
        <v>8746</v>
      </c>
      <c r="AU505">
        <v>2023</v>
      </c>
      <c r="AV505" t="s">
        <v>74</v>
      </c>
      <c r="AW505" t="s">
        <v>74</v>
      </c>
      <c r="AX505" t="s">
        <v>74</v>
      </c>
      <c r="AY505" t="s">
        <v>74</v>
      </c>
      <c r="AZ505" t="s">
        <v>74</v>
      </c>
      <c r="BA505" t="s">
        <v>74</v>
      </c>
      <c r="BB505" t="s">
        <v>74</v>
      </c>
      <c r="BC505" t="s">
        <v>74</v>
      </c>
      <c r="BD505" t="s">
        <v>74</v>
      </c>
      <c r="BE505" t="s">
        <v>9677</v>
      </c>
      <c r="BF505" t="str">
        <f>HYPERLINK("http://dx.doi.org/10.1007/s00391-023-02227-7","http://dx.doi.org/10.1007/s00391-023-02227-7")</f>
        <v>http://dx.doi.org/10.1007/s00391-023-02227-7</v>
      </c>
      <c r="BG505" t="s">
        <v>74</v>
      </c>
      <c r="BH505" t="s">
        <v>2079</v>
      </c>
      <c r="BI505">
        <v>6</v>
      </c>
      <c r="BJ505" t="s">
        <v>2430</v>
      </c>
      <c r="BK505" t="s">
        <v>2431</v>
      </c>
      <c r="BL505" t="s">
        <v>672</v>
      </c>
      <c r="BM505" t="s">
        <v>9678</v>
      </c>
      <c r="BN505">
        <v>37656226</v>
      </c>
      <c r="BO505" t="s">
        <v>74</v>
      </c>
      <c r="BP505" t="s">
        <v>74</v>
      </c>
      <c r="BQ505" t="s">
        <v>74</v>
      </c>
      <c r="BR505" t="s">
        <v>99</v>
      </c>
      <c r="BS505" t="s">
        <v>9679</v>
      </c>
      <c r="BT505" t="str">
        <f>HYPERLINK("https%3A%2F%2Fwww.webofscience.com%2Fwos%2Fwoscc%2Ffull-record%2FWOS:001060160200001","View Full Record in Web of Science")</f>
        <v>View Full Record in Web of Science</v>
      </c>
    </row>
    <row r="506" spans="1:72" x14ac:dyDescent="0.15">
      <c r="A506" t="s">
        <v>72</v>
      </c>
      <c r="B506" t="s">
        <v>9680</v>
      </c>
      <c r="C506" t="s">
        <v>74</v>
      </c>
      <c r="D506" t="s">
        <v>74</v>
      </c>
      <c r="E506" t="s">
        <v>74</v>
      </c>
      <c r="F506" t="s">
        <v>9681</v>
      </c>
      <c r="G506" t="s">
        <v>74</v>
      </c>
      <c r="H506" t="s">
        <v>74</v>
      </c>
      <c r="I506" t="s">
        <v>9682</v>
      </c>
      <c r="J506" t="s">
        <v>3189</v>
      </c>
      <c r="K506" t="s">
        <v>74</v>
      </c>
      <c r="L506" t="s">
        <v>74</v>
      </c>
      <c r="M506" t="s">
        <v>78</v>
      </c>
      <c r="N506" t="s">
        <v>1246</v>
      </c>
      <c r="O506" t="s">
        <v>74</v>
      </c>
      <c r="P506" t="s">
        <v>74</v>
      </c>
      <c r="Q506" t="s">
        <v>74</v>
      </c>
      <c r="R506" t="s">
        <v>74</v>
      </c>
      <c r="S506" t="s">
        <v>74</v>
      </c>
      <c r="T506" t="s">
        <v>9683</v>
      </c>
      <c r="U506" t="s">
        <v>9684</v>
      </c>
      <c r="V506" t="s">
        <v>9685</v>
      </c>
      <c r="W506" t="s">
        <v>9686</v>
      </c>
      <c r="X506" t="s">
        <v>9687</v>
      </c>
      <c r="Y506" t="s">
        <v>9688</v>
      </c>
      <c r="Z506" t="s">
        <v>9689</v>
      </c>
      <c r="AA506" t="s">
        <v>74</v>
      </c>
      <c r="AB506" t="s">
        <v>74</v>
      </c>
      <c r="AC506" t="s">
        <v>9690</v>
      </c>
      <c r="AD506" t="s">
        <v>9691</v>
      </c>
      <c r="AE506" t="s">
        <v>9692</v>
      </c>
      <c r="AF506" t="s">
        <v>74</v>
      </c>
      <c r="AG506">
        <v>28</v>
      </c>
      <c r="AH506">
        <v>0</v>
      </c>
      <c r="AI506">
        <v>0</v>
      </c>
      <c r="AJ506">
        <v>0</v>
      </c>
      <c r="AK506">
        <v>0</v>
      </c>
      <c r="AL506" t="s">
        <v>117</v>
      </c>
      <c r="AM506" t="s">
        <v>118</v>
      </c>
      <c r="AN506" t="s">
        <v>119</v>
      </c>
      <c r="AO506" t="s">
        <v>3200</v>
      </c>
      <c r="AP506" t="s">
        <v>3201</v>
      </c>
      <c r="AQ506" t="s">
        <v>74</v>
      </c>
      <c r="AR506" t="s">
        <v>3202</v>
      </c>
      <c r="AS506" t="s">
        <v>3203</v>
      </c>
      <c r="AT506" t="s">
        <v>8746</v>
      </c>
      <c r="AU506">
        <v>2023</v>
      </c>
      <c r="AV506" t="s">
        <v>74</v>
      </c>
      <c r="AW506" t="s">
        <v>74</v>
      </c>
      <c r="AX506" t="s">
        <v>74</v>
      </c>
      <c r="AY506" t="s">
        <v>74</v>
      </c>
      <c r="AZ506" t="s">
        <v>74</v>
      </c>
      <c r="BA506" t="s">
        <v>74</v>
      </c>
      <c r="BB506" t="s">
        <v>74</v>
      </c>
      <c r="BC506" t="s">
        <v>74</v>
      </c>
      <c r="BD506" t="s">
        <v>74</v>
      </c>
      <c r="BE506" t="s">
        <v>9693</v>
      </c>
      <c r="BF506" t="str">
        <f>HYPERLINK("http://dx.doi.org/10.1007/s10198-023-01625-3","http://dx.doi.org/10.1007/s10198-023-01625-3")</f>
        <v>http://dx.doi.org/10.1007/s10198-023-01625-3</v>
      </c>
      <c r="BG506" t="s">
        <v>74</v>
      </c>
      <c r="BH506" t="s">
        <v>2079</v>
      </c>
      <c r="BI506">
        <v>25</v>
      </c>
      <c r="BJ506" t="s">
        <v>3205</v>
      </c>
      <c r="BK506" t="s">
        <v>425</v>
      </c>
      <c r="BL506" t="s">
        <v>3206</v>
      </c>
      <c r="BM506" t="s">
        <v>9694</v>
      </c>
      <c r="BN506">
        <v>37656261</v>
      </c>
      <c r="BO506" t="s">
        <v>74</v>
      </c>
      <c r="BP506" t="s">
        <v>74</v>
      </c>
      <c r="BQ506" t="s">
        <v>74</v>
      </c>
      <c r="BR506" t="s">
        <v>99</v>
      </c>
      <c r="BS506" t="s">
        <v>9695</v>
      </c>
      <c r="BT506" t="str">
        <f>HYPERLINK("https%3A%2F%2Fwww.webofscience.com%2Fwos%2Fwoscc%2Ffull-record%2FWOS:001056978900001","View Full Record in Web of Science")</f>
        <v>View Full Record in Web of Science</v>
      </c>
    </row>
    <row r="507" spans="1:72" x14ac:dyDescent="0.15">
      <c r="A507" t="s">
        <v>72</v>
      </c>
      <c r="B507" t="s">
        <v>9696</v>
      </c>
      <c r="C507" t="s">
        <v>74</v>
      </c>
      <c r="D507" t="s">
        <v>74</v>
      </c>
      <c r="E507" t="s">
        <v>74</v>
      </c>
      <c r="F507" t="s">
        <v>9697</v>
      </c>
      <c r="G507" t="s">
        <v>74</v>
      </c>
      <c r="H507" t="s">
        <v>74</v>
      </c>
      <c r="I507" t="s">
        <v>9698</v>
      </c>
      <c r="J507" t="s">
        <v>8949</v>
      </c>
      <c r="K507" t="s">
        <v>74</v>
      </c>
      <c r="L507" t="s">
        <v>74</v>
      </c>
      <c r="M507" t="s">
        <v>78</v>
      </c>
      <c r="N507" t="s">
        <v>79</v>
      </c>
      <c r="O507" t="s">
        <v>74</v>
      </c>
      <c r="P507" t="s">
        <v>74</v>
      </c>
      <c r="Q507" t="s">
        <v>74</v>
      </c>
      <c r="R507" t="s">
        <v>74</v>
      </c>
      <c r="S507" t="s">
        <v>74</v>
      </c>
      <c r="T507" t="s">
        <v>9699</v>
      </c>
      <c r="U507" t="s">
        <v>9700</v>
      </c>
      <c r="V507" t="s">
        <v>9701</v>
      </c>
      <c r="W507" t="s">
        <v>9702</v>
      </c>
      <c r="X507" t="s">
        <v>9703</v>
      </c>
      <c r="Y507" t="s">
        <v>9704</v>
      </c>
      <c r="Z507" t="s">
        <v>9705</v>
      </c>
      <c r="AA507" t="s">
        <v>74</v>
      </c>
      <c r="AB507" t="s">
        <v>74</v>
      </c>
      <c r="AC507" t="s">
        <v>9706</v>
      </c>
      <c r="AD507" t="s">
        <v>9707</v>
      </c>
      <c r="AE507" t="s">
        <v>9708</v>
      </c>
      <c r="AF507" t="s">
        <v>74</v>
      </c>
      <c r="AG507">
        <v>26</v>
      </c>
      <c r="AH507">
        <v>0</v>
      </c>
      <c r="AI507">
        <v>0</v>
      </c>
      <c r="AJ507">
        <v>0</v>
      </c>
      <c r="AK507">
        <v>0</v>
      </c>
      <c r="AL507" t="s">
        <v>5347</v>
      </c>
      <c r="AM507" t="s">
        <v>118</v>
      </c>
      <c r="AN507" t="s">
        <v>5348</v>
      </c>
      <c r="AO507" t="s">
        <v>8960</v>
      </c>
      <c r="AP507" t="s">
        <v>8961</v>
      </c>
      <c r="AQ507" t="s">
        <v>74</v>
      </c>
      <c r="AR507" t="s">
        <v>8962</v>
      </c>
      <c r="AS507" t="s">
        <v>8963</v>
      </c>
      <c r="AT507" t="s">
        <v>8614</v>
      </c>
      <c r="AU507">
        <v>2023</v>
      </c>
      <c r="AV507">
        <v>97</v>
      </c>
      <c r="AW507">
        <v>9</v>
      </c>
      <c r="AX507" t="s">
        <v>74</v>
      </c>
      <c r="AY507" t="s">
        <v>74</v>
      </c>
      <c r="AZ507" t="s">
        <v>74</v>
      </c>
      <c r="BA507" t="s">
        <v>74</v>
      </c>
      <c r="BB507">
        <v>1901</v>
      </c>
      <c r="BC507">
        <v>1906</v>
      </c>
      <c r="BD507" t="s">
        <v>74</v>
      </c>
      <c r="BE507" t="s">
        <v>9709</v>
      </c>
      <c r="BF507" t="str">
        <f>HYPERLINK("http://dx.doi.org/10.1134/S003602442309011X","http://dx.doi.org/10.1134/S003602442309011X")</f>
        <v>http://dx.doi.org/10.1134/S003602442309011X</v>
      </c>
      <c r="BG507" t="s">
        <v>74</v>
      </c>
      <c r="BH507" t="s">
        <v>74</v>
      </c>
      <c r="BI507">
        <v>6</v>
      </c>
      <c r="BJ507" t="s">
        <v>8965</v>
      </c>
      <c r="BK507" t="s">
        <v>126</v>
      </c>
      <c r="BL507" t="s">
        <v>2826</v>
      </c>
      <c r="BM507" t="s">
        <v>8966</v>
      </c>
      <c r="BN507" t="s">
        <v>74</v>
      </c>
      <c r="BO507" t="s">
        <v>74</v>
      </c>
      <c r="BP507" t="s">
        <v>74</v>
      </c>
      <c r="BQ507" t="s">
        <v>74</v>
      </c>
      <c r="BR507" t="s">
        <v>99</v>
      </c>
      <c r="BS507" t="s">
        <v>9710</v>
      </c>
      <c r="BT507" t="str">
        <f>HYPERLINK("https%3A%2F%2Fwww.webofscience.com%2Fwos%2Fwoscc%2Ffull-record%2FWOS:001060257300006","View Full Record in Web of Science")</f>
        <v>View Full Record in Web of Science</v>
      </c>
    </row>
    <row r="508" spans="1:72" x14ac:dyDescent="0.15">
      <c r="A508" t="s">
        <v>72</v>
      </c>
      <c r="B508" t="s">
        <v>9711</v>
      </c>
      <c r="C508" t="s">
        <v>74</v>
      </c>
      <c r="D508" t="s">
        <v>74</v>
      </c>
      <c r="E508" t="s">
        <v>74</v>
      </c>
      <c r="F508" t="s">
        <v>9712</v>
      </c>
      <c r="G508" t="s">
        <v>74</v>
      </c>
      <c r="H508" t="s">
        <v>74</v>
      </c>
      <c r="I508" t="s">
        <v>9713</v>
      </c>
      <c r="J508" t="s">
        <v>1145</v>
      </c>
      <c r="K508" t="s">
        <v>74</v>
      </c>
      <c r="L508" t="s">
        <v>74</v>
      </c>
      <c r="M508" t="s">
        <v>78</v>
      </c>
      <c r="N508" t="s">
        <v>79</v>
      </c>
      <c r="O508" t="s">
        <v>74</v>
      </c>
      <c r="P508" t="s">
        <v>74</v>
      </c>
      <c r="Q508" t="s">
        <v>74</v>
      </c>
      <c r="R508" t="s">
        <v>74</v>
      </c>
      <c r="S508" t="s">
        <v>74</v>
      </c>
      <c r="T508" t="s">
        <v>9714</v>
      </c>
      <c r="U508" t="s">
        <v>9715</v>
      </c>
      <c r="V508" t="s">
        <v>9716</v>
      </c>
      <c r="W508" t="s">
        <v>9717</v>
      </c>
      <c r="X508" t="s">
        <v>9718</v>
      </c>
      <c r="Y508" t="s">
        <v>9719</v>
      </c>
      <c r="Z508" t="s">
        <v>9720</v>
      </c>
      <c r="AA508" t="s">
        <v>74</v>
      </c>
      <c r="AB508" t="s">
        <v>74</v>
      </c>
      <c r="AC508" t="s">
        <v>9721</v>
      </c>
      <c r="AD508" t="s">
        <v>9721</v>
      </c>
      <c r="AE508" t="s">
        <v>9722</v>
      </c>
      <c r="AF508" t="s">
        <v>74</v>
      </c>
      <c r="AG508">
        <v>64</v>
      </c>
      <c r="AH508">
        <v>0</v>
      </c>
      <c r="AI508">
        <v>0</v>
      </c>
      <c r="AJ508">
        <v>6</v>
      </c>
      <c r="AK508">
        <v>6</v>
      </c>
      <c r="AL508" t="s">
        <v>117</v>
      </c>
      <c r="AM508" t="s">
        <v>627</v>
      </c>
      <c r="AN508" t="s">
        <v>628</v>
      </c>
      <c r="AO508" t="s">
        <v>1157</v>
      </c>
      <c r="AP508" t="s">
        <v>1158</v>
      </c>
      <c r="AQ508" t="s">
        <v>74</v>
      </c>
      <c r="AR508" t="s">
        <v>1159</v>
      </c>
      <c r="AS508" t="s">
        <v>1160</v>
      </c>
      <c r="AT508" t="s">
        <v>8614</v>
      </c>
      <c r="AU508">
        <v>2023</v>
      </c>
      <c r="AV508">
        <v>55</v>
      </c>
      <c r="AW508">
        <v>9</v>
      </c>
      <c r="AX508" t="s">
        <v>74</v>
      </c>
      <c r="AY508" t="s">
        <v>74</v>
      </c>
      <c r="AZ508" t="s">
        <v>74</v>
      </c>
      <c r="BA508" t="s">
        <v>74</v>
      </c>
      <c r="BB508" t="s">
        <v>74</v>
      </c>
      <c r="BC508" t="s">
        <v>74</v>
      </c>
      <c r="BD508" t="s">
        <v>74</v>
      </c>
      <c r="BE508" t="s">
        <v>9723</v>
      </c>
      <c r="BF508" t="str">
        <f>HYPERLINK("http://dx.doi.org/10.1007/s11082-023-05029-8","http://dx.doi.org/10.1007/s11082-023-05029-8")</f>
        <v>http://dx.doi.org/10.1007/s11082-023-05029-8</v>
      </c>
      <c r="BG508" t="s">
        <v>74</v>
      </c>
      <c r="BH508" t="s">
        <v>74</v>
      </c>
      <c r="BI508">
        <v>15</v>
      </c>
      <c r="BJ508" t="s">
        <v>1162</v>
      </c>
      <c r="BK508" t="s">
        <v>126</v>
      </c>
      <c r="BL508" t="s">
        <v>1163</v>
      </c>
      <c r="BM508" t="s">
        <v>9339</v>
      </c>
      <c r="BN508" t="s">
        <v>74</v>
      </c>
      <c r="BO508" t="s">
        <v>74</v>
      </c>
      <c r="BP508" t="s">
        <v>74</v>
      </c>
      <c r="BQ508" t="s">
        <v>74</v>
      </c>
      <c r="BR508" t="s">
        <v>99</v>
      </c>
      <c r="BS508" t="s">
        <v>9724</v>
      </c>
      <c r="BT508" t="str">
        <f>HYPERLINK("https%3A%2F%2Fwww.webofscience.com%2Fwos%2Fwoscc%2Ffull-record%2FWOS:001022709300011","View Full Record in Web of Science")</f>
        <v>View Full Record in Web of Science</v>
      </c>
    </row>
    <row r="509" spans="1:72" x14ac:dyDescent="0.15">
      <c r="A509" t="s">
        <v>72</v>
      </c>
      <c r="B509" t="s">
        <v>9725</v>
      </c>
      <c r="C509" t="s">
        <v>74</v>
      </c>
      <c r="D509" t="s">
        <v>74</v>
      </c>
      <c r="E509" t="s">
        <v>74</v>
      </c>
      <c r="F509" t="s">
        <v>9726</v>
      </c>
      <c r="G509" t="s">
        <v>74</v>
      </c>
      <c r="H509" t="s">
        <v>74</v>
      </c>
      <c r="I509" t="s">
        <v>9727</v>
      </c>
      <c r="J509" t="s">
        <v>1531</v>
      </c>
      <c r="K509" t="s">
        <v>74</v>
      </c>
      <c r="L509" t="s">
        <v>74</v>
      </c>
      <c r="M509" t="s">
        <v>78</v>
      </c>
      <c r="N509" t="s">
        <v>79</v>
      </c>
      <c r="O509" t="s">
        <v>74</v>
      </c>
      <c r="P509" t="s">
        <v>74</v>
      </c>
      <c r="Q509" t="s">
        <v>74</v>
      </c>
      <c r="R509" t="s">
        <v>74</v>
      </c>
      <c r="S509" t="s">
        <v>74</v>
      </c>
      <c r="T509" t="s">
        <v>74</v>
      </c>
      <c r="U509" t="s">
        <v>9728</v>
      </c>
      <c r="V509" t="s">
        <v>9729</v>
      </c>
      <c r="W509" t="s">
        <v>9730</v>
      </c>
      <c r="X509" t="s">
        <v>9731</v>
      </c>
      <c r="Y509" t="s">
        <v>9732</v>
      </c>
      <c r="Z509" t="s">
        <v>9733</v>
      </c>
      <c r="AA509" t="s">
        <v>74</v>
      </c>
      <c r="AB509" t="s">
        <v>74</v>
      </c>
      <c r="AC509" t="s">
        <v>9734</v>
      </c>
      <c r="AD509" t="s">
        <v>9734</v>
      </c>
      <c r="AE509" t="s">
        <v>9735</v>
      </c>
      <c r="AF509" t="s">
        <v>74</v>
      </c>
      <c r="AG509">
        <v>33</v>
      </c>
      <c r="AH509">
        <v>0</v>
      </c>
      <c r="AI509">
        <v>0</v>
      </c>
      <c r="AJ509">
        <v>1</v>
      </c>
      <c r="AK509">
        <v>1</v>
      </c>
      <c r="AL509" t="s">
        <v>172</v>
      </c>
      <c r="AM509" t="s">
        <v>173</v>
      </c>
      <c r="AN509" t="s">
        <v>174</v>
      </c>
      <c r="AO509" t="s">
        <v>1541</v>
      </c>
      <c r="AP509" t="s">
        <v>1542</v>
      </c>
      <c r="AQ509" t="s">
        <v>74</v>
      </c>
      <c r="AR509" t="s">
        <v>1543</v>
      </c>
      <c r="AS509" t="s">
        <v>1544</v>
      </c>
      <c r="AT509" t="s">
        <v>8614</v>
      </c>
      <c r="AU509">
        <v>2023</v>
      </c>
      <c r="AV509">
        <v>129</v>
      </c>
      <c r="AW509">
        <v>9</v>
      </c>
      <c r="AX509" t="s">
        <v>74</v>
      </c>
      <c r="AY509" t="s">
        <v>74</v>
      </c>
      <c r="AZ509" t="s">
        <v>74</v>
      </c>
      <c r="BA509" t="s">
        <v>74</v>
      </c>
      <c r="BB509" t="s">
        <v>74</v>
      </c>
      <c r="BC509" t="s">
        <v>74</v>
      </c>
      <c r="BD509">
        <v>147</v>
      </c>
      <c r="BE509" t="s">
        <v>9736</v>
      </c>
      <c r="BF509" t="str">
        <f>HYPERLINK("http://dx.doi.org/10.1007/s00340-023-08080-1","http://dx.doi.org/10.1007/s00340-023-08080-1")</f>
        <v>http://dx.doi.org/10.1007/s00340-023-08080-1</v>
      </c>
      <c r="BG509" t="s">
        <v>74</v>
      </c>
      <c r="BH509" t="s">
        <v>74</v>
      </c>
      <c r="BI509">
        <v>12</v>
      </c>
      <c r="BJ509" t="s">
        <v>1546</v>
      </c>
      <c r="BK509" t="s">
        <v>126</v>
      </c>
      <c r="BL509" t="s">
        <v>1547</v>
      </c>
      <c r="BM509" t="s">
        <v>9737</v>
      </c>
      <c r="BN509" t="s">
        <v>74</v>
      </c>
      <c r="BO509" t="s">
        <v>183</v>
      </c>
      <c r="BP509" t="s">
        <v>74</v>
      </c>
      <c r="BQ509" t="s">
        <v>74</v>
      </c>
      <c r="BR509" t="s">
        <v>99</v>
      </c>
      <c r="BS509" t="s">
        <v>9738</v>
      </c>
      <c r="BT509" t="str">
        <f>HYPERLINK("https%3A%2F%2Fwww.webofscience.com%2Fwos%2Fwoscc%2Ffull-record%2FWOS:001057543600001","View Full Record in Web of Science")</f>
        <v>View Full Record in Web of Science</v>
      </c>
    </row>
    <row r="510" spans="1:72" x14ac:dyDescent="0.15">
      <c r="A510" t="s">
        <v>72</v>
      </c>
      <c r="B510" t="s">
        <v>9739</v>
      </c>
      <c r="C510" t="s">
        <v>74</v>
      </c>
      <c r="D510" t="s">
        <v>74</v>
      </c>
      <c r="E510" t="s">
        <v>74</v>
      </c>
      <c r="F510" t="s">
        <v>9740</v>
      </c>
      <c r="G510" t="s">
        <v>74</v>
      </c>
      <c r="H510" t="s">
        <v>74</v>
      </c>
      <c r="I510" t="s">
        <v>9741</v>
      </c>
      <c r="J510" t="s">
        <v>9742</v>
      </c>
      <c r="K510" t="s">
        <v>74</v>
      </c>
      <c r="L510" t="s">
        <v>74</v>
      </c>
      <c r="M510" t="s">
        <v>78</v>
      </c>
      <c r="N510" t="s">
        <v>79</v>
      </c>
      <c r="O510" t="s">
        <v>74</v>
      </c>
      <c r="P510" t="s">
        <v>74</v>
      </c>
      <c r="Q510" t="s">
        <v>74</v>
      </c>
      <c r="R510" t="s">
        <v>74</v>
      </c>
      <c r="S510" t="s">
        <v>74</v>
      </c>
      <c r="T510" t="s">
        <v>9743</v>
      </c>
      <c r="U510" t="s">
        <v>9744</v>
      </c>
      <c r="V510" t="s">
        <v>9745</v>
      </c>
      <c r="W510" t="s">
        <v>9746</v>
      </c>
      <c r="X510" t="s">
        <v>9747</v>
      </c>
      <c r="Y510" t="s">
        <v>9748</v>
      </c>
      <c r="Z510" t="s">
        <v>9749</v>
      </c>
      <c r="AA510" t="s">
        <v>74</v>
      </c>
      <c r="AB510" t="s">
        <v>74</v>
      </c>
      <c r="AC510" t="s">
        <v>9750</v>
      </c>
      <c r="AD510" t="s">
        <v>9751</v>
      </c>
      <c r="AE510" t="s">
        <v>9752</v>
      </c>
      <c r="AF510" t="s">
        <v>74</v>
      </c>
      <c r="AG510">
        <v>44</v>
      </c>
      <c r="AH510">
        <v>0</v>
      </c>
      <c r="AI510">
        <v>0</v>
      </c>
      <c r="AJ510">
        <v>2</v>
      </c>
      <c r="AK510">
        <v>2</v>
      </c>
      <c r="AL510" t="s">
        <v>117</v>
      </c>
      <c r="AM510" t="s">
        <v>627</v>
      </c>
      <c r="AN510" t="s">
        <v>628</v>
      </c>
      <c r="AO510" t="s">
        <v>9753</v>
      </c>
      <c r="AP510" t="s">
        <v>9754</v>
      </c>
      <c r="AQ510" t="s">
        <v>74</v>
      </c>
      <c r="AR510" t="s">
        <v>9755</v>
      </c>
      <c r="AS510" t="s">
        <v>9756</v>
      </c>
      <c r="AT510" t="s">
        <v>8614</v>
      </c>
      <c r="AU510">
        <v>2023</v>
      </c>
      <c r="AV510">
        <v>56</v>
      </c>
      <c r="AW510">
        <v>7</v>
      </c>
      <c r="AX510" t="s">
        <v>74</v>
      </c>
      <c r="AY510" t="s">
        <v>74</v>
      </c>
      <c r="AZ510" t="s">
        <v>74</v>
      </c>
      <c r="BA510" t="s">
        <v>74</v>
      </c>
      <c r="BB510" t="s">
        <v>74</v>
      </c>
      <c r="BC510" t="s">
        <v>74</v>
      </c>
      <c r="BD510">
        <v>124</v>
      </c>
      <c r="BE510" t="s">
        <v>9757</v>
      </c>
      <c r="BF510" t="str">
        <f>HYPERLINK("http://dx.doi.org/10.1617/s11527-023-02215-8","http://dx.doi.org/10.1617/s11527-023-02215-8")</f>
        <v>http://dx.doi.org/10.1617/s11527-023-02215-8</v>
      </c>
      <c r="BG510" t="s">
        <v>74</v>
      </c>
      <c r="BH510" t="s">
        <v>74</v>
      </c>
      <c r="BI510">
        <v>19</v>
      </c>
      <c r="BJ510" t="s">
        <v>9758</v>
      </c>
      <c r="BK510" t="s">
        <v>126</v>
      </c>
      <c r="BL510" t="s">
        <v>9759</v>
      </c>
      <c r="BM510" t="s">
        <v>9760</v>
      </c>
      <c r="BN510" t="s">
        <v>74</v>
      </c>
      <c r="BO510" t="s">
        <v>74</v>
      </c>
      <c r="BP510" t="s">
        <v>74</v>
      </c>
      <c r="BQ510" t="s">
        <v>74</v>
      </c>
      <c r="BR510" t="s">
        <v>99</v>
      </c>
      <c r="BS510" t="s">
        <v>9761</v>
      </c>
      <c r="BT510" t="str">
        <f>HYPERLINK("https%3A%2F%2Fwww.webofscience.com%2Fwos%2Fwoscc%2Ffull-record%2FWOS:001036952800001","View Full Record in Web of Science")</f>
        <v>View Full Record in Web of Science</v>
      </c>
    </row>
    <row r="511" spans="1:72" x14ac:dyDescent="0.15">
      <c r="A511" t="s">
        <v>72</v>
      </c>
      <c r="B511" t="s">
        <v>9762</v>
      </c>
      <c r="C511" t="s">
        <v>74</v>
      </c>
      <c r="D511" t="s">
        <v>74</v>
      </c>
      <c r="E511" t="s">
        <v>74</v>
      </c>
      <c r="F511" t="s">
        <v>9763</v>
      </c>
      <c r="G511" t="s">
        <v>74</v>
      </c>
      <c r="H511" t="s">
        <v>74</v>
      </c>
      <c r="I511" t="s">
        <v>9764</v>
      </c>
      <c r="J511" t="s">
        <v>9468</v>
      </c>
      <c r="K511" t="s">
        <v>74</v>
      </c>
      <c r="L511" t="s">
        <v>74</v>
      </c>
      <c r="M511" t="s">
        <v>78</v>
      </c>
      <c r="N511" t="s">
        <v>105</v>
      </c>
      <c r="O511" t="s">
        <v>74</v>
      </c>
      <c r="P511" t="s">
        <v>74</v>
      </c>
      <c r="Q511" t="s">
        <v>74</v>
      </c>
      <c r="R511" t="s">
        <v>74</v>
      </c>
      <c r="S511" t="s">
        <v>74</v>
      </c>
      <c r="T511" t="s">
        <v>9765</v>
      </c>
      <c r="U511" t="s">
        <v>9766</v>
      </c>
      <c r="V511" t="s">
        <v>9767</v>
      </c>
      <c r="W511" t="s">
        <v>9768</v>
      </c>
      <c r="X511" t="s">
        <v>9769</v>
      </c>
      <c r="Y511" t="s">
        <v>9770</v>
      </c>
      <c r="Z511" t="s">
        <v>9771</v>
      </c>
      <c r="AA511" t="s">
        <v>74</v>
      </c>
      <c r="AB511" t="s">
        <v>74</v>
      </c>
      <c r="AC511" t="s">
        <v>9772</v>
      </c>
      <c r="AD511" t="s">
        <v>9773</v>
      </c>
      <c r="AE511" t="s">
        <v>9774</v>
      </c>
      <c r="AF511" t="s">
        <v>74</v>
      </c>
      <c r="AG511">
        <v>162</v>
      </c>
      <c r="AH511">
        <v>0</v>
      </c>
      <c r="AI511">
        <v>0</v>
      </c>
      <c r="AJ511">
        <v>5</v>
      </c>
      <c r="AK511">
        <v>5</v>
      </c>
      <c r="AL511" t="s">
        <v>117</v>
      </c>
      <c r="AM511" t="s">
        <v>118</v>
      </c>
      <c r="AN511" t="s">
        <v>119</v>
      </c>
      <c r="AO511" t="s">
        <v>9479</v>
      </c>
      <c r="AP511" t="s">
        <v>9480</v>
      </c>
      <c r="AQ511" t="s">
        <v>74</v>
      </c>
      <c r="AR511" t="s">
        <v>9481</v>
      </c>
      <c r="AS511" t="s">
        <v>9482</v>
      </c>
      <c r="AT511" t="s">
        <v>8614</v>
      </c>
      <c r="AU511">
        <v>2023</v>
      </c>
      <c r="AV511">
        <v>205</v>
      </c>
      <c r="AW511">
        <v>9</v>
      </c>
      <c r="AX511" t="s">
        <v>74</v>
      </c>
      <c r="AY511" t="s">
        <v>74</v>
      </c>
      <c r="AZ511" t="s">
        <v>74</v>
      </c>
      <c r="BA511" t="s">
        <v>74</v>
      </c>
      <c r="BB511" t="s">
        <v>74</v>
      </c>
      <c r="BC511" t="s">
        <v>74</v>
      </c>
      <c r="BD511">
        <v>300</v>
      </c>
      <c r="BE511" t="s">
        <v>9775</v>
      </c>
      <c r="BF511" t="str">
        <f>HYPERLINK("http://dx.doi.org/10.1007/s00203-023-03640-7","http://dx.doi.org/10.1007/s00203-023-03640-7")</f>
        <v>http://dx.doi.org/10.1007/s00203-023-03640-7</v>
      </c>
      <c r="BG511" t="s">
        <v>74</v>
      </c>
      <c r="BH511" t="s">
        <v>74</v>
      </c>
      <c r="BI511">
        <v>16</v>
      </c>
      <c r="BJ511" t="s">
        <v>1967</v>
      </c>
      <c r="BK511" t="s">
        <v>126</v>
      </c>
      <c r="BL511" t="s">
        <v>1967</v>
      </c>
      <c r="BM511" t="s">
        <v>9776</v>
      </c>
      <c r="BN511">
        <v>37542687</v>
      </c>
      <c r="BO511" t="s">
        <v>74</v>
      </c>
      <c r="BP511" t="s">
        <v>74</v>
      </c>
      <c r="BQ511" t="s">
        <v>74</v>
      </c>
      <c r="BR511" t="s">
        <v>99</v>
      </c>
      <c r="BS511" t="s">
        <v>9777</v>
      </c>
      <c r="BT511" t="str">
        <f>HYPERLINK("https%3A%2F%2Fwww.webofscience.com%2Fwos%2Fwoscc%2Ffull-record%2FWOS:001042756600001","View Full Record in Web of Science")</f>
        <v>View Full Record in Web of Science</v>
      </c>
    </row>
    <row r="512" spans="1:72" x14ac:dyDescent="0.15">
      <c r="A512" t="s">
        <v>72</v>
      </c>
      <c r="B512" t="s">
        <v>9778</v>
      </c>
      <c r="C512" t="s">
        <v>74</v>
      </c>
      <c r="D512" t="s">
        <v>74</v>
      </c>
      <c r="E512" t="s">
        <v>74</v>
      </c>
      <c r="F512" t="s">
        <v>9779</v>
      </c>
      <c r="G512" t="s">
        <v>74</v>
      </c>
      <c r="H512" t="s">
        <v>74</v>
      </c>
      <c r="I512" t="s">
        <v>9780</v>
      </c>
      <c r="J512" t="s">
        <v>9344</v>
      </c>
      <c r="K512" t="s">
        <v>74</v>
      </c>
      <c r="L512" t="s">
        <v>74</v>
      </c>
      <c r="M512" t="s">
        <v>78</v>
      </c>
      <c r="N512" t="s">
        <v>79</v>
      </c>
      <c r="O512" t="s">
        <v>74</v>
      </c>
      <c r="P512" t="s">
        <v>74</v>
      </c>
      <c r="Q512" t="s">
        <v>74</v>
      </c>
      <c r="R512" t="s">
        <v>74</v>
      </c>
      <c r="S512" t="s">
        <v>74</v>
      </c>
      <c r="T512" t="s">
        <v>9781</v>
      </c>
      <c r="U512" t="s">
        <v>74</v>
      </c>
      <c r="V512" t="s">
        <v>9782</v>
      </c>
      <c r="W512" t="s">
        <v>9783</v>
      </c>
      <c r="X512" t="s">
        <v>9784</v>
      </c>
      <c r="Y512" t="s">
        <v>9785</v>
      </c>
      <c r="Z512" t="s">
        <v>9786</v>
      </c>
      <c r="AA512" t="s">
        <v>74</v>
      </c>
      <c r="AB512" t="s">
        <v>74</v>
      </c>
      <c r="AC512" t="s">
        <v>9787</v>
      </c>
      <c r="AD512" t="s">
        <v>9788</v>
      </c>
      <c r="AE512" t="s">
        <v>9789</v>
      </c>
      <c r="AF512" t="s">
        <v>74</v>
      </c>
      <c r="AG512">
        <v>53</v>
      </c>
      <c r="AH512">
        <v>0</v>
      </c>
      <c r="AI512">
        <v>0</v>
      </c>
      <c r="AJ512">
        <v>4</v>
      </c>
      <c r="AK512">
        <v>4</v>
      </c>
      <c r="AL512" t="s">
        <v>117</v>
      </c>
      <c r="AM512" t="s">
        <v>627</v>
      </c>
      <c r="AN512" t="s">
        <v>628</v>
      </c>
      <c r="AO512" t="s">
        <v>9356</v>
      </c>
      <c r="AP512" t="s">
        <v>9357</v>
      </c>
      <c r="AQ512" t="s">
        <v>74</v>
      </c>
      <c r="AR512" t="s">
        <v>9358</v>
      </c>
      <c r="AS512" t="s">
        <v>9359</v>
      </c>
      <c r="AT512" t="s">
        <v>8614</v>
      </c>
      <c r="AU512">
        <v>2023</v>
      </c>
      <c r="AV512">
        <v>37</v>
      </c>
      <c r="AW512">
        <v>5</v>
      </c>
      <c r="AX512" t="s">
        <v>74</v>
      </c>
      <c r="AY512" t="s">
        <v>74</v>
      </c>
      <c r="AZ512" t="s">
        <v>74</v>
      </c>
      <c r="BA512" t="s">
        <v>74</v>
      </c>
      <c r="BB512">
        <v>2046</v>
      </c>
      <c r="BC512">
        <v>2069</v>
      </c>
      <c r="BD512" t="s">
        <v>74</v>
      </c>
      <c r="BE512" t="s">
        <v>9790</v>
      </c>
      <c r="BF512" t="str">
        <f>HYPERLINK("http://dx.doi.org/10.1007/s10618-023-00946-4","http://dx.doi.org/10.1007/s10618-023-00946-4")</f>
        <v>http://dx.doi.org/10.1007/s10618-023-00946-4</v>
      </c>
      <c r="BG512" t="s">
        <v>74</v>
      </c>
      <c r="BH512" t="s">
        <v>74</v>
      </c>
      <c r="BI512">
        <v>24</v>
      </c>
      <c r="BJ512" t="s">
        <v>3818</v>
      </c>
      <c r="BK512" t="s">
        <v>126</v>
      </c>
      <c r="BL512" t="s">
        <v>1139</v>
      </c>
      <c r="BM512" t="s">
        <v>9361</v>
      </c>
      <c r="BN512" t="s">
        <v>74</v>
      </c>
      <c r="BO512" t="s">
        <v>327</v>
      </c>
      <c r="BP512" t="s">
        <v>74</v>
      </c>
      <c r="BQ512" t="s">
        <v>74</v>
      </c>
      <c r="BR512" t="s">
        <v>99</v>
      </c>
      <c r="BS512" t="s">
        <v>9791</v>
      </c>
      <c r="BT512" t="str">
        <f>HYPERLINK("https%3A%2F%2Fwww.webofscience.com%2Fwos%2Fwoscc%2Ffull-record%2FWOS:001049013300011","View Full Record in Web of Science")</f>
        <v>View Full Record in Web of Science</v>
      </c>
    </row>
    <row r="513" spans="1:72" x14ac:dyDescent="0.15">
      <c r="A513" t="s">
        <v>72</v>
      </c>
      <c r="B513" t="s">
        <v>9792</v>
      </c>
      <c r="C513" t="s">
        <v>74</v>
      </c>
      <c r="D513" t="s">
        <v>74</v>
      </c>
      <c r="E513" t="s">
        <v>74</v>
      </c>
      <c r="F513" t="s">
        <v>9793</v>
      </c>
      <c r="G513" t="s">
        <v>74</v>
      </c>
      <c r="H513" t="s">
        <v>74</v>
      </c>
      <c r="I513" t="s">
        <v>9794</v>
      </c>
      <c r="J513" t="s">
        <v>1430</v>
      </c>
      <c r="K513" t="s">
        <v>74</v>
      </c>
      <c r="L513" t="s">
        <v>74</v>
      </c>
      <c r="M513" t="s">
        <v>78</v>
      </c>
      <c r="N513" t="s">
        <v>79</v>
      </c>
      <c r="O513" t="s">
        <v>74</v>
      </c>
      <c r="P513" t="s">
        <v>74</v>
      </c>
      <c r="Q513" t="s">
        <v>74</v>
      </c>
      <c r="R513" t="s">
        <v>74</v>
      </c>
      <c r="S513" t="s">
        <v>74</v>
      </c>
      <c r="T513" t="s">
        <v>9795</v>
      </c>
      <c r="U513" t="s">
        <v>9796</v>
      </c>
      <c r="V513" t="s">
        <v>9797</v>
      </c>
      <c r="W513" t="s">
        <v>9798</v>
      </c>
      <c r="X513" t="s">
        <v>9799</v>
      </c>
      <c r="Y513" t="s">
        <v>9800</v>
      </c>
      <c r="Z513" t="s">
        <v>9801</v>
      </c>
      <c r="AA513" t="s">
        <v>74</v>
      </c>
      <c r="AB513" t="s">
        <v>74</v>
      </c>
      <c r="AC513" t="s">
        <v>9802</v>
      </c>
      <c r="AD513" t="s">
        <v>4976</v>
      </c>
      <c r="AE513" t="s">
        <v>9803</v>
      </c>
      <c r="AF513" t="s">
        <v>74</v>
      </c>
      <c r="AG513">
        <v>61</v>
      </c>
      <c r="AH513">
        <v>0</v>
      </c>
      <c r="AI513">
        <v>0</v>
      </c>
      <c r="AJ513">
        <v>4</v>
      </c>
      <c r="AK513">
        <v>4</v>
      </c>
      <c r="AL513" t="s">
        <v>172</v>
      </c>
      <c r="AM513" t="s">
        <v>173</v>
      </c>
      <c r="AN513" t="s">
        <v>174</v>
      </c>
      <c r="AO513" t="s">
        <v>1438</v>
      </c>
      <c r="AP513" t="s">
        <v>1439</v>
      </c>
      <c r="AQ513" t="s">
        <v>74</v>
      </c>
      <c r="AR513" t="s">
        <v>1440</v>
      </c>
      <c r="AS513" t="s">
        <v>1441</v>
      </c>
      <c r="AT513" t="s">
        <v>8614</v>
      </c>
      <c r="AU513">
        <v>2023</v>
      </c>
      <c r="AV513">
        <v>129</v>
      </c>
      <c r="AW513">
        <v>9</v>
      </c>
      <c r="AX513" t="s">
        <v>74</v>
      </c>
      <c r="AY513" t="s">
        <v>74</v>
      </c>
      <c r="AZ513" t="s">
        <v>74</v>
      </c>
      <c r="BA513" t="s">
        <v>74</v>
      </c>
      <c r="BB513" t="s">
        <v>74</v>
      </c>
      <c r="BC513" t="s">
        <v>74</v>
      </c>
      <c r="BD513">
        <v>620</v>
      </c>
      <c r="BE513" t="s">
        <v>9804</v>
      </c>
      <c r="BF513" t="str">
        <f>HYPERLINK("http://dx.doi.org/10.1007/s00339-023-06893-7","http://dx.doi.org/10.1007/s00339-023-06893-7")</f>
        <v>http://dx.doi.org/10.1007/s00339-023-06893-7</v>
      </c>
      <c r="BG513" t="s">
        <v>74</v>
      </c>
      <c r="BH513" t="s">
        <v>74</v>
      </c>
      <c r="BI513">
        <v>20</v>
      </c>
      <c r="BJ513" t="s">
        <v>1443</v>
      </c>
      <c r="BK513" t="s">
        <v>126</v>
      </c>
      <c r="BL513" t="s">
        <v>1444</v>
      </c>
      <c r="BM513" t="s">
        <v>9805</v>
      </c>
      <c r="BN513" t="s">
        <v>74</v>
      </c>
      <c r="BO513" t="s">
        <v>74</v>
      </c>
      <c r="BP513" t="s">
        <v>74</v>
      </c>
      <c r="BQ513" t="s">
        <v>74</v>
      </c>
      <c r="BR513" t="s">
        <v>99</v>
      </c>
      <c r="BS513" t="s">
        <v>9806</v>
      </c>
      <c r="BT513" t="str">
        <f>HYPERLINK("https%3A%2F%2Fwww.webofscience.com%2Fwos%2Fwoscc%2Ffull-record%2FWOS:001048691400001","View Full Record in Web of Science")</f>
        <v>View Full Record in Web of Science</v>
      </c>
    </row>
    <row r="514" spans="1:72" x14ac:dyDescent="0.15">
      <c r="A514" t="s">
        <v>72</v>
      </c>
      <c r="B514" t="s">
        <v>9807</v>
      </c>
      <c r="C514" t="s">
        <v>74</v>
      </c>
      <c r="D514" t="s">
        <v>74</v>
      </c>
      <c r="E514" t="s">
        <v>74</v>
      </c>
      <c r="F514" t="s">
        <v>9808</v>
      </c>
      <c r="G514" t="s">
        <v>74</v>
      </c>
      <c r="H514" t="s">
        <v>74</v>
      </c>
      <c r="I514" t="s">
        <v>9809</v>
      </c>
      <c r="J514" t="s">
        <v>9810</v>
      </c>
      <c r="K514" t="s">
        <v>74</v>
      </c>
      <c r="L514" t="s">
        <v>74</v>
      </c>
      <c r="M514" t="s">
        <v>78</v>
      </c>
      <c r="N514" t="s">
        <v>79</v>
      </c>
      <c r="O514" t="s">
        <v>74</v>
      </c>
      <c r="P514" t="s">
        <v>74</v>
      </c>
      <c r="Q514" t="s">
        <v>74</v>
      </c>
      <c r="R514" t="s">
        <v>74</v>
      </c>
      <c r="S514" t="s">
        <v>74</v>
      </c>
      <c r="T514" t="s">
        <v>9811</v>
      </c>
      <c r="U514" t="s">
        <v>9812</v>
      </c>
      <c r="V514" t="s">
        <v>9813</v>
      </c>
      <c r="W514" t="s">
        <v>9814</v>
      </c>
      <c r="X514" t="s">
        <v>9815</v>
      </c>
      <c r="Y514" t="s">
        <v>9816</v>
      </c>
      <c r="Z514" t="s">
        <v>9817</v>
      </c>
      <c r="AA514" t="s">
        <v>74</v>
      </c>
      <c r="AB514" t="s">
        <v>74</v>
      </c>
      <c r="AC514" t="s">
        <v>74</v>
      </c>
      <c r="AD514" t="s">
        <v>74</v>
      </c>
      <c r="AE514" t="s">
        <v>74</v>
      </c>
      <c r="AF514" t="s">
        <v>74</v>
      </c>
      <c r="AG514">
        <v>49</v>
      </c>
      <c r="AH514">
        <v>0</v>
      </c>
      <c r="AI514">
        <v>0</v>
      </c>
      <c r="AJ514">
        <v>0</v>
      </c>
      <c r="AK514">
        <v>0</v>
      </c>
      <c r="AL514" t="s">
        <v>219</v>
      </c>
      <c r="AM514" t="s">
        <v>220</v>
      </c>
      <c r="AN514" t="s">
        <v>221</v>
      </c>
      <c r="AO514" t="s">
        <v>9818</v>
      </c>
      <c r="AP514" t="s">
        <v>9819</v>
      </c>
      <c r="AQ514" t="s">
        <v>74</v>
      </c>
      <c r="AR514" t="s">
        <v>9820</v>
      </c>
      <c r="AS514" t="s">
        <v>9821</v>
      </c>
      <c r="AT514" t="s">
        <v>8614</v>
      </c>
      <c r="AU514">
        <v>2023</v>
      </c>
      <c r="AV514">
        <v>33</v>
      </c>
      <c r="AW514">
        <v>4</v>
      </c>
      <c r="AX514" t="s">
        <v>74</v>
      </c>
      <c r="AY514" t="s">
        <v>74</v>
      </c>
      <c r="AZ514" t="s">
        <v>74</v>
      </c>
      <c r="BA514" t="s">
        <v>74</v>
      </c>
      <c r="BB514" t="s">
        <v>74</v>
      </c>
      <c r="BC514" t="s">
        <v>74</v>
      </c>
      <c r="BD514">
        <v>48</v>
      </c>
      <c r="BE514" t="s">
        <v>9822</v>
      </c>
      <c r="BF514" t="str">
        <f>HYPERLINK("http://dx.doi.org/10.1007/s00006-023-01283-x","http://dx.doi.org/10.1007/s00006-023-01283-x")</f>
        <v>http://dx.doi.org/10.1007/s00006-023-01283-x</v>
      </c>
      <c r="BG514" t="s">
        <v>74</v>
      </c>
      <c r="BH514" t="s">
        <v>74</v>
      </c>
      <c r="BI514">
        <v>22</v>
      </c>
      <c r="BJ514" t="s">
        <v>9823</v>
      </c>
      <c r="BK514" t="s">
        <v>126</v>
      </c>
      <c r="BL514" t="s">
        <v>9824</v>
      </c>
      <c r="BM514" t="s">
        <v>9825</v>
      </c>
      <c r="BN514" t="s">
        <v>74</v>
      </c>
      <c r="BO514" t="s">
        <v>74</v>
      </c>
      <c r="BP514" t="s">
        <v>74</v>
      </c>
      <c r="BQ514" t="s">
        <v>74</v>
      </c>
      <c r="BR514" t="s">
        <v>99</v>
      </c>
      <c r="BS514" t="s">
        <v>9826</v>
      </c>
      <c r="BT514" t="str">
        <f>HYPERLINK("https%3A%2F%2Fwww.webofscience.com%2Fwos%2Fwoscc%2Ffull-record%2FWOS:001044764400002","View Full Record in Web of Science")</f>
        <v>View Full Record in Web of Science</v>
      </c>
    </row>
    <row r="515" spans="1:72" x14ac:dyDescent="0.15">
      <c r="A515" t="s">
        <v>72</v>
      </c>
      <c r="B515" t="s">
        <v>9827</v>
      </c>
      <c r="C515" t="s">
        <v>74</v>
      </c>
      <c r="D515" t="s">
        <v>74</v>
      </c>
      <c r="E515" t="s">
        <v>74</v>
      </c>
      <c r="F515" t="s">
        <v>9828</v>
      </c>
      <c r="G515" t="s">
        <v>74</v>
      </c>
      <c r="H515" t="s">
        <v>74</v>
      </c>
      <c r="I515" t="s">
        <v>9829</v>
      </c>
      <c r="J515" t="s">
        <v>9830</v>
      </c>
      <c r="K515" t="s">
        <v>74</v>
      </c>
      <c r="L515" t="s">
        <v>74</v>
      </c>
      <c r="M515" t="s">
        <v>78</v>
      </c>
      <c r="N515" t="s">
        <v>105</v>
      </c>
      <c r="O515" t="s">
        <v>74</v>
      </c>
      <c r="P515" t="s">
        <v>74</v>
      </c>
      <c r="Q515" t="s">
        <v>74</v>
      </c>
      <c r="R515" t="s">
        <v>74</v>
      </c>
      <c r="S515" t="s">
        <v>74</v>
      </c>
      <c r="T515" t="s">
        <v>9831</v>
      </c>
      <c r="U515" t="s">
        <v>9832</v>
      </c>
      <c r="V515" t="s">
        <v>9833</v>
      </c>
      <c r="W515" t="s">
        <v>9834</v>
      </c>
      <c r="X515" t="s">
        <v>9835</v>
      </c>
      <c r="Y515" t="s">
        <v>9836</v>
      </c>
      <c r="Z515" t="s">
        <v>9837</v>
      </c>
      <c r="AA515" t="s">
        <v>74</v>
      </c>
      <c r="AB515" t="s">
        <v>74</v>
      </c>
      <c r="AC515" t="s">
        <v>9838</v>
      </c>
      <c r="AD515" t="s">
        <v>9839</v>
      </c>
      <c r="AE515" t="s">
        <v>9840</v>
      </c>
      <c r="AF515" t="s">
        <v>74</v>
      </c>
      <c r="AG515">
        <v>38</v>
      </c>
      <c r="AH515">
        <v>0</v>
      </c>
      <c r="AI515">
        <v>0</v>
      </c>
      <c r="AJ515">
        <v>3</v>
      </c>
      <c r="AK515">
        <v>3</v>
      </c>
      <c r="AL515" t="s">
        <v>317</v>
      </c>
      <c r="AM515" t="s">
        <v>245</v>
      </c>
      <c r="AN515" t="s">
        <v>318</v>
      </c>
      <c r="AO515" t="s">
        <v>9841</v>
      </c>
      <c r="AP515" t="s">
        <v>9842</v>
      </c>
      <c r="AQ515" t="s">
        <v>74</v>
      </c>
      <c r="AR515" t="s">
        <v>9843</v>
      </c>
      <c r="AS515" t="s">
        <v>9844</v>
      </c>
      <c r="AT515" t="s">
        <v>8614</v>
      </c>
      <c r="AU515">
        <v>2023</v>
      </c>
      <c r="AV515">
        <v>16</v>
      </c>
      <c r="AW515">
        <v>5</v>
      </c>
      <c r="AX515" t="s">
        <v>74</v>
      </c>
      <c r="AY515" t="s">
        <v>74</v>
      </c>
      <c r="AZ515" t="s">
        <v>74</v>
      </c>
      <c r="BA515" t="s">
        <v>74</v>
      </c>
      <c r="BB515">
        <v>1241</v>
      </c>
      <c r="BC515">
        <v>1254</v>
      </c>
      <c r="BD515" t="s">
        <v>74</v>
      </c>
      <c r="BE515" t="s">
        <v>9845</v>
      </c>
      <c r="BF515" t="str">
        <f>HYPERLINK("http://dx.doi.org/10.1007/s42947-022-00193-8","http://dx.doi.org/10.1007/s42947-022-00193-8")</f>
        <v>http://dx.doi.org/10.1007/s42947-022-00193-8</v>
      </c>
      <c r="BG515" t="s">
        <v>74</v>
      </c>
      <c r="BH515" t="s">
        <v>74</v>
      </c>
      <c r="BI515">
        <v>14</v>
      </c>
      <c r="BJ515" t="s">
        <v>9758</v>
      </c>
      <c r="BK515" t="s">
        <v>97</v>
      </c>
      <c r="BL515" t="s">
        <v>9759</v>
      </c>
      <c r="BM515" t="s">
        <v>9846</v>
      </c>
      <c r="BN515" t="s">
        <v>74</v>
      </c>
      <c r="BO515" t="s">
        <v>74</v>
      </c>
      <c r="BP515" t="s">
        <v>74</v>
      </c>
      <c r="BQ515" t="s">
        <v>74</v>
      </c>
      <c r="BR515" t="s">
        <v>99</v>
      </c>
      <c r="BS515" t="s">
        <v>9847</v>
      </c>
      <c r="BT515" t="str">
        <f>HYPERLINK("https%3A%2F%2Fwww.webofscience.com%2Fwos%2Fwoscc%2Ffull-record%2FWOS:001058384800012","View Full Record in Web of Science")</f>
        <v>View Full Record in Web of Science</v>
      </c>
    </row>
    <row r="516" spans="1:72" x14ac:dyDescent="0.15">
      <c r="A516" t="s">
        <v>72</v>
      </c>
      <c r="B516" t="s">
        <v>9848</v>
      </c>
      <c r="C516" t="s">
        <v>74</v>
      </c>
      <c r="D516" t="s">
        <v>74</v>
      </c>
      <c r="E516" t="s">
        <v>74</v>
      </c>
      <c r="F516" t="s">
        <v>9849</v>
      </c>
      <c r="G516" t="s">
        <v>74</v>
      </c>
      <c r="H516" t="s">
        <v>74</v>
      </c>
      <c r="I516" t="s">
        <v>9850</v>
      </c>
      <c r="J516" t="s">
        <v>2602</v>
      </c>
      <c r="K516" t="s">
        <v>74</v>
      </c>
      <c r="L516" t="s">
        <v>74</v>
      </c>
      <c r="M516" t="s">
        <v>78</v>
      </c>
      <c r="N516" t="s">
        <v>79</v>
      </c>
      <c r="O516" t="s">
        <v>74</v>
      </c>
      <c r="P516" t="s">
        <v>74</v>
      </c>
      <c r="Q516" t="s">
        <v>74</v>
      </c>
      <c r="R516" t="s">
        <v>74</v>
      </c>
      <c r="S516" t="s">
        <v>74</v>
      </c>
      <c r="T516" t="s">
        <v>9851</v>
      </c>
      <c r="U516" t="s">
        <v>9852</v>
      </c>
      <c r="V516" t="s">
        <v>9853</v>
      </c>
      <c r="W516" t="s">
        <v>9854</v>
      </c>
      <c r="X516" t="s">
        <v>74</v>
      </c>
      <c r="Y516" t="s">
        <v>9855</v>
      </c>
      <c r="Z516" t="s">
        <v>9856</v>
      </c>
      <c r="AA516" t="s">
        <v>74</v>
      </c>
      <c r="AB516" t="s">
        <v>74</v>
      </c>
      <c r="AC516" t="s">
        <v>932</v>
      </c>
      <c r="AD516" t="s">
        <v>932</v>
      </c>
      <c r="AE516" t="s">
        <v>932</v>
      </c>
      <c r="AF516" t="s">
        <v>74</v>
      </c>
      <c r="AG516">
        <v>29</v>
      </c>
      <c r="AH516">
        <v>0</v>
      </c>
      <c r="AI516">
        <v>0</v>
      </c>
      <c r="AJ516">
        <v>1</v>
      </c>
      <c r="AK516">
        <v>1</v>
      </c>
      <c r="AL516" t="s">
        <v>443</v>
      </c>
      <c r="AM516" t="s">
        <v>245</v>
      </c>
      <c r="AN516" t="s">
        <v>444</v>
      </c>
      <c r="AO516" t="s">
        <v>74</v>
      </c>
      <c r="AP516" t="s">
        <v>2613</v>
      </c>
      <c r="AQ516" t="s">
        <v>74</v>
      </c>
      <c r="AR516" t="s">
        <v>2614</v>
      </c>
      <c r="AS516" t="s">
        <v>2615</v>
      </c>
      <c r="AT516" t="s">
        <v>8783</v>
      </c>
      <c r="AU516">
        <v>2023</v>
      </c>
      <c r="AV516">
        <v>20</v>
      </c>
      <c r="AW516">
        <v>1</v>
      </c>
      <c r="AX516" t="s">
        <v>74</v>
      </c>
      <c r="AY516" t="s">
        <v>74</v>
      </c>
      <c r="AZ516" t="s">
        <v>74</v>
      </c>
      <c r="BA516" t="s">
        <v>74</v>
      </c>
      <c r="BB516" t="s">
        <v>74</v>
      </c>
      <c r="BC516" t="s">
        <v>74</v>
      </c>
      <c r="BD516">
        <v>199</v>
      </c>
      <c r="BE516" t="s">
        <v>9857</v>
      </c>
      <c r="BF516" t="str">
        <f>HYPERLINK("http://dx.doi.org/10.1186/s12985-023-02155-3","http://dx.doi.org/10.1186/s12985-023-02155-3")</f>
        <v>http://dx.doi.org/10.1186/s12985-023-02155-3</v>
      </c>
      <c r="BG516" t="s">
        <v>74</v>
      </c>
      <c r="BH516" t="s">
        <v>74</v>
      </c>
      <c r="BI516">
        <v>7</v>
      </c>
      <c r="BJ516" t="s">
        <v>2618</v>
      </c>
      <c r="BK516" t="s">
        <v>126</v>
      </c>
      <c r="BL516" t="s">
        <v>2618</v>
      </c>
      <c r="BM516" t="s">
        <v>9858</v>
      </c>
      <c r="BN516">
        <v>37658435</v>
      </c>
      <c r="BO516" t="s">
        <v>302</v>
      </c>
      <c r="BP516" t="s">
        <v>74</v>
      </c>
      <c r="BQ516" t="s">
        <v>74</v>
      </c>
      <c r="BR516" t="s">
        <v>99</v>
      </c>
      <c r="BS516" t="s">
        <v>9859</v>
      </c>
      <c r="BT516" t="str">
        <f>HYPERLINK("https%3A%2F%2Fwww.webofscience.com%2Fwos%2Fwoscc%2Ffull-record%2FWOS:001062515700003","View Full Record in Web of Science")</f>
        <v>View Full Record in Web of Science</v>
      </c>
    </row>
    <row r="517" spans="1:72" x14ac:dyDescent="0.15">
      <c r="A517" t="s">
        <v>72</v>
      </c>
      <c r="B517" t="s">
        <v>9860</v>
      </c>
      <c r="C517" t="s">
        <v>74</v>
      </c>
      <c r="D517" t="s">
        <v>74</v>
      </c>
      <c r="E517" t="s">
        <v>74</v>
      </c>
      <c r="F517" t="s">
        <v>9861</v>
      </c>
      <c r="G517" t="s">
        <v>74</v>
      </c>
      <c r="H517" t="s">
        <v>74</v>
      </c>
      <c r="I517" t="s">
        <v>9862</v>
      </c>
      <c r="J517" t="s">
        <v>9863</v>
      </c>
      <c r="K517" t="s">
        <v>74</v>
      </c>
      <c r="L517" t="s">
        <v>74</v>
      </c>
      <c r="M517" t="s">
        <v>78</v>
      </c>
      <c r="N517" t="s">
        <v>1246</v>
      </c>
      <c r="O517" t="s">
        <v>74</v>
      </c>
      <c r="P517" t="s">
        <v>74</v>
      </c>
      <c r="Q517" t="s">
        <v>74</v>
      </c>
      <c r="R517" t="s">
        <v>74</v>
      </c>
      <c r="S517" t="s">
        <v>74</v>
      </c>
      <c r="T517" t="s">
        <v>9864</v>
      </c>
      <c r="U517" t="s">
        <v>9865</v>
      </c>
      <c r="V517" t="s">
        <v>9866</v>
      </c>
      <c r="W517" t="s">
        <v>9867</v>
      </c>
      <c r="X517" t="s">
        <v>9868</v>
      </c>
      <c r="Y517" t="s">
        <v>9869</v>
      </c>
      <c r="Z517" t="s">
        <v>9870</v>
      </c>
      <c r="AA517" t="s">
        <v>74</v>
      </c>
      <c r="AB517" t="s">
        <v>74</v>
      </c>
      <c r="AC517" t="s">
        <v>9871</v>
      </c>
      <c r="AD517" t="s">
        <v>9872</v>
      </c>
      <c r="AE517" t="s">
        <v>9873</v>
      </c>
      <c r="AF517" t="s">
        <v>74</v>
      </c>
      <c r="AG517">
        <v>40</v>
      </c>
      <c r="AH517">
        <v>0</v>
      </c>
      <c r="AI517">
        <v>0</v>
      </c>
      <c r="AJ517">
        <v>0</v>
      </c>
      <c r="AK517">
        <v>0</v>
      </c>
      <c r="AL517" t="s">
        <v>117</v>
      </c>
      <c r="AM517" t="s">
        <v>627</v>
      </c>
      <c r="AN517" t="s">
        <v>628</v>
      </c>
      <c r="AO517" t="s">
        <v>9874</v>
      </c>
      <c r="AP517" t="s">
        <v>9875</v>
      </c>
      <c r="AQ517" t="s">
        <v>74</v>
      </c>
      <c r="AR517" t="s">
        <v>9876</v>
      </c>
      <c r="AS517" t="s">
        <v>9877</v>
      </c>
      <c r="AT517" t="s">
        <v>8746</v>
      </c>
      <c r="AU517">
        <v>2023</v>
      </c>
      <c r="AV517" t="s">
        <v>74</v>
      </c>
      <c r="AW517" t="s">
        <v>74</v>
      </c>
      <c r="AX517" t="s">
        <v>74</v>
      </c>
      <c r="AY517" t="s">
        <v>74</v>
      </c>
      <c r="AZ517" t="s">
        <v>74</v>
      </c>
      <c r="BA517" t="s">
        <v>74</v>
      </c>
      <c r="BB517" t="s">
        <v>74</v>
      </c>
      <c r="BC517" t="s">
        <v>74</v>
      </c>
      <c r="BD517" t="s">
        <v>74</v>
      </c>
      <c r="BE517" t="s">
        <v>9878</v>
      </c>
      <c r="BF517" t="str">
        <f>HYPERLINK("http://dx.doi.org/10.1007/s10489-023-04967","http://dx.doi.org/10.1007/s10489-023-04967")</f>
        <v>http://dx.doi.org/10.1007/s10489-023-04967</v>
      </c>
      <c r="BG517" t="s">
        <v>74</v>
      </c>
      <c r="BH517" t="s">
        <v>2079</v>
      </c>
      <c r="BI517">
        <v>14</v>
      </c>
      <c r="BJ517" t="s">
        <v>5390</v>
      </c>
      <c r="BK517" t="s">
        <v>126</v>
      </c>
      <c r="BL517" t="s">
        <v>1139</v>
      </c>
      <c r="BM517" t="s">
        <v>9879</v>
      </c>
      <c r="BN517" t="s">
        <v>74</v>
      </c>
      <c r="BO517" t="s">
        <v>74</v>
      </c>
      <c r="BP517" t="s">
        <v>74</v>
      </c>
      <c r="BQ517" t="s">
        <v>74</v>
      </c>
      <c r="BR517" t="s">
        <v>99</v>
      </c>
      <c r="BS517" t="s">
        <v>9880</v>
      </c>
      <c r="BT517" t="str">
        <f>HYPERLINK("https%3A%2F%2Fwww.webofscience.com%2Fwos%2Fwoscc%2Ffull-record%2FWOS:001061909400001","View Full Record in Web of Science")</f>
        <v>View Full Record in Web of Science</v>
      </c>
    </row>
    <row r="518" spans="1:72" x14ac:dyDescent="0.15">
      <c r="A518" t="s">
        <v>72</v>
      </c>
      <c r="B518" t="s">
        <v>9881</v>
      </c>
      <c r="C518" t="s">
        <v>74</v>
      </c>
      <c r="D518" t="s">
        <v>74</v>
      </c>
      <c r="E518" t="s">
        <v>74</v>
      </c>
      <c r="F518" t="s">
        <v>9882</v>
      </c>
      <c r="G518" t="s">
        <v>74</v>
      </c>
      <c r="H518" t="s">
        <v>74</v>
      </c>
      <c r="I518" t="s">
        <v>9883</v>
      </c>
      <c r="J518" t="s">
        <v>9384</v>
      </c>
      <c r="K518" t="s">
        <v>74</v>
      </c>
      <c r="L518" t="s">
        <v>74</v>
      </c>
      <c r="M518" t="s">
        <v>78</v>
      </c>
      <c r="N518" t="s">
        <v>3318</v>
      </c>
      <c r="O518" t="s">
        <v>74</v>
      </c>
      <c r="P518" t="s">
        <v>74</v>
      </c>
      <c r="Q518" t="s">
        <v>74</v>
      </c>
      <c r="R518" t="s">
        <v>74</v>
      </c>
      <c r="S518" t="s">
        <v>74</v>
      </c>
      <c r="T518" t="s">
        <v>74</v>
      </c>
      <c r="U518" t="s">
        <v>9884</v>
      </c>
      <c r="V518" t="s">
        <v>74</v>
      </c>
      <c r="W518" t="s">
        <v>9885</v>
      </c>
      <c r="X518" t="s">
        <v>9886</v>
      </c>
      <c r="Y518" t="s">
        <v>9887</v>
      </c>
      <c r="Z518" t="s">
        <v>9888</v>
      </c>
      <c r="AA518" t="s">
        <v>74</v>
      </c>
      <c r="AB518" t="s">
        <v>74</v>
      </c>
      <c r="AC518" t="s">
        <v>74</v>
      </c>
      <c r="AD518" t="s">
        <v>74</v>
      </c>
      <c r="AE518" t="s">
        <v>74</v>
      </c>
      <c r="AF518" t="s">
        <v>74</v>
      </c>
      <c r="AG518">
        <v>76</v>
      </c>
      <c r="AH518">
        <v>3</v>
      </c>
      <c r="AI518">
        <v>3</v>
      </c>
      <c r="AJ518">
        <v>0</v>
      </c>
      <c r="AK518">
        <v>0</v>
      </c>
      <c r="AL518" t="s">
        <v>172</v>
      </c>
      <c r="AM518" t="s">
        <v>173</v>
      </c>
      <c r="AN518" t="s">
        <v>174</v>
      </c>
      <c r="AO518" t="s">
        <v>9392</v>
      </c>
      <c r="AP518" t="s">
        <v>9393</v>
      </c>
      <c r="AQ518" t="s">
        <v>74</v>
      </c>
      <c r="AR518" t="s">
        <v>9394</v>
      </c>
      <c r="AS518" t="s">
        <v>9395</v>
      </c>
      <c r="AT518" t="s">
        <v>8614</v>
      </c>
      <c r="AU518">
        <v>2023</v>
      </c>
      <c r="AV518">
        <v>23</v>
      </c>
      <c r="AW518">
        <v>3</v>
      </c>
      <c r="AX518" t="s">
        <v>74</v>
      </c>
      <c r="AY518" t="s">
        <v>74</v>
      </c>
      <c r="AZ518" t="s">
        <v>74</v>
      </c>
      <c r="BA518" t="s">
        <v>74</v>
      </c>
      <c r="BB518" t="s">
        <v>74</v>
      </c>
      <c r="BC518" t="s">
        <v>74</v>
      </c>
      <c r="BD518">
        <v>222</v>
      </c>
      <c r="BE518" t="s">
        <v>9889</v>
      </c>
      <c r="BF518" t="str">
        <f>HYPERLINK("http://dx.doi.org/10.1007/s10142-023-01140-x","http://dx.doi.org/10.1007/s10142-023-01140-x")</f>
        <v>http://dx.doi.org/10.1007/s10142-023-01140-x</v>
      </c>
      <c r="BG518" t="s">
        <v>74</v>
      </c>
      <c r="BH518" t="s">
        <v>74</v>
      </c>
      <c r="BI518">
        <v>10</v>
      </c>
      <c r="BJ518" t="s">
        <v>3740</v>
      </c>
      <c r="BK518" t="s">
        <v>126</v>
      </c>
      <c r="BL518" t="s">
        <v>3740</v>
      </c>
      <c r="BM518" t="s">
        <v>9890</v>
      </c>
      <c r="BN518">
        <v>37402037</v>
      </c>
      <c r="BO518" t="s">
        <v>74</v>
      </c>
      <c r="BP518" t="s">
        <v>74</v>
      </c>
      <c r="BQ518" t="s">
        <v>74</v>
      </c>
      <c r="BR518" t="s">
        <v>99</v>
      </c>
      <c r="BS518" t="s">
        <v>9891</v>
      </c>
      <c r="BT518" t="str">
        <f>HYPERLINK("https%3A%2F%2Fwww.webofscience.com%2Fwos%2Fwoscc%2Ffull-record%2FWOS:001024468700001","View Full Record in Web of Science")</f>
        <v>View Full Record in Web of Science</v>
      </c>
    </row>
    <row r="519" spans="1:72" x14ac:dyDescent="0.15">
      <c r="A519" t="s">
        <v>72</v>
      </c>
      <c r="B519" t="s">
        <v>9892</v>
      </c>
      <c r="C519" t="s">
        <v>74</v>
      </c>
      <c r="D519" t="s">
        <v>74</v>
      </c>
      <c r="E519" t="s">
        <v>74</v>
      </c>
      <c r="F519" t="s">
        <v>9893</v>
      </c>
      <c r="G519" t="s">
        <v>74</v>
      </c>
      <c r="H519" t="s">
        <v>74</v>
      </c>
      <c r="I519" t="s">
        <v>9894</v>
      </c>
      <c r="J519" t="s">
        <v>9895</v>
      </c>
      <c r="K519" t="s">
        <v>74</v>
      </c>
      <c r="L519" t="s">
        <v>74</v>
      </c>
      <c r="M519" t="s">
        <v>78</v>
      </c>
      <c r="N519" t="s">
        <v>79</v>
      </c>
      <c r="O519" t="s">
        <v>74</v>
      </c>
      <c r="P519" t="s">
        <v>74</v>
      </c>
      <c r="Q519" t="s">
        <v>74</v>
      </c>
      <c r="R519" t="s">
        <v>74</v>
      </c>
      <c r="S519" t="s">
        <v>74</v>
      </c>
      <c r="T519" t="s">
        <v>9896</v>
      </c>
      <c r="U519" t="s">
        <v>9897</v>
      </c>
      <c r="V519" t="s">
        <v>9898</v>
      </c>
      <c r="W519" t="s">
        <v>9899</v>
      </c>
      <c r="X519" t="s">
        <v>9900</v>
      </c>
      <c r="Y519" t="s">
        <v>9901</v>
      </c>
      <c r="Z519" t="s">
        <v>9902</v>
      </c>
      <c r="AA519" t="s">
        <v>74</v>
      </c>
      <c r="AB519" t="s">
        <v>9903</v>
      </c>
      <c r="AC519" t="s">
        <v>9904</v>
      </c>
      <c r="AD519" t="s">
        <v>9905</v>
      </c>
      <c r="AE519" t="s">
        <v>9906</v>
      </c>
      <c r="AF519" t="s">
        <v>74</v>
      </c>
      <c r="AG519">
        <v>34</v>
      </c>
      <c r="AH519">
        <v>0</v>
      </c>
      <c r="AI519">
        <v>0</v>
      </c>
      <c r="AJ519">
        <v>4</v>
      </c>
      <c r="AK519">
        <v>4</v>
      </c>
      <c r="AL519" t="s">
        <v>172</v>
      </c>
      <c r="AM519" t="s">
        <v>173</v>
      </c>
      <c r="AN519" t="s">
        <v>174</v>
      </c>
      <c r="AO519" t="s">
        <v>9907</v>
      </c>
      <c r="AP519" t="s">
        <v>9908</v>
      </c>
      <c r="AQ519" t="s">
        <v>74</v>
      </c>
      <c r="AR519" t="s">
        <v>9895</v>
      </c>
      <c r="AS519" t="s">
        <v>9909</v>
      </c>
      <c r="AT519" t="s">
        <v>8614</v>
      </c>
      <c r="AU519">
        <v>2023</v>
      </c>
      <c r="AV519">
        <v>13</v>
      </c>
      <c r="AW519">
        <v>9</v>
      </c>
      <c r="AX519" t="s">
        <v>74</v>
      </c>
      <c r="AY519" t="s">
        <v>74</v>
      </c>
      <c r="AZ519" t="s">
        <v>74</v>
      </c>
      <c r="BA519" t="s">
        <v>74</v>
      </c>
      <c r="BB519" t="s">
        <v>74</v>
      </c>
      <c r="BC519" t="s">
        <v>74</v>
      </c>
      <c r="BD519">
        <v>294</v>
      </c>
      <c r="BE519" t="s">
        <v>9910</v>
      </c>
      <c r="BF519" t="str">
        <f>HYPERLINK("http://dx.doi.org/10.1007/s13205-023-03711-y","http://dx.doi.org/10.1007/s13205-023-03711-y")</f>
        <v>http://dx.doi.org/10.1007/s13205-023-03711-y</v>
      </c>
      <c r="BG519" t="s">
        <v>74</v>
      </c>
      <c r="BH519" t="s">
        <v>74</v>
      </c>
      <c r="BI519">
        <v>13</v>
      </c>
      <c r="BJ519" t="s">
        <v>1843</v>
      </c>
      <c r="BK519" t="s">
        <v>126</v>
      </c>
      <c r="BL519" t="s">
        <v>1843</v>
      </c>
      <c r="BM519" t="s">
        <v>9911</v>
      </c>
      <c r="BN519">
        <v>37560615</v>
      </c>
      <c r="BO519" t="s">
        <v>74</v>
      </c>
      <c r="BP519" t="s">
        <v>74</v>
      </c>
      <c r="BQ519" t="s">
        <v>74</v>
      </c>
      <c r="BR519" t="s">
        <v>99</v>
      </c>
      <c r="BS519" t="s">
        <v>9912</v>
      </c>
      <c r="BT519" t="str">
        <f>HYPERLINK("https%3A%2F%2Fwww.webofscience.com%2Fwos%2Fwoscc%2Ffull-record%2FWOS:001043728200002","View Full Record in Web of Science")</f>
        <v>View Full Record in Web of Science</v>
      </c>
    </row>
    <row r="520" spans="1:72" x14ac:dyDescent="0.15">
      <c r="A520" t="s">
        <v>72</v>
      </c>
      <c r="B520" t="s">
        <v>9913</v>
      </c>
      <c r="C520" t="s">
        <v>74</v>
      </c>
      <c r="D520" t="s">
        <v>74</v>
      </c>
      <c r="E520" t="s">
        <v>74</v>
      </c>
      <c r="F520" t="s">
        <v>9914</v>
      </c>
      <c r="G520" t="s">
        <v>74</v>
      </c>
      <c r="H520" t="s">
        <v>74</v>
      </c>
      <c r="I520" t="s">
        <v>9915</v>
      </c>
      <c r="J520" t="s">
        <v>9916</v>
      </c>
      <c r="K520" t="s">
        <v>74</v>
      </c>
      <c r="L520" t="s">
        <v>74</v>
      </c>
      <c r="M520" t="s">
        <v>78</v>
      </c>
      <c r="N520" t="s">
        <v>79</v>
      </c>
      <c r="O520" t="s">
        <v>74</v>
      </c>
      <c r="P520" t="s">
        <v>74</v>
      </c>
      <c r="Q520" t="s">
        <v>74</v>
      </c>
      <c r="R520" t="s">
        <v>74</v>
      </c>
      <c r="S520" t="s">
        <v>74</v>
      </c>
      <c r="T520" t="s">
        <v>9917</v>
      </c>
      <c r="U520" t="s">
        <v>9918</v>
      </c>
      <c r="V520" t="s">
        <v>9919</v>
      </c>
      <c r="W520" t="s">
        <v>9920</v>
      </c>
      <c r="X520" t="s">
        <v>9921</v>
      </c>
      <c r="Y520" t="s">
        <v>9922</v>
      </c>
      <c r="Z520" t="s">
        <v>9923</v>
      </c>
      <c r="AA520" t="s">
        <v>9924</v>
      </c>
      <c r="AB520" t="s">
        <v>9925</v>
      </c>
      <c r="AC520" t="s">
        <v>9926</v>
      </c>
      <c r="AD520" t="s">
        <v>9927</v>
      </c>
      <c r="AE520" t="s">
        <v>9928</v>
      </c>
      <c r="AF520" t="s">
        <v>74</v>
      </c>
      <c r="AG520">
        <v>37</v>
      </c>
      <c r="AH520">
        <v>0</v>
      </c>
      <c r="AI520">
        <v>0</v>
      </c>
      <c r="AJ520">
        <v>45</v>
      </c>
      <c r="AK520">
        <v>45</v>
      </c>
      <c r="AL520" t="s">
        <v>117</v>
      </c>
      <c r="AM520" t="s">
        <v>118</v>
      </c>
      <c r="AN520" t="s">
        <v>119</v>
      </c>
      <c r="AO520" t="s">
        <v>9929</v>
      </c>
      <c r="AP520" t="s">
        <v>9930</v>
      </c>
      <c r="AQ520" t="s">
        <v>74</v>
      </c>
      <c r="AR520" t="s">
        <v>9931</v>
      </c>
      <c r="AS520" t="s">
        <v>9932</v>
      </c>
      <c r="AT520" t="s">
        <v>8614</v>
      </c>
      <c r="AU520">
        <v>2023</v>
      </c>
      <c r="AV520">
        <v>13</v>
      </c>
      <c r="AW520">
        <v>3</v>
      </c>
      <c r="AX520" t="s">
        <v>74</v>
      </c>
      <c r="AY520" t="s">
        <v>74</v>
      </c>
      <c r="AZ520" t="s">
        <v>74</v>
      </c>
      <c r="BA520" t="s">
        <v>74</v>
      </c>
      <c r="BB520" t="s">
        <v>74</v>
      </c>
      <c r="BC520" t="s">
        <v>74</v>
      </c>
      <c r="BD520">
        <v>230310</v>
      </c>
      <c r="BE520" t="s">
        <v>9933</v>
      </c>
      <c r="BF520" t="str">
        <f>HYPERLINK("http://dx.doi.org/10.1007/s13320-023-0683-z","http://dx.doi.org/10.1007/s13320-023-0683-z")</f>
        <v>http://dx.doi.org/10.1007/s13320-023-0683-z</v>
      </c>
      <c r="BG520" t="s">
        <v>74</v>
      </c>
      <c r="BH520" t="s">
        <v>74</v>
      </c>
      <c r="BI520">
        <v>14</v>
      </c>
      <c r="BJ520" t="s">
        <v>9934</v>
      </c>
      <c r="BK520" t="s">
        <v>126</v>
      </c>
      <c r="BL520" t="s">
        <v>9934</v>
      </c>
      <c r="BM520" t="s">
        <v>9935</v>
      </c>
      <c r="BN520" t="s">
        <v>74</v>
      </c>
      <c r="BO520" t="s">
        <v>302</v>
      </c>
      <c r="BP520" t="s">
        <v>74</v>
      </c>
      <c r="BQ520" t="s">
        <v>74</v>
      </c>
      <c r="BR520" t="s">
        <v>99</v>
      </c>
      <c r="BS520" t="s">
        <v>9936</v>
      </c>
      <c r="BT520" t="str">
        <f>HYPERLINK("https%3A%2F%2Fwww.webofscience.com%2Fwos%2Fwoscc%2Ffull-record%2FWOS:000955398700001","View Full Record in Web of Science")</f>
        <v>View Full Record in Web of Science</v>
      </c>
    </row>
    <row r="521" spans="1:72" x14ac:dyDescent="0.15">
      <c r="A521" t="s">
        <v>72</v>
      </c>
      <c r="B521" t="s">
        <v>9937</v>
      </c>
      <c r="C521" t="s">
        <v>74</v>
      </c>
      <c r="D521" t="s">
        <v>74</v>
      </c>
      <c r="E521" t="s">
        <v>74</v>
      </c>
      <c r="F521" t="s">
        <v>9938</v>
      </c>
      <c r="G521" t="s">
        <v>74</v>
      </c>
      <c r="H521" t="s">
        <v>74</v>
      </c>
      <c r="I521" t="s">
        <v>9939</v>
      </c>
      <c r="J521" t="s">
        <v>1825</v>
      </c>
      <c r="K521" t="s">
        <v>74</v>
      </c>
      <c r="L521" t="s">
        <v>74</v>
      </c>
      <c r="M521" t="s">
        <v>78</v>
      </c>
      <c r="N521" t="s">
        <v>105</v>
      </c>
      <c r="O521" t="s">
        <v>74</v>
      </c>
      <c r="P521" t="s">
        <v>74</v>
      </c>
      <c r="Q521" t="s">
        <v>74</v>
      </c>
      <c r="R521" t="s">
        <v>74</v>
      </c>
      <c r="S521" t="s">
        <v>74</v>
      </c>
      <c r="T521" t="s">
        <v>9940</v>
      </c>
      <c r="U521" t="s">
        <v>9941</v>
      </c>
      <c r="V521" t="s">
        <v>9942</v>
      </c>
      <c r="W521" t="s">
        <v>9943</v>
      </c>
      <c r="X521" t="s">
        <v>9944</v>
      </c>
      <c r="Y521" t="s">
        <v>9945</v>
      </c>
      <c r="Z521" t="s">
        <v>9946</v>
      </c>
      <c r="AA521" t="s">
        <v>74</v>
      </c>
      <c r="AB521" t="s">
        <v>74</v>
      </c>
      <c r="AC521" t="s">
        <v>9947</v>
      </c>
      <c r="AD521" t="s">
        <v>9948</v>
      </c>
      <c r="AE521" t="s">
        <v>9949</v>
      </c>
      <c r="AF521" t="s">
        <v>74</v>
      </c>
      <c r="AG521">
        <v>129</v>
      </c>
      <c r="AH521">
        <v>0</v>
      </c>
      <c r="AI521">
        <v>0</v>
      </c>
      <c r="AJ521">
        <v>4</v>
      </c>
      <c r="AK521">
        <v>4</v>
      </c>
      <c r="AL521" t="s">
        <v>117</v>
      </c>
      <c r="AM521" t="s">
        <v>627</v>
      </c>
      <c r="AN521" t="s">
        <v>628</v>
      </c>
      <c r="AO521" t="s">
        <v>1838</v>
      </c>
      <c r="AP521" t="s">
        <v>1839</v>
      </c>
      <c r="AQ521" t="s">
        <v>74</v>
      </c>
      <c r="AR521" t="s">
        <v>1840</v>
      </c>
      <c r="AS521" t="s">
        <v>1841</v>
      </c>
      <c r="AT521" t="s">
        <v>8614</v>
      </c>
      <c r="AU521">
        <v>2023</v>
      </c>
      <c r="AV521">
        <v>39</v>
      </c>
      <c r="AW521">
        <v>9</v>
      </c>
      <c r="AX521" t="s">
        <v>74</v>
      </c>
      <c r="AY521" t="s">
        <v>74</v>
      </c>
      <c r="AZ521" t="s">
        <v>74</v>
      </c>
      <c r="BA521" t="s">
        <v>74</v>
      </c>
      <c r="BB521" t="s">
        <v>74</v>
      </c>
      <c r="BC521" t="s">
        <v>74</v>
      </c>
      <c r="BD521">
        <v>242</v>
      </c>
      <c r="BE521" t="s">
        <v>9950</v>
      </c>
      <c r="BF521" t="str">
        <f>HYPERLINK("http://dx.doi.org/10.1007/s11274-023-03691-4","http://dx.doi.org/10.1007/s11274-023-03691-4")</f>
        <v>http://dx.doi.org/10.1007/s11274-023-03691-4</v>
      </c>
      <c r="BG521" t="s">
        <v>74</v>
      </c>
      <c r="BH521" t="s">
        <v>74</v>
      </c>
      <c r="BI521">
        <v>16</v>
      </c>
      <c r="BJ521" t="s">
        <v>1843</v>
      </c>
      <c r="BK521" t="s">
        <v>126</v>
      </c>
      <c r="BL521" t="s">
        <v>1843</v>
      </c>
      <c r="BM521" t="s">
        <v>9951</v>
      </c>
      <c r="BN521">
        <v>37400664</v>
      </c>
      <c r="BO521" t="s">
        <v>74</v>
      </c>
      <c r="BP521" t="s">
        <v>74</v>
      </c>
      <c r="BQ521" t="s">
        <v>74</v>
      </c>
      <c r="BR521" t="s">
        <v>99</v>
      </c>
      <c r="BS521" t="s">
        <v>9952</v>
      </c>
      <c r="BT521" t="str">
        <f>HYPERLINK("https%3A%2F%2Fwww.webofscience.com%2Fwos%2Fwoscc%2Ffull-record%2FWOS:001021473800001","View Full Record in Web of Science")</f>
        <v>View Full Record in Web of Science</v>
      </c>
    </row>
    <row r="522" spans="1:72" x14ac:dyDescent="0.15">
      <c r="A522" t="s">
        <v>72</v>
      </c>
      <c r="B522" t="s">
        <v>9953</v>
      </c>
      <c r="C522" t="s">
        <v>74</v>
      </c>
      <c r="D522" t="s">
        <v>74</v>
      </c>
      <c r="E522" t="s">
        <v>74</v>
      </c>
      <c r="F522" t="s">
        <v>9954</v>
      </c>
      <c r="G522" t="s">
        <v>74</v>
      </c>
      <c r="H522" t="s">
        <v>74</v>
      </c>
      <c r="I522" t="s">
        <v>9955</v>
      </c>
      <c r="J522" t="s">
        <v>1430</v>
      </c>
      <c r="K522" t="s">
        <v>74</v>
      </c>
      <c r="L522" t="s">
        <v>74</v>
      </c>
      <c r="M522" t="s">
        <v>78</v>
      </c>
      <c r="N522" t="s">
        <v>79</v>
      </c>
      <c r="O522" t="s">
        <v>74</v>
      </c>
      <c r="P522" t="s">
        <v>74</v>
      </c>
      <c r="Q522" t="s">
        <v>74</v>
      </c>
      <c r="R522" t="s">
        <v>74</v>
      </c>
      <c r="S522" t="s">
        <v>74</v>
      </c>
      <c r="T522" t="s">
        <v>9956</v>
      </c>
      <c r="U522" t="s">
        <v>9957</v>
      </c>
      <c r="V522" t="s">
        <v>9958</v>
      </c>
      <c r="W522" t="s">
        <v>9959</v>
      </c>
      <c r="X522" t="s">
        <v>9960</v>
      </c>
      <c r="Y522" t="s">
        <v>9961</v>
      </c>
      <c r="Z522" t="s">
        <v>9962</v>
      </c>
      <c r="AA522" t="s">
        <v>74</v>
      </c>
      <c r="AB522" t="s">
        <v>74</v>
      </c>
      <c r="AC522" t="s">
        <v>9963</v>
      </c>
      <c r="AD522" t="s">
        <v>9964</v>
      </c>
      <c r="AE522" t="s">
        <v>9965</v>
      </c>
      <c r="AF522" t="s">
        <v>74</v>
      </c>
      <c r="AG522">
        <v>57</v>
      </c>
      <c r="AH522">
        <v>0</v>
      </c>
      <c r="AI522">
        <v>0</v>
      </c>
      <c r="AJ522">
        <v>0</v>
      </c>
      <c r="AK522">
        <v>0</v>
      </c>
      <c r="AL522" t="s">
        <v>172</v>
      </c>
      <c r="AM522" t="s">
        <v>173</v>
      </c>
      <c r="AN522" t="s">
        <v>174</v>
      </c>
      <c r="AO522" t="s">
        <v>1438</v>
      </c>
      <c r="AP522" t="s">
        <v>1439</v>
      </c>
      <c r="AQ522" t="s">
        <v>74</v>
      </c>
      <c r="AR522" t="s">
        <v>1440</v>
      </c>
      <c r="AS522" t="s">
        <v>1441</v>
      </c>
      <c r="AT522" t="s">
        <v>8614</v>
      </c>
      <c r="AU522">
        <v>2023</v>
      </c>
      <c r="AV522">
        <v>129</v>
      </c>
      <c r="AW522">
        <v>9</v>
      </c>
      <c r="AX522" t="s">
        <v>74</v>
      </c>
      <c r="AY522" t="s">
        <v>74</v>
      </c>
      <c r="AZ522" t="s">
        <v>74</v>
      </c>
      <c r="BA522" t="s">
        <v>74</v>
      </c>
      <c r="BB522" t="s">
        <v>74</v>
      </c>
      <c r="BC522" t="s">
        <v>74</v>
      </c>
      <c r="BD522">
        <v>622</v>
      </c>
      <c r="BE522" t="s">
        <v>9966</v>
      </c>
      <c r="BF522" t="str">
        <f>HYPERLINK("http://dx.doi.org/10.1007/s00339-023-06907-4","http://dx.doi.org/10.1007/s00339-023-06907-4")</f>
        <v>http://dx.doi.org/10.1007/s00339-023-06907-4</v>
      </c>
      <c r="BG522" t="s">
        <v>74</v>
      </c>
      <c r="BH522" t="s">
        <v>74</v>
      </c>
      <c r="BI522">
        <v>8</v>
      </c>
      <c r="BJ522" t="s">
        <v>1443</v>
      </c>
      <c r="BK522" t="s">
        <v>126</v>
      </c>
      <c r="BL522" t="s">
        <v>1444</v>
      </c>
      <c r="BM522" t="s">
        <v>9967</v>
      </c>
      <c r="BN522" t="s">
        <v>74</v>
      </c>
      <c r="BO522" t="s">
        <v>74</v>
      </c>
      <c r="BP522" t="s">
        <v>74</v>
      </c>
      <c r="BQ522" t="s">
        <v>74</v>
      </c>
      <c r="BR522" t="s">
        <v>99</v>
      </c>
      <c r="BS522" t="s">
        <v>9968</v>
      </c>
      <c r="BT522" t="str">
        <f>HYPERLINK("https%3A%2F%2Fwww.webofscience.com%2Fwos%2Fwoscc%2Ffull-record%2FWOS:001049299800002","View Full Record in Web of Science")</f>
        <v>View Full Record in Web of Science</v>
      </c>
    </row>
    <row r="523" spans="1:72" x14ac:dyDescent="0.15">
      <c r="A523" t="s">
        <v>72</v>
      </c>
      <c r="B523" t="s">
        <v>9969</v>
      </c>
      <c r="C523" t="s">
        <v>74</v>
      </c>
      <c r="D523" t="s">
        <v>74</v>
      </c>
      <c r="E523" t="s">
        <v>74</v>
      </c>
      <c r="F523" t="s">
        <v>9970</v>
      </c>
      <c r="G523" t="s">
        <v>74</v>
      </c>
      <c r="H523" t="s">
        <v>74</v>
      </c>
      <c r="I523" t="s">
        <v>9971</v>
      </c>
      <c r="J523" t="s">
        <v>9972</v>
      </c>
      <c r="K523" t="s">
        <v>74</v>
      </c>
      <c r="L523" t="s">
        <v>74</v>
      </c>
      <c r="M523" t="s">
        <v>78</v>
      </c>
      <c r="N523" t="s">
        <v>79</v>
      </c>
      <c r="O523" t="s">
        <v>74</v>
      </c>
      <c r="P523" t="s">
        <v>74</v>
      </c>
      <c r="Q523" t="s">
        <v>74</v>
      </c>
      <c r="R523" t="s">
        <v>74</v>
      </c>
      <c r="S523" t="s">
        <v>74</v>
      </c>
      <c r="T523" t="s">
        <v>9973</v>
      </c>
      <c r="U523" t="s">
        <v>9974</v>
      </c>
      <c r="V523" t="s">
        <v>9975</v>
      </c>
      <c r="W523" t="s">
        <v>9976</v>
      </c>
      <c r="X523" t="s">
        <v>9977</v>
      </c>
      <c r="Y523" t="s">
        <v>9978</v>
      </c>
      <c r="Z523" t="s">
        <v>9979</v>
      </c>
      <c r="AA523" t="s">
        <v>74</v>
      </c>
      <c r="AB523" t="s">
        <v>74</v>
      </c>
      <c r="AC523" t="s">
        <v>74</v>
      </c>
      <c r="AD523" t="s">
        <v>74</v>
      </c>
      <c r="AE523" t="s">
        <v>74</v>
      </c>
      <c r="AF523" t="s">
        <v>74</v>
      </c>
      <c r="AG523">
        <v>40</v>
      </c>
      <c r="AH523">
        <v>0</v>
      </c>
      <c r="AI523">
        <v>0</v>
      </c>
      <c r="AJ523">
        <v>0</v>
      </c>
      <c r="AK523">
        <v>0</v>
      </c>
      <c r="AL523" t="s">
        <v>117</v>
      </c>
      <c r="AM523" t="s">
        <v>627</v>
      </c>
      <c r="AN523" t="s">
        <v>628</v>
      </c>
      <c r="AO523" t="s">
        <v>9980</v>
      </c>
      <c r="AP523" t="s">
        <v>9981</v>
      </c>
      <c r="AQ523" t="s">
        <v>74</v>
      </c>
      <c r="AR523" t="s">
        <v>9982</v>
      </c>
      <c r="AS523" t="s">
        <v>9983</v>
      </c>
      <c r="AT523" t="s">
        <v>8614</v>
      </c>
      <c r="AU523">
        <v>2023</v>
      </c>
      <c r="AV523">
        <v>21</v>
      </c>
      <c r="AW523">
        <v>12</v>
      </c>
      <c r="AX523" t="s">
        <v>74</v>
      </c>
      <c r="AY523" t="s">
        <v>74</v>
      </c>
      <c r="AZ523" t="s">
        <v>74</v>
      </c>
      <c r="BA523" t="s">
        <v>74</v>
      </c>
      <c r="BB523">
        <v>5683</v>
      </c>
      <c r="BC523">
        <v>5715</v>
      </c>
      <c r="BD523" t="s">
        <v>74</v>
      </c>
      <c r="BE523" t="s">
        <v>9984</v>
      </c>
      <c r="BF523" t="str">
        <f>HYPERLINK("http://dx.doi.org/10.1007/s10518-023-01754-3","http://dx.doi.org/10.1007/s10518-023-01754-3")</f>
        <v>http://dx.doi.org/10.1007/s10518-023-01754-3</v>
      </c>
      <c r="BG523" t="s">
        <v>74</v>
      </c>
      <c r="BH523" t="s">
        <v>74</v>
      </c>
      <c r="BI523">
        <v>33</v>
      </c>
      <c r="BJ523" t="s">
        <v>8943</v>
      </c>
      <c r="BK523" t="s">
        <v>126</v>
      </c>
      <c r="BL523" t="s">
        <v>1657</v>
      </c>
      <c r="BM523" t="s">
        <v>9985</v>
      </c>
      <c r="BN523" t="s">
        <v>74</v>
      </c>
      <c r="BO523" t="s">
        <v>74</v>
      </c>
      <c r="BP523" t="s">
        <v>74</v>
      </c>
      <c r="BQ523" t="s">
        <v>74</v>
      </c>
      <c r="BR523" t="s">
        <v>99</v>
      </c>
      <c r="BS523" t="s">
        <v>9986</v>
      </c>
      <c r="BT523" t="str">
        <f>HYPERLINK("https%3A%2F%2Fwww.webofscience.com%2Fwos%2Fwoscc%2Ffull-record%2FWOS:001066504000014","View Full Record in Web of Science")</f>
        <v>View Full Record in Web of Science</v>
      </c>
    </row>
    <row r="524" spans="1:72" x14ac:dyDescent="0.15">
      <c r="A524" t="s">
        <v>72</v>
      </c>
      <c r="B524" t="s">
        <v>9987</v>
      </c>
      <c r="C524" t="s">
        <v>74</v>
      </c>
      <c r="D524" t="s">
        <v>74</v>
      </c>
      <c r="E524" t="s">
        <v>74</v>
      </c>
      <c r="F524" t="s">
        <v>9988</v>
      </c>
      <c r="G524" t="s">
        <v>74</v>
      </c>
      <c r="H524" t="s">
        <v>74</v>
      </c>
      <c r="I524" t="s">
        <v>9989</v>
      </c>
      <c r="J524" t="s">
        <v>9990</v>
      </c>
      <c r="K524" t="s">
        <v>74</v>
      </c>
      <c r="L524" t="s">
        <v>74</v>
      </c>
      <c r="M524" t="s">
        <v>78</v>
      </c>
      <c r="N524" t="s">
        <v>79</v>
      </c>
      <c r="O524" t="s">
        <v>74</v>
      </c>
      <c r="P524" t="s">
        <v>74</v>
      </c>
      <c r="Q524" t="s">
        <v>74</v>
      </c>
      <c r="R524" t="s">
        <v>74</v>
      </c>
      <c r="S524" t="s">
        <v>74</v>
      </c>
      <c r="T524" t="s">
        <v>9991</v>
      </c>
      <c r="U524" t="s">
        <v>9992</v>
      </c>
      <c r="V524" t="s">
        <v>9993</v>
      </c>
      <c r="W524" t="s">
        <v>9994</v>
      </c>
      <c r="X524" t="s">
        <v>9995</v>
      </c>
      <c r="Y524" t="s">
        <v>9996</v>
      </c>
      <c r="Z524" t="s">
        <v>9997</v>
      </c>
      <c r="AA524" t="s">
        <v>74</v>
      </c>
      <c r="AB524" t="s">
        <v>9998</v>
      </c>
      <c r="AC524" t="s">
        <v>9999</v>
      </c>
      <c r="AD524" t="s">
        <v>10000</v>
      </c>
      <c r="AE524" t="s">
        <v>10001</v>
      </c>
      <c r="AF524" t="s">
        <v>74</v>
      </c>
      <c r="AG524">
        <v>82</v>
      </c>
      <c r="AH524">
        <v>0</v>
      </c>
      <c r="AI524">
        <v>0</v>
      </c>
      <c r="AJ524">
        <v>4</v>
      </c>
      <c r="AK524">
        <v>4</v>
      </c>
      <c r="AL524" t="s">
        <v>117</v>
      </c>
      <c r="AM524" t="s">
        <v>627</v>
      </c>
      <c r="AN524" t="s">
        <v>628</v>
      </c>
      <c r="AO524" t="s">
        <v>10002</v>
      </c>
      <c r="AP524" t="s">
        <v>10003</v>
      </c>
      <c r="AQ524" t="s">
        <v>74</v>
      </c>
      <c r="AR524" t="s">
        <v>10004</v>
      </c>
      <c r="AS524" t="s">
        <v>10005</v>
      </c>
      <c r="AT524" t="s">
        <v>8614</v>
      </c>
      <c r="AU524">
        <v>2023</v>
      </c>
      <c r="AV524">
        <v>45</v>
      </c>
      <c r="AW524">
        <v>3</v>
      </c>
      <c r="AX524" t="s">
        <v>74</v>
      </c>
      <c r="AY524" t="s">
        <v>74</v>
      </c>
      <c r="AZ524" t="s">
        <v>74</v>
      </c>
      <c r="BA524" t="s">
        <v>74</v>
      </c>
      <c r="BB524" t="s">
        <v>74</v>
      </c>
      <c r="BC524" t="s">
        <v>74</v>
      </c>
      <c r="BD524">
        <v>14</v>
      </c>
      <c r="BE524" t="s">
        <v>10006</v>
      </c>
      <c r="BF524" t="str">
        <f>HYPERLINK("http://dx.doi.org/10.1007/s11111-023-00427-2","http://dx.doi.org/10.1007/s11111-023-00427-2")</f>
        <v>http://dx.doi.org/10.1007/s11111-023-00427-2</v>
      </c>
      <c r="BG524" t="s">
        <v>74</v>
      </c>
      <c r="BH524" t="s">
        <v>74</v>
      </c>
      <c r="BI524">
        <v>29</v>
      </c>
      <c r="BJ524" t="s">
        <v>10007</v>
      </c>
      <c r="BK524" t="s">
        <v>425</v>
      </c>
      <c r="BL524" t="s">
        <v>10008</v>
      </c>
      <c r="BM524" t="s">
        <v>10009</v>
      </c>
      <c r="BN524" t="s">
        <v>74</v>
      </c>
      <c r="BO524" t="s">
        <v>183</v>
      </c>
      <c r="BP524" t="s">
        <v>74</v>
      </c>
      <c r="BQ524" t="s">
        <v>74</v>
      </c>
      <c r="BR524" t="s">
        <v>99</v>
      </c>
      <c r="BS524" t="s">
        <v>10010</v>
      </c>
      <c r="BT524" t="str">
        <f>HYPERLINK("https%3A%2F%2Fwww.webofscience.com%2Fwos%2Fwoscc%2Ffull-record%2FWOS:001032966800001","View Full Record in Web of Science")</f>
        <v>View Full Record in Web of Science</v>
      </c>
    </row>
    <row r="525" spans="1:72" x14ac:dyDescent="0.15">
      <c r="A525" t="s">
        <v>72</v>
      </c>
      <c r="B525" t="s">
        <v>10011</v>
      </c>
      <c r="C525" t="s">
        <v>74</v>
      </c>
      <c r="D525" t="s">
        <v>74</v>
      </c>
      <c r="E525" t="s">
        <v>74</v>
      </c>
      <c r="F525" t="s">
        <v>10012</v>
      </c>
      <c r="G525" t="s">
        <v>74</v>
      </c>
      <c r="H525" t="s">
        <v>74</v>
      </c>
      <c r="I525" t="s">
        <v>10013</v>
      </c>
      <c r="J525" t="s">
        <v>8971</v>
      </c>
      <c r="K525" t="s">
        <v>74</v>
      </c>
      <c r="L525" t="s">
        <v>74</v>
      </c>
      <c r="M525" t="s">
        <v>78</v>
      </c>
      <c r="N525" t="s">
        <v>79</v>
      </c>
      <c r="O525" t="s">
        <v>74</v>
      </c>
      <c r="P525" t="s">
        <v>74</v>
      </c>
      <c r="Q525" t="s">
        <v>74</v>
      </c>
      <c r="R525" t="s">
        <v>74</v>
      </c>
      <c r="S525" t="s">
        <v>74</v>
      </c>
      <c r="T525" t="s">
        <v>10014</v>
      </c>
      <c r="U525" t="s">
        <v>10015</v>
      </c>
      <c r="V525" t="s">
        <v>10016</v>
      </c>
      <c r="W525" t="s">
        <v>10017</v>
      </c>
      <c r="X525" t="s">
        <v>10018</v>
      </c>
      <c r="Y525" t="s">
        <v>10019</v>
      </c>
      <c r="Z525" t="s">
        <v>10020</v>
      </c>
      <c r="AA525" t="s">
        <v>10021</v>
      </c>
      <c r="AB525" t="s">
        <v>10022</v>
      </c>
      <c r="AC525" t="s">
        <v>10023</v>
      </c>
      <c r="AD525" t="s">
        <v>10024</v>
      </c>
      <c r="AE525" t="s">
        <v>10025</v>
      </c>
      <c r="AF525" t="s">
        <v>74</v>
      </c>
      <c r="AG525">
        <v>54</v>
      </c>
      <c r="AH525">
        <v>0</v>
      </c>
      <c r="AI525">
        <v>0</v>
      </c>
      <c r="AJ525">
        <v>0</v>
      </c>
      <c r="AK525">
        <v>0</v>
      </c>
      <c r="AL525" t="s">
        <v>172</v>
      </c>
      <c r="AM525" t="s">
        <v>173</v>
      </c>
      <c r="AN525" t="s">
        <v>174</v>
      </c>
      <c r="AO525" t="s">
        <v>8976</v>
      </c>
      <c r="AP525" t="s">
        <v>8977</v>
      </c>
      <c r="AQ525" t="s">
        <v>74</v>
      </c>
      <c r="AR525" t="s">
        <v>8978</v>
      </c>
      <c r="AS525" t="s">
        <v>8979</v>
      </c>
      <c r="AT525" t="s">
        <v>8614</v>
      </c>
      <c r="AU525">
        <v>2023</v>
      </c>
      <c r="AV525">
        <v>23</v>
      </c>
      <c r="AW525">
        <v>3</v>
      </c>
      <c r="AX525" t="s">
        <v>74</v>
      </c>
      <c r="AY525" t="s">
        <v>74</v>
      </c>
      <c r="AZ525" t="s">
        <v>74</v>
      </c>
      <c r="BA525" t="s">
        <v>74</v>
      </c>
      <c r="BB525" t="s">
        <v>74</v>
      </c>
      <c r="BC525" t="s">
        <v>74</v>
      </c>
      <c r="BD525">
        <v>85</v>
      </c>
      <c r="BE525" t="s">
        <v>10026</v>
      </c>
      <c r="BF525" t="str">
        <f>HYPERLINK("http://dx.doi.org/10.1007/s10113-023-02077-4","http://dx.doi.org/10.1007/s10113-023-02077-4")</f>
        <v>http://dx.doi.org/10.1007/s10113-023-02077-4</v>
      </c>
      <c r="BG525" t="s">
        <v>74</v>
      </c>
      <c r="BH525" t="s">
        <v>74</v>
      </c>
      <c r="BI525">
        <v>15</v>
      </c>
      <c r="BJ525" t="s">
        <v>8981</v>
      </c>
      <c r="BK525" t="s">
        <v>2431</v>
      </c>
      <c r="BL525" t="s">
        <v>1347</v>
      </c>
      <c r="BM525" t="s">
        <v>10027</v>
      </c>
      <c r="BN525" t="s">
        <v>74</v>
      </c>
      <c r="BO525" t="s">
        <v>183</v>
      </c>
      <c r="BP525" t="s">
        <v>74</v>
      </c>
      <c r="BQ525" t="s">
        <v>74</v>
      </c>
      <c r="BR525" t="s">
        <v>99</v>
      </c>
      <c r="BS525" t="s">
        <v>10028</v>
      </c>
      <c r="BT525" t="str">
        <f>HYPERLINK("https%3A%2F%2Fwww.webofscience.com%2Fwos%2Fwoscc%2Ffull-record%2FWOS:001017504600004","View Full Record in Web of Science")</f>
        <v>View Full Record in Web of Science</v>
      </c>
    </row>
    <row r="526" spans="1:72" x14ac:dyDescent="0.15">
      <c r="A526" t="s">
        <v>72</v>
      </c>
      <c r="B526" t="s">
        <v>10029</v>
      </c>
      <c r="C526" t="s">
        <v>74</v>
      </c>
      <c r="D526" t="s">
        <v>74</v>
      </c>
      <c r="E526" t="s">
        <v>74</v>
      </c>
      <c r="F526" t="s">
        <v>10030</v>
      </c>
      <c r="G526" t="s">
        <v>74</v>
      </c>
      <c r="H526" t="s">
        <v>74</v>
      </c>
      <c r="I526" t="s">
        <v>10031</v>
      </c>
      <c r="J526" t="s">
        <v>10032</v>
      </c>
      <c r="K526" t="s">
        <v>74</v>
      </c>
      <c r="L526" t="s">
        <v>74</v>
      </c>
      <c r="M526" t="s">
        <v>78</v>
      </c>
      <c r="N526" t="s">
        <v>79</v>
      </c>
      <c r="O526" t="s">
        <v>74</v>
      </c>
      <c r="P526" t="s">
        <v>74</v>
      </c>
      <c r="Q526" t="s">
        <v>74</v>
      </c>
      <c r="R526" t="s">
        <v>74</v>
      </c>
      <c r="S526" t="s">
        <v>74</v>
      </c>
      <c r="T526" t="s">
        <v>10033</v>
      </c>
      <c r="U526" t="s">
        <v>10034</v>
      </c>
      <c r="V526" t="s">
        <v>10035</v>
      </c>
      <c r="W526" t="s">
        <v>10036</v>
      </c>
      <c r="X526" t="s">
        <v>74</v>
      </c>
      <c r="Y526" t="s">
        <v>10037</v>
      </c>
      <c r="Z526" t="s">
        <v>10038</v>
      </c>
      <c r="AA526" t="s">
        <v>74</v>
      </c>
      <c r="AB526" t="s">
        <v>74</v>
      </c>
      <c r="AC526" t="s">
        <v>2755</v>
      </c>
      <c r="AD526" t="s">
        <v>2755</v>
      </c>
      <c r="AE526" t="s">
        <v>2755</v>
      </c>
      <c r="AF526" t="s">
        <v>74</v>
      </c>
      <c r="AG526">
        <v>37</v>
      </c>
      <c r="AH526">
        <v>0</v>
      </c>
      <c r="AI526">
        <v>0</v>
      </c>
      <c r="AJ526">
        <v>1</v>
      </c>
      <c r="AK526">
        <v>1</v>
      </c>
      <c r="AL526" t="s">
        <v>443</v>
      </c>
      <c r="AM526" t="s">
        <v>245</v>
      </c>
      <c r="AN526" t="s">
        <v>444</v>
      </c>
      <c r="AO526" t="s">
        <v>10039</v>
      </c>
      <c r="AP526" t="s">
        <v>74</v>
      </c>
      <c r="AQ526" t="s">
        <v>74</v>
      </c>
      <c r="AR526" t="s">
        <v>10040</v>
      </c>
      <c r="AS526" t="s">
        <v>10041</v>
      </c>
      <c r="AT526" t="s">
        <v>8783</v>
      </c>
      <c r="AU526">
        <v>2023</v>
      </c>
      <c r="AV526">
        <v>9</v>
      </c>
      <c r="AW526">
        <v>1</v>
      </c>
      <c r="AX526" t="s">
        <v>74</v>
      </c>
      <c r="AY526" t="s">
        <v>74</v>
      </c>
      <c r="AZ526" t="s">
        <v>74</v>
      </c>
      <c r="BA526" t="s">
        <v>74</v>
      </c>
      <c r="BB526" t="s">
        <v>74</v>
      </c>
      <c r="BC526" t="s">
        <v>74</v>
      </c>
      <c r="BD526">
        <v>27</v>
      </c>
      <c r="BE526" t="s">
        <v>10042</v>
      </c>
      <c r="BF526" t="str">
        <f>HYPERLINK("http://dx.doi.org/10.1186/s40780-023-00297-8","http://dx.doi.org/10.1186/s40780-023-00297-8")</f>
        <v>http://dx.doi.org/10.1186/s40780-023-00297-8</v>
      </c>
      <c r="BG526" t="s">
        <v>74</v>
      </c>
      <c r="BH526" t="s">
        <v>74</v>
      </c>
      <c r="BI526">
        <v>7</v>
      </c>
      <c r="BJ526" t="s">
        <v>1038</v>
      </c>
      <c r="BK526" t="s">
        <v>97</v>
      </c>
      <c r="BL526" t="s">
        <v>1038</v>
      </c>
      <c r="BM526" t="s">
        <v>10043</v>
      </c>
      <c r="BN526">
        <v>37653514</v>
      </c>
      <c r="BO526" t="s">
        <v>302</v>
      </c>
      <c r="BP526" t="s">
        <v>74</v>
      </c>
      <c r="BQ526" t="s">
        <v>74</v>
      </c>
      <c r="BR526" t="s">
        <v>99</v>
      </c>
      <c r="BS526" t="s">
        <v>10044</v>
      </c>
      <c r="BT526" t="str">
        <f>HYPERLINK("https%3A%2F%2Fwww.webofscience.com%2Fwos%2Fwoscc%2Ffull-record%2FWOS:001055558400002","View Full Record in Web of Science")</f>
        <v>View Full Record in Web of Science</v>
      </c>
    </row>
    <row r="527" spans="1:72" x14ac:dyDescent="0.15">
      <c r="A527" t="s">
        <v>72</v>
      </c>
      <c r="B527" t="s">
        <v>10045</v>
      </c>
      <c r="C527" t="s">
        <v>74</v>
      </c>
      <c r="D527" t="s">
        <v>74</v>
      </c>
      <c r="E527" t="s">
        <v>74</v>
      </c>
      <c r="F527" t="s">
        <v>10046</v>
      </c>
      <c r="G527" t="s">
        <v>74</v>
      </c>
      <c r="H527" t="s">
        <v>74</v>
      </c>
      <c r="I527" t="s">
        <v>10047</v>
      </c>
      <c r="J527" t="s">
        <v>10048</v>
      </c>
      <c r="K527" t="s">
        <v>74</v>
      </c>
      <c r="L527" t="s">
        <v>74</v>
      </c>
      <c r="M527" t="s">
        <v>78</v>
      </c>
      <c r="N527" t="s">
        <v>79</v>
      </c>
      <c r="O527" t="s">
        <v>74</v>
      </c>
      <c r="P527" t="s">
        <v>74</v>
      </c>
      <c r="Q527" t="s">
        <v>74</v>
      </c>
      <c r="R527" t="s">
        <v>74</v>
      </c>
      <c r="S527" t="s">
        <v>74</v>
      </c>
      <c r="T527" t="s">
        <v>10049</v>
      </c>
      <c r="U527" t="s">
        <v>74</v>
      </c>
      <c r="V527" t="s">
        <v>10050</v>
      </c>
      <c r="W527" t="s">
        <v>10051</v>
      </c>
      <c r="X527" t="s">
        <v>10052</v>
      </c>
      <c r="Y527" t="s">
        <v>10053</v>
      </c>
      <c r="Z527" t="s">
        <v>10054</v>
      </c>
      <c r="AA527" t="s">
        <v>10055</v>
      </c>
      <c r="AB527" t="s">
        <v>10056</v>
      </c>
      <c r="AC527" t="s">
        <v>10057</v>
      </c>
      <c r="AD527" t="s">
        <v>10058</v>
      </c>
      <c r="AE527" t="s">
        <v>10059</v>
      </c>
      <c r="AF527" t="s">
        <v>74</v>
      </c>
      <c r="AG527">
        <v>67</v>
      </c>
      <c r="AH527">
        <v>0</v>
      </c>
      <c r="AI527">
        <v>0</v>
      </c>
      <c r="AJ527">
        <v>1</v>
      </c>
      <c r="AK527">
        <v>1</v>
      </c>
      <c r="AL527" t="s">
        <v>117</v>
      </c>
      <c r="AM527" t="s">
        <v>118</v>
      </c>
      <c r="AN527" t="s">
        <v>119</v>
      </c>
      <c r="AO527" t="s">
        <v>10060</v>
      </c>
      <c r="AP527" t="s">
        <v>10061</v>
      </c>
      <c r="AQ527" t="s">
        <v>74</v>
      </c>
      <c r="AR527" t="s">
        <v>10062</v>
      </c>
      <c r="AS527" t="s">
        <v>10063</v>
      </c>
      <c r="AT527" t="s">
        <v>8783</v>
      </c>
      <c r="AU527">
        <v>2023</v>
      </c>
      <c r="AV527">
        <v>22</v>
      </c>
      <c r="AW527">
        <v>9</v>
      </c>
      <c r="AX527" t="s">
        <v>74</v>
      </c>
      <c r="AY527" t="s">
        <v>74</v>
      </c>
      <c r="AZ527" t="s">
        <v>74</v>
      </c>
      <c r="BA527" t="s">
        <v>74</v>
      </c>
      <c r="BB527" t="s">
        <v>74</v>
      </c>
      <c r="BC527" t="s">
        <v>74</v>
      </c>
      <c r="BD527">
        <v>330</v>
      </c>
      <c r="BE527" t="s">
        <v>10064</v>
      </c>
      <c r="BF527" t="str">
        <f>HYPERLINK("http://dx.doi.org/10.1007/s11128-023-04096-w","http://dx.doi.org/10.1007/s11128-023-04096-w")</f>
        <v>http://dx.doi.org/10.1007/s11128-023-04096-w</v>
      </c>
      <c r="BG527" t="s">
        <v>74</v>
      </c>
      <c r="BH527" t="s">
        <v>74</v>
      </c>
      <c r="BI527">
        <v>20</v>
      </c>
      <c r="BJ527" t="s">
        <v>10065</v>
      </c>
      <c r="BK527" t="s">
        <v>126</v>
      </c>
      <c r="BL527" t="s">
        <v>387</v>
      </c>
      <c r="BM527" t="s">
        <v>10066</v>
      </c>
      <c r="BN527" t="s">
        <v>74</v>
      </c>
      <c r="BO527" t="s">
        <v>74</v>
      </c>
      <c r="BP527" t="s">
        <v>74</v>
      </c>
      <c r="BQ527" t="s">
        <v>74</v>
      </c>
      <c r="BR527" t="s">
        <v>99</v>
      </c>
      <c r="BS527" t="s">
        <v>10067</v>
      </c>
      <c r="BT527" t="str">
        <f>HYPERLINK("https%3A%2F%2Fwww.webofscience.com%2Fwos%2Fwoscc%2Ffull-record%2FWOS:001061872200002","View Full Record in Web of Science")</f>
        <v>View Full Record in Web of Science</v>
      </c>
    </row>
    <row r="528" spans="1:72" x14ac:dyDescent="0.15">
      <c r="A528" t="s">
        <v>72</v>
      </c>
      <c r="B528" t="s">
        <v>10068</v>
      </c>
      <c r="C528" t="s">
        <v>74</v>
      </c>
      <c r="D528" t="s">
        <v>74</v>
      </c>
      <c r="E528" t="s">
        <v>74</v>
      </c>
      <c r="F528" t="s">
        <v>10069</v>
      </c>
      <c r="G528" t="s">
        <v>74</v>
      </c>
      <c r="H528" t="s">
        <v>74</v>
      </c>
      <c r="I528" t="s">
        <v>10070</v>
      </c>
      <c r="J528" t="s">
        <v>10071</v>
      </c>
      <c r="K528" t="s">
        <v>74</v>
      </c>
      <c r="L528" t="s">
        <v>74</v>
      </c>
      <c r="M528" t="s">
        <v>78</v>
      </c>
      <c r="N528" t="s">
        <v>1246</v>
      </c>
      <c r="O528" t="s">
        <v>74</v>
      </c>
      <c r="P528" t="s">
        <v>74</v>
      </c>
      <c r="Q528" t="s">
        <v>74</v>
      </c>
      <c r="R528" t="s">
        <v>74</v>
      </c>
      <c r="S528" t="s">
        <v>74</v>
      </c>
      <c r="T528" t="s">
        <v>10072</v>
      </c>
      <c r="U528" t="s">
        <v>9865</v>
      </c>
      <c r="V528" t="s">
        <v>10073</v>
      </c>
      <c r="W528" t="s">
        <v>10074</v>
      </c>
      <c r="X528" t="s">
        <v>10075</v>
      </c>
      <c r="Y528" t="s">
        <v>10076</v>
      </c>
      <c r="Z528" t="s">
        <v>10077</v>
      </c>
      <c r="AA528" t="s">
        <v>74</v>
      </c>
      <c r="AB528" t="s">
        <v>10078</v>
      </c>
      <c r="AC528" t="s">
        <v>10079</v>
      </c>
      <c r="AD528" t="s">
        <v>10080</v>
      </c>
      <c r="AE528" t="s">
        <v>10081</v>
      </c>
      <c r="AF528" t="s">
        <v>74</v>
      </c>
      <c r="AG528">
        <v>48</v>
      </c>
      <c r="AH528">
        <v>0</v>
      </c>
      <c r="AI528">
        <v>0</v>
      </c>
      <c r="AJ528">
        <v>0</v>
      </c>
      <c r="AK528">
        <v>0</v>
      </c>
      <c r="AL528" t="s">
        <v>117</v>
      </c>
      <c r="AM528" t="s">
        <v>118</v>
      </c>
      <c r="AN528" t="s">
        <v>119</v>
      </c>
      <c r="AO528" t="s">
        <v>10082</v>
      </c>
      <c r="AP528" t="s">
        <v>10083</v>
      </c>
      <c r="AQ528" t="s">
        <v>74</v>
      </c>
      <c r="AR528" t="s">
        <v>10084</v>
      </c>
      <c r="AS528" t="s">
        <v>10085</v>
      </c>
      <c r="AT528" t="s">
        <v>8746</v>
      </c>
      <c r="AU528">
        <v>2023</v>
      </c>
      <c r="AV528" t="s">
        <v>74</v>
      </c>
      <c r="AW528" t="s">
        <v>74</v>
      </c>
      <c r="AX528" t="s">
        <v>74</v>
      </c>
      <c r="AY528" t="s">
        <v>74</v>
      </c>
      <c r="AZ528" t="s">
        <v>74</v>
      </c>
      <c r="BA528" t="s">
        <v>74</v>
      </c>
      <c r="BB528" t="s">
        <v>74</v>
      </c>
      <c r="BC528" t="s">
        <v>74</v>
      </c>
      <c r="BD528" t="s">
        <v>74</v>
      </c>
      <c r="BE528" t="s">
        <v>10086</v>
      </c>
      <c r="BF528" t="str">
        <f>HYPERLINK("http://dx.doi.org/10.1007/s00500-023-09071-2","http://dx.doi.org/10.1007/s00500-023-09071-2")</f>
        <v>http://dx.doi.org/10.1007/s00500-023-09071-2</v>
      </c>
      <c r="BG528" t="s">
        <v>74</v>
      </c>
      <c r="BH528" t="s">
        <v>2079</v>
      </c>
      <c r="BI528">
        <v>13</v>
      </c>
      <c r="BJ528" t="s">
        <v>10087</v>
      </c>
      <c r="BK528" t="s">
        <v>126</v>
      </c>
      <c r="BL528" t="s">
        <v>1139</v>
      </c>
      <c r="BM528" t="s">
        <v>10088</v>
      </c>
      <c r="BN528" t="s">
        <v>74</v>
      </c>
      <c r="BO528" t="s">
        <v>74</v>
      </c>
      <c r="BP528" t="s">
        <v>74</v>
      </c>
      <c r="BQ528" t="s">
        <v>74</v>
      </c>
      <c r="BR528" t="s">
        <v>99</v>
      </c>
      <c r="BS528" t="s">
        <v>10089</v>
      </c>
      <c r="BT528" t="str">
        <f>HYPERLINK("https%3A%2F%2Fwww.webofscience.com%2Fwos%2Fwoscc%2Ffull-record%2FWOS:001056993400007","View Full Record in Web of Science")</f>
        <v>View Full Record in Web of Science</v>
      </c>
    </row>
    <row r="529" spans="1:72" x14ac:dyDescent="0.15">
      <c r="A529" t="s">
        <v>72</v>
      </c>
      <c r="B529" t="s">
        <v>10090</v>
      </c>
      <c r="C529" t="s">
        <v>74</v>
      </c>
      <c r="D529" t="s">
        <v>74</v>
      </c>
      <c r="E529" t="s">
        <v>74</v>
      </c>
      <c r="F529" t="s">
        <v>10091</v>
      </c>
      <c r="G529" t="s">
        <v>74</v>
      </c>
      <c r="H529" t="s">
        <v>74</v>
      </c>
      <c r="I529" t="s">
        <v>10092</v>
      </c>
      <c r="J529" t="s">
        <v>1957</v>
      </c>
      <c r="K529" t="s">
        <v>74</v>
      </c>
      <c r="L529" t="s">
        <v>74</v>
      </c>
      <c r="M529" t="s">
        <v>78</v>
      </c>
      <c r="N529" t="s">
        <v>105</v>
      </c>
      <c r="O529" t="s">
        <v>74</v>
      </c>
      <c r="P529" t="s">
        <v>74</v>
      </c>
      <c r="Q529" t="s">
        <v>74</v>
      </c>
      <c r="R529" t="s">
        <v>74</v>
      </c>
      <c r="S529" t="s">
        <v>74</v>
      </c>
      <c r="T529" t="s">
        <v>74</v>
      </c>
      <c r="U529" t="s">
        <v>10093</v>
      </c>
      <c r="V529" t="s">
        <v>10094</v>
      </c>
      <c r="W529" t="s">
        <v>10095</v>
      </c>
      <c r="X529" t="s">
        <v>10096</v>
      </c>
      <c r="Y529" t="s">
        <v>10097</v>
      </c>
      <c r="Z529" t="s">
        <v>10098</v>
      </c>
      <c r="AA529" t="s">
        <v>74</v>
      </c>
      <c r="AB529" t="s">
        <v>10099</v>
      </c>
      <c r="AC529" t="s">
        <v>74</v>
      </c>
      <c r="AD529" t="s">
        <v>74</v>
      </c>
      <c r="AE529" t="s">
        <v>74</v>
      </c>
      <c r="AF529" t="s">
        <v>74</v>
      </c>
      <c r="AG529">
        <v>99</v>
      </c>
      <c r="AH529">
        <v>0</v>
      </c>
      <c r="AI529">
        <v>0</v>
      </c>
      <c r="AJ529">
        <v>1</v>
      </c>
      <c r="AK529">
        <v>1</v>
      </c>
      <c r="AL529" t="s">
        <v>117</v>
      </c>
      <c r="AM529" t="s">
        <v>118</v>
      </c>
      <c r="AN529" t="s">
        <v>119</v>
      </c>
      <c r="AO529" t="s">
        <v>1962</v>
      </c>
      <c r="AP529" t="s">
        <v>1963</v>
      </c>
      <c r="AQ529" t="s">
        <v>74</v>
      </c>
      <c r="AR529" t="s">
        <v>1964</v>
      </c>
      <c r="AS529" t="s">
        <v>1965</v>
      </c>
      <c r="AT529" t="s">
        <v>8614</v>
      </c>
      <c r="AU529">
        <v>2023</v>
      </c>
      <c r="AV529">
        <v>80</v>
      </c>
      <c r="AW529">
        <v>9</v>
      </c>
      <c r="AX529" t="s">
        <v>74</v>
      </c>
      <c r="AY529" t="s">
        <v>74</v>
      </c>
      <c r="AZ529" t="s">
        <v>74</v>
      </c>
      <c r="BA529" t="s">
        <v>74</v>
      </c>
      <c r="BB529" t="s">
        <v>74</v>
      </c>
      <c r="BC529" t="s">
        <v>74</v>
      </c>
      <c r="BD529">
        <v>282</v>
      </c>
      <c r="BE529" t="s">
        <v>10100</v>
      </c>
      <c r="BF529" t="str">
        <f>HYPERLINK("http://dx.doi.org/10.1007/s00284-023-03392-z","http://dx.doi.org/10.1007/s00284-023-03392-z")</f>
        <v>http://dx.doi.org/10.1007/s00284-023-03392-z</v>
      </c>
      <c r="BG529" t="s">
        <v>74</v>
      </c>
      <c r="BH529" t="s">
        <v>74</v>
      </c>
      <c r="BI529">
        <v>13</v>
      </c>
      <c r="BJ529" t="s">
        <v>1967</v>
      </c>
      <c r="BK529" t="s">
        <v>126</v>
      </c>
      <c r="BL529" t="s">
        <v>1967</v>
      </c>
      <c r="BM529" t="s">
        <v>10101</v>
      </c>
      <c r="BN529">
        <v>37450223</v>
      </c>
      <c r="BO529" t="s">
        <v>74</v>
      </c>
      <c r="BP529" t="s">
        <v>74</v>
      </c>
      <c r="BQ529" t="s">
        <v>74</v>
      </c>
      <c r="BR529" t="s">
        <v>99</v>
      </c>
      <c r="BS529" t="s">
        <v>10102</v>
      </c>
      <c r="BT529" t="str">
        <f>HYPERLINK("https%3A%2F%2Fwww.webofscience.com%2Fwos%2Fwoscc%2Ffull-record%2FWOS:001030541200001","View Full Record in Web of Science")</f>
        <v>View Full Record in Web of Science</v>
      </c>
    </row>
    <row r="530" spans="1:72" x14ac:dyDescent="0.15">
      <c r="A530" t="s">
        <v>72</v>
      </c>
      <c r="B530" t="s">
        <v>10103</v>
      </c>
      <c r="C530" t="s">
        <v>74</v>
      </c>
      <c r="D530" t="s">
        <v>74</v>
      </c>
      <c r="E530" t="s">
        <v>74</v>
      </c>
      <c r="F530" t="s">
        <v>10104</v>
      </c>
      <c r="G530" t="s">
        <v>74</v>
      </c>
      <c r="H530" t="s">
        <v>74</v>
      </c>
      <c r="I530" t="s">
        <v>10105</v>
      </c>
      <c r="J530" t="s">
        <v>8753</v>
      </c>
      <c r="K530" t="s">
        <v>74</v>
      </c>
      <c r="L530" t="s">
        <v>74</v>
      </c>
      <c r="M530" t="s">
        <v>78</v>
      </c>
      <c r="N530" t="s">
        <v>79</v>
      </c>
      <c r="O530" t="s">
        <v>74</v>
      </c>
      <c r="P530" t="s">
        <v>74</v>
      </c>
      <c r="Q530" t="s">
        <v>74</v>
      </c>
      <c r="R530" t="s">
        <v>74</v>
      </c>
      <c r="S530" t="s">
        <v>74</v>
      </c>
      <c r="T530" t="s">
        <v>10106</v>
      </c>
      <c r="U530" t="s">
        <v>74</v>
      </c>
      <c r="V530" t="s">
        <v>10107</v>
      </c>
      <c r="W530" t="s">
        <v>10108</v>
      </c>
      <c r="X530" t="s">
        <v>10109</v>
      </c>
      <c r="Y530" t="s">
        <v>10110</v>
      </c>
      <c r="Z530" t="s">
        <v>10111</v>
      </c>
      <c r="AA530" t="s">
        <v>74</v>
      </c>
      <c r="AB530" t="s">
        <v>74</v>
      </c>
      <c r="AC530" t="s">
        <v>74</v>
      </c>
      <c r="AD530" t="s">
        <v>74</v>
      </c>
      <c r="AE530" t="s">
        <v>74</v>
      </c>
      <c r="AF530" t="s">
        <v>74</v>
      </c>
      <c r="AG530">
        <v>19</v>
      </c>
      <c r="AH530">
        <v>0</v>
      </c>
      <c r="AI530">
        <v>0</v>
      </c>
      <c r="AJ530">
        <v>0</v>
      </c>
      <c r="AK530">
        <v>0</v>
      </c>
      <c r="AL530" t="s">
        <v>269</v>
      </c>
      <c r="AM530" t="s">
        <v>118</v>
      </c>
      <c r="AN530" t="s">
        <v>270</v>
      </c>
      <c r="AO530" t="s">
        <v>8761</v>
      </c>
      <c r="AP530" t="s">
        <v>8762</v>
      </c>
      <c r="AQ530" t="s">
        <v>74</v>
      </c>
      <c r="AR530" t="s">
        <v>8763</v>
      </c>
      <c r="AS530" t="s">
        <v>8764</v>
      </c>
      <c r="AT530" t="s">
        <v>8614</v>
      </c>
      <c r="AU530">
        <v>2023</v>
      </c>
      <c r="AV530">
        <v>42</v>
      </c>
      <c r="AW530">
        <v>3</v>
      </c>
      <c r="AX530" t="s">
        <v>74</v>
      </c>
      <c r="AY530" t="s">
        <v>74</v>
      </c>
      <c r="AZ530" t="s">
        <v>74</v>
      </c>
      <c r="BA530" t="s">
        <v>74</v>
      </c>
      <c r="BB530" t="s">
        <v>74</v>
      </c>
      <c r="BC530" t="s">
        <v>74</v>
      </c>
      <c r="BD530">
        <v>76</v>
      </c>
      <c r="BE530" t="s">
        <v>10112</v>
      </c>
      <c r="BF530" t="str">
        <f>HYPERLINK("http://dx.doi.org/10.1007/s10921-023-00983-5","http://dx.doi.org/10.1007/s10921-023-00983-5")</f>
        <v>http://dx.doi.org/10.1007/s10921-023-00983-5</v>
      </c>
      <c r="BG530" t="s">
        <v>74</v>
      </c>
      <c r="BH530" t="s">
        <v>74</v>
      </c>
      <c r="BI530">
        <v>10</v>
      </c>
      <c r="BJ530" t="s">
        <v>8766</v>
      </c>
      <c r="BK530" t="s">
        <v>126</v>
      </c>
      <c r="BL530" t="s">
        <v>2293</v>
      </c>
      <c r="BM530" t="s">
        <v>10113</v>
      </c>
      <c r="BN530" t="s">
        <v>74</v>
      </c>
      <c r="BO530" t="s">
        <v>74</v>
      </c>
      <c r="BP530" t="s">
        <v>74</v>
      </c>
      <c r="BQ530" t="s">
        <v>74</v>
      </c>
      <c r="BR530" t="s">
        <v>99</v>
      </c>
      <c r="BS530" t="s">
        <v>10114</v>
      </c>
      <c r="BT530" t="str">
        <f>HYPERLINK("https%3A%2F%2Fwww.webofscience.com%2Fwos%2Fwoscc%2Ffull-record%2FWOS:001044373500001","View Full Record in Web of Science")</f>
        <v>View Full Record in Web of Science</v>
      </c>
    </row>
    <row r="531" spans="1:72" x14ac:dyDescent="0.15">
      <c r="A531" t="s">
        <v>72</v>
      </c>
      <c r="B531" t="s">
        <v>10115</v>
      </c>
      <c r="C531" t="s">
        <v>74</v>
      </c>
      <c r="D531" t="s">
        <v>74</v>
      </c>
      <c r="E531" t="s">
        <v>74</v>
      </c>
      <c r="F531" t="s">
        <v>10116</v>
      </c>
      <c r="G531" t="s">
        <v>74</v>
      </c>
      <c r="H531" t="s">
        <v>74</v>
      </c>
      <c r="I531" t="s">
        <v>10117</v>
      </c>
      <c r="J531" t="s">
        <v>258</v>
      </c>
      <c r="K531" t="s">
        <v>74</v>
      </c>
      <c r="L531" t="s">
        <v>74</v>
      </c>
      <c r="M531" t="s">
        <v>78</v>
      </c>
      <c r="N531" t="s">
        <v>79</v>
      </c>
      <c r="O531" t="s">
        <v>74</v>
      </c>
      <c r="P531" t="s">
        <v>74</v>
      </c>
      <c r="Q531" t="s">
        <v>74</v>
      </c>
      <c r="R531" t="s">
        <v>74</v>
      </c>
      <c r="S531" t="s">
        <v>74</v>
      </c>
      <c r="T531" t="s">
        <v>10118</v>
      </c>
      <c r="U531" t="s">
        <v>10119</v>
      </c>
      <c r="V531" t="s">
        <v>10120</v>
      </c>
      <c r="W531" t="s">
        <v>10121</v>
      </c>
      <c r="X531" t="s">
        <v>10122</v>
      </c>
      <c r="Y531" t="s">
        <v>10123</v>
      </c>
      <c r="Z531" t="s">
        <v>10124</v>
      </c>
      <c r="AA531" t="s">
        <v>10125</v>
      </c>
      <c r="AB531" t="s">
        <v>10126</v>
      </c>
      <c r="AC531" t="s">
        <v>10127</v>
      </c>
      <c r="AD531" t="s">
        <v>10128</v>
      </c>
      <c r="AE531" t="s">
        <v>10129</v>
      </c>
      <c r="AF531" t="s">
        <v>74</v>
      </c>
      <c r="AG531">
        <v>58</v>
      </c>
      <c r="AH531">
        <v>0</v>
      </c>
      <c r="AI531">
        <v>0</v>
      </c>
      <c r="AJ531">
        <v>7</v>
      </c>
      <c r="AK531">
        <v>7</v>
      </c>
      <c r="AL531" t="s">
        <v>269</v>
      </c>
      <c r="AM531" t="s">
        <v>118</v>
      </c>
      <c r="AN531" t="s">
        <v>270</v>
      </c>
      <c r="AO531" t="s">
        <v>271</v>
      </c>
      <c r="AP531" t="s">
        <v>272</v>
      </c>
      <c r="AQ531" t="s">
        <v>74</v>
      </c>
      <c r="AR531" t="s">
        <v>273</v>
      </c>
      <c r="AS531" t="s">
        <v>274</v>
      </c>
      <c r="AT531" t="s">
        <v>8614</v>
      </c>
      <c r="AU531">
        <v>2023</v>
      </c>
      <c r="AV531">
        <v>71</v>
      </c>
      <c r="AW531">
        <v>3</v>
      </c>
      <c r="AX531" t="s">
        <v>74</v>
      </c>
      <c r="AY531" t="s">
        <v>74</v>
      </c>
      <c r="AZ531" t="s">
        <v>74</v>
      </c>
      <c r="BA531" t="s">
        <v>74</v>
      </c>
      <c r="BB531" t="s">
        <v>74</v>
      </c>
      <c r="BC531" t="s">
        <v>74</v>
      </c>
      <c r="BD531">
        <v>90</v>
      </c>
      <c r="BE531" t="s">
        <v>10130</v>
      </c>
      <c r="BF531" t="str">
        <f>HYPERLINK("http://dx.doi.org/10.1007/s11249-023-01764-x","http://dx.doi.org/10.1007/s11249-023-01764-x")</f>
        <v>http://dx.doi.org/10.1007/s11249-023-01764-x</v>
      </c>
      <c r="BG531" t="s">
        <v>74</v>
      </c>
      <c r="BH531" t="s">
        <v>74</v>
      </c>
      <c r="BI531">
        <v>17</v>
      </c>
      <c r="BJ531" t="s">
        <v>276</v>
      </c>
      <c r="BK531" t="s">
        <v>126</v>
      </c>
      <c r="BL531" t="s">
        <v>277</v>
      </c>
      <c r="BM531" t="s">
        <v>10131</v>
      </c>
      <c r="BN531" t="s">
        <v>74</v>
      </c>
      <c r="BO531" t="s">
        <v>327</v>
      </c>
      <c r="BP531" t="s">
        <v>74</v>
      </c>
      <c r="BQ531" t="s">
        <v>74</v>
      </c>
      <c r="BR531" t="s">
        <v>99</v>
      </c>
      <c r="BS531" t="s">
        <v>10132</v>
      </c>
      <c r="BT531" t="str">
        <f>HYPERLINK("https%3A%2F%2Fwww.webofscience.com%2Fwos%2Fwoscc%2Ffull-record%2FWOS:001033488800002","View Full Record in Web of Science")</f>
        <v>View Full Record in Web of Science</v>
      </c>
    </row>
    <row r="532" spans="1:72" x14ac:dyDescent="0.15">
      <c r="A532" t="s">
        <v>72</v>
      </c>
      <c r="B532" t="s">
        <v>10133</v>
      </c>
      <c r="C532" t="s">
        <v>74</v>
      </c>
      <c r="D532" t="s">
        <v>74</v>
      </c>
      <c r="E532" t="s">
        <v>74</v>
      </c>
      <c r="F532" t="s">
        <v>10134</v>
      </c>
      <c r="G532" t="s">
        <v>74</v>
      </c>
      <c r="H532" t="s">
        <v>74</v>
      </c>
      <c r="I532" t="s">
        <v>10135</v>
      </c>
      <c r="J532" t="s">
        <v>8678</v>
      </c>
      <c r="K532" t="s">
        <v>74</v>
      </c>
      <c r="L532" t="s">
        <v>74</v>
      </c>
      <c r="M532" t="s">
        <v>78</v>
      </c>
      <c r="N532" t="s">
        <v>79</v>
      </c>
      <c r="O532" t="s">
        <v>74</v>
      </c>
      <c r="P532" t="s">
        <v>74</v>
      </c>
      <c r="Q532" t="s">
        <v>74</v>
      </c>
      <c r="R532" t="s">
        <v>74</v>
      </c>
      <c r="S532" t="s">
        <v>74</v>
      </c>
      <c r="T532" t="s">
        <v>10136</v>
      </c>
      <c r="U532" t="s">
        <v>74</v>
      </c>
      <c r="V532" t="s">
        <v>10137</v>
      </c>
      <c r="W532" t="s">
        <v>10138</v>
      </c>
      <c r="X532" t="s">
        <v>10139</v>
      </c>
      <c r="Y532" t="s">
        <v>10140</v>
      </c>
      <c r="Z532" t="s">
        <v>10141</v>
      </c>
      <c r="AA532" t="s">
        <v>74</v>
      </c>
      <c r="AB532" t="s">
        <v>74</v>
      </c>
      <c r="AC532" t="s">
        <v>74</v>
      </c>
      <c r="AD532" t="s">
        <v>74</v>
      </c>
      <c r="AE532" t="s">
        <v>74</v>
      </c>
      <c r="AF532" t="s">
        <v>74</v>
      </c>
      <c r="AG532">
        <v>26</v>
      </c>
      <c r="AH532">
        <v>0</v>
      </c>
      <c r="AI532">
        <v>0</v>
      </c>
      <c r="AJ532">
        <v>0</v>
      </c>
      <c r="AK532">
        <v>0</v>
      </c>
      <c r="AL532" t="s">
        <v>172</v>
      </c>
      <c r="AM532" t="s">
        <v>173</v>
      </c>
      <c r="AN532" t="s">
        <v>174</v>
      </c>
      <c r="AO532" t="s">
        <v>8686</v>
      </c>
      <c r="AP532" t="s">
        <v>8687</v>
      </c>
      <c r="AQ532" t="s">
        <v>74</v>
      </c>
      <c r="AR532" t="s">
        <v>8688</v>
      </c>
      <c r="AS532" t="s">
        <v>8689</v>
      </c>
      <c r="AT532" t="s">
        <v>8614</v>
      </c>
      <c r="AU532">
        <v>2023</v>
      </c>
      <c r="AV532">
        <v>45</v>
      </c>
      <c r="AW532">
        <v>9</v>
      </c>
      <c r="AX532" t="s">
        <v>74</v>
      </c>
      <c r="AY532" t="s">
        <v>74</v>
      </c>
      <c r="AZ532" t="s">
        <v>74</v>
      </c>
      <c r="BA532" t="s">
        <v>74</v>
      </c>
      <c r="BB532" t="s">
        <v>74</v>
      </c>
      <c r="BC532" t="s">
        <v>74</v>
      </c>
      <c r="BD532">
        <v>495</v>
      </c>
      <c r="BE532" t="s">
        <v>10142</v>
      </c>
      <c r="BF532" t="str">
        <f>HYPERLINK("http://dx.doi.org/10.1007/s40430-023-04413-5","http://dx.doi.org/10.1007/s40430-023-04413-5")</f>
        <v>http://dx.doi.org/10.1007/s40430-023-04413-5</v>
      </c>
      <c r="BG532" t="s">
        <v>74</v>
      </c>
      <c r="BH532" t="s">
        <v>74</v>
      </c>
      <c r="BI532">
        <v>19</v>
      </c>
      <c r="BJ532" t="s">
        <v>8691</v>
      </c>
      <c r="BK532" t="s">
        <v>126</v>
      </c>
      <c r="BL532" t="s">
        <v>277</v>
      </c>
      <c r="BM532" t="s">
        <v>10143</v>
      </c>
      <c r="BN532" t="s">
        <v>74</v>
      </c>
      <c r="BO532" t="s">
        <v>74</v>
      </c>
      <c r="BP532" t="s">
        <v>74</v>
      </c>
      <c r="BQ532" t="s">
        <v>74</v>
      </c>
      <c r="BR532" t="s">
        <v>99</v>
      </c>
      <c r="BS532" t="s">
        <v>10144</v>
      </c>
      <c r="BT532" t="str">
        <f>HYPERLINK("https%3A%2F%2Fwww.webofscience.com%2Fwos%2Fwoscc%2Ffull-record%2FWOS:001058575500001","View Full Record in Web of Science")</f>
        <v>View Full Record in Web of Science</v>
      </c>
    </row>
    <row r="533" spans="1:72" x14ac:dyDescent="0.15">
      <c r="A533" t="s">
        <v>72</v>
      </c>
      <c r="B533" t="s">
        <v>10145</v>
      </c>
      <c r="C533" t="s">
        <v>74</v>
      </c>
      <c r="D533" t="s">
        <v>74</v>
      </c>
      <c r="E533" t="s">
        <v>74</v>
      </c>
      <c r="F533" t="s">
        <v>10146</v>
      </c>
      <c r="G533" t="s">
        <v>74</v>
      </c>
      <c r="H533" t="s">
        <v>74</v>
      </c>
      <c r="I533" t="s">
        <v>10147</v>
      </c>
      <c r="J533" t="s">
        <v>1897</v>
      </c>
      <c r="K533" t="s">
        <v>74</v>
      </c>
      <c r="L533" t="s">
        <v>74</v>
      </c>
      <c r="M533" t="s">
        <v>78</v>
      </c>
      <c r="N533" t="s">
        <v>79</v>
      </c>
      <c r="O533" t="s">
        <v>74</v>
      </c>
      <c r="P533" t="s">
        <v>74</v>
      </c>
      <c r="Q533" t="s">
        <v>74</v>
      </c>
      <c r="R533" t="s">
        <v>74</v>
      </c>
      <c r="S533" t="s">
        <v>74</v>
      </c>
      <c r="T533" t="s">
        <v>10148</v>
      </c>
      <c r="U533" t="s">
        <v>10149</v>
      </c>
      <c r="V533" t="s">
        <v>10150</v>
      </c>
      <c r="W533" t="s">
        <v>10151</v>
      </c>
      <c r="X533" t="s">
        <v>74</v>
      </c>
      <c r="Y533" t="s">
        <v>10152</v>
      </c>
      <c r="Z533" t="s">
        <v>10153</v>
      </c>
      <c r="AA533" t="s">
        <v>74</v>
      </c>
      <c r="AB533" t="s">
        <v>74</v>
      </c>
      <c r="AC533" t="s">
        <v>10154</v>
      </c>
      <c r="AD533" t="s">
        <v>10155</v>
      </c>
      <c r="AE533" t="s">
        <v>10156</v>
      </c>
      <c r="AF533" t="s">
        <v>74</v>
      </c>
      <c r="AG533">
        <v>133</v>
      </c>
      <c r="AH533">
        <v>0</v>
      </c>
      <c r="AI533">
        <v>0</v>
      </c>
      <c r="AJ533">
        <v>0</v>
      </c>
      <c r="AK533">
        <v>0</v>
      </c>
      <c r="AL533" t="s">
        <v>117</v>
      </c>
      <c r="AM533" t="s">
        <v>627</v>
      </c>
      <c r="AN533" t="s">
        <v>628</v>
      </c>
      <c r="AO533" t="s">
        <v>1905</v>
      </c>
      <c r="AP533" t="s">
        <v>1906</v>
      </c>
      <c r="AQ533" t="s">
        <v>74</v>
      </c>
      <c r="AR533" t="s">
        <v>1907</v>
      </c>
      <c r="AS533" t="s">
        <v>1908</v>
      </c>
      <c r="AT533" t="s">
        <v>8614</v>
      </c>
      <c r="AU533">
        <v>2023</v>
      </c>
      <c r="AV533">
        <v>195</v>
      </c>
      <c r="AW533">
        <v>9</v>
      </c>
      <c r="AX533" t="s">
        <v>74</v>
      </c>
      <c r="AY533" t="s">
        <v>74</v>
      </c>
      <c r="AZ533" t="s">
        <v>74</v>
      </c>
      <c r="BA533" t="s">
        <v>74</v>
      </c>
      <c r="BB533" t="s">
        <v>74</v>
      </c>
      <c r="BC533" t="s">
        <v>74</v>
      </c>
      <c r="BD533">
        <v>1049</v>
      </c>
      <c r="BE533" t="s">
        <v>10157</v>
      </c>
      <c r="BF533" t="str">
        <f>HYPERLINK("http://dx.doi.org/10.1007/s10661-023-11638-3","http://dx.doi.org/10.1007/s10661-023-11638-3")</f>
        <v>http://dx.doi.org/10.1007/s10661-023-11638-3</v>
      </c>
      <c r="BG533" t="s">
        <v>74</v>
      </c>
      <c r="BH533" t="s">
        <v>74</v>
      </c>
      <c r="BI533">
        <v>23</v>
      </c>
      <c r="BJ533" t="s">
        <v>1346</v>
      </c>
      <c r="BK533" t="s">
        <v>126</v>
      </c>
      <c r="BL533" t="s">
        <v>1347</v>
      </c>
      <c r="BM533" t="s">
        <v>10158</v>
      </c>
      <c r="BN533">
        <v>37589757</v>
      </c>
      <c r="BO533" t="s">
        <v>74</v>
      </c>
      <c r="BP533" t="s">
        <v>74</v>
      </c>
      <c r="BQ533" t="s">
        <v>74</v>
      </c>
      <c r="BR533" t="s">
        <v>99</v>
      </c>
      <c r="BS533" t="s">
        <v>10159</v>
      </c>
      <c r="BT533" t="str">
        <f>HYPERLINK("https%3A%2F%2Fwww.webofscience.com%2Fwos%2Fwoscc%2Ffull-record%2FWOS:001050140400018","View Full Record in Web of Science")</f>
        <v>View Full Record in Web of Science</v>
      </c>
    </row>
    <row r="534" spans="1:72" x14ac:dyDescent="0.15">
      <c r="A534" t="s">
        <v>72</v>
      </c>
      <c r="B534" t="s">
        <v>10160</v>
      </c>
      <c r="C534" t="s">
        <v>74</v>
      </c>
      <c r="D534" t="s">
        <v>74</v>
      </c>
      <c r="E534" t="s">
        <v>74</v>
      </c>
      <c r="F534" t="s">
        <v>10161</v>
      </c>
      <c r="G534" t="s">
        <v>74</v>
      </c>
      <c r="H534" t="s">
        <v>74</v>
      </c>
      <c r="I534" t="s">
        <v>10162</v>
      </c>
      <c r="J534" t="s">
        <v>10163</v>
      </c>
      <c r="K534" t="s">
        <v>74</v>
      </c>
      <c r="L534" t="s">
        <v>74</v>
      </c>
      <c r="M534" t="s">
        <v>4349</v>
      </c>
      <c r="N534" t="s">
        <v>952</v>
      </c>
      <c r="O534" t="s">
        <v>74</v>
      </c>
      <c r="P534" t="s">
        <v>74</v>
      </c>
      <c r="Q534" t="s">
        <v>74</v>
      </c>
      <c r="R534" t="s">
        <v>74</v>
      </c>
      <c r="S534" t="s">
        <v>74</v>
      </c>
      <c r="T534" t="s">
        <v>74</v>
      </c>
      <c r="U534" t="s">
        <v>10164</v>
      </c>
      <c r="V534" t="s">
        <v>74</v>
      </c>
      <c r="W534" t="s">
        <v>10165</v>
      </c>
      <c r="X534" t="s">
        <v>10166</v>
      </c>
      <c r="Y534" t="s">
        <v>10167</v>
      </c>
      <c r="Z534" t="s">
        <v>10168</v>
      </c>
      <c r="AA534" t="s">
        <v>74</v>
      </c>
      <c r="AB534" t="s">
        <v>74</v>
      </c>
      <c r="AC534" t="s">
        <v>74</v>
      </c>
      <c r="AD534" t="s">
        <v>74</v>
      </c>
      <c r="AE534" t="s">
        <v>74</v>
      </c>
      <c r="AF534" t="s">
        <v>74</v>
      </c>
      <c r="AG534">
        <v>9</v>
      </c>
      <c r="AH534">
        <v>0</v>
      </c>
      <c r="AI534">
        <v>0</v>
      </c>
      <c r="AJ534">
        <v>0</v>
      </c>
      <c r="AK534">
        <v>0</v>
      </c>
      <c r="AL534" t="s">
        <v>146</v>
      </c>
      <c r="AM534" t="s">
        <v>147</v>
      </c>
      <c r="AN534" t="s">
        <v>148</v>
      </c>
      <c r="AO534" t="s">
        <v>10169</v>
      </c>
      <c r="AP534" t="s">
        <v>10170</v>
      </c>
      <c r="AQ534" t="s">
        <v>74</v>
      </c>
      <c r="AR534" t="s">
        <v>10171</v>
      </c>
      <c r="AS534" t="s">
        <v>10172</v>
      </c>
      <c r="AT534" t="s">
        <v>8614</v>
      </c>
      <c r="AU534">
        <v>2023</v>
      </c>
      <c r="AV534">
        <v>135</v>
      </c>
      <c r="AW534" t="s">
        <v>10173</v>
      </c>
      <c r="AX534" t="s">
        <v>74</v>
      </c>
      <c r="AY534" t="s">
        <v>74</v>
      </c>
      <c r="AZ534" t="s">
        <v>74</v>
      </c>
      <c r="BA534" t="s">
        <v>74</v>
      </c>
      <c r="BB534">
        <v>499</v>
      </c>
      <c r="BC534">
        <v>500</v>
      </c>
      <c r="BD534" t="s">
        <v>74</v>
      </c>
      <c r="BE534" t="s">
        <v>10174</v>
      </c>
      <c r="BF534" t="str">
        <f>HYPERLINK("http://dx.doi.org/10.1007/s00508-023-02280-7","http://dx.doi.org/10.1007/s00508-023-02280-7")</f>
        <v>http://dx.doi.org/10.1007/s00508-023-02280-7</v>
      </c>
      <c r="BG534" t="s">
        <v>74</v>
      </c>
      <c r="BH534" t="s">
        <v>74</v>
      </c>
      <c r="BI534">
        <v>2</v>
      </c>
      <c r="BJ534" t="s">
        <v>1238</v>
      </c>
      <c r="BK534" t="s">
        <v>126</v>
      </c>
      <c r="BL534" t="s">
        <v>1239</v>
      </c>
      <c r="BM534" t="s">
        <v>10175</v>
      </c>
      <c r="BN534" t="s">
        <v>74</v>
      </c>
      <c r="BO534" t="s">
        <v>74</v>
      </c>
      <c r="BP534" t="s">
        <v>74</v>
      </c>
      <c r="BQ534" t="s">
        <v>74</v>
      </c>
      <c r="BR534" t="s">
        <v>99</v>
      </c>
      <c r="BS534" t="s">
        <v>10176</v>
      </c>
      <c r="BT534" t="str">
        <f>HYPERLINK("https%3A%2F%2Fwww.webofscience.com%2Fwos%2Fwoscc%2Ffull-record%2FWOS:001069537800009","View Full Record in Web of Science")</f>
        <v>View Full Record in Web of Science</v>
      </c>
    </row>
    <row r="535" spans="1:72" x14ac:dyDescent="0.15">
      <c r="A535" t="s">
        <v>72</v>
      </c>
      <c r="B535" t="s">
        <v>10177</v>
      </c>
      <c r="C535" t="s">
        <v>74</v>
      </c>
      <c r="D535" t="s">
        <v>74</v>
      </c>
      <c r="E535" t="s">
        <v>74</v>
      </c>
      <c r="F535" t="s">
        <v>10178</v>
      </c>
      <c r="G535" t="s">
        <v>74</v>
      </c>
      <c r="H535" t="s">
        <v>74</v>
      </c>
      <c r="I535" t="s">
        <v>10179</v>
      </c>
      <c r="J535" t="s">
        <v>10180</v>
      </c>
      <c r="K535" t="s">
        <v>74</v>
      </c>
      <c r="L535" t="s">
        <v>74</v>
      </c>
      <c r="M535" t="s">
        <v>78</v>
      </c>
      <c r="N535" t="s">
        <v>105</v>
      </c>
      <c r="O535" t="s">
        <v>74</v>
      </c>
      <c r="P535" t="s">
        <v>74</v>
      </c>
      <c r="Q535" t="s">
        <v>74</v>
      </c>
      <c r="R535" t="s">
        <v>74</v>
      </c>
      <c r="S535" t="s">
        <v>74</v>
      </c>
      <c r="T535" t="s">
        <v>10181</v>
      </c>
      <c r="U535" t="s">
        <v>10182</v>
      </c>
      <c r="V535" t="s">
        <v>10183</v>
      </c>
      <c r="W535" t="s">
        <v>10184</v>
      </c>
      <c r="X535" t="s">
        <v>10185</v>
      </c>
      <c r="Y535" t="s">
        <v>10186</v>
      </c>
      <c r="Z535" t="s">
        <v>10187</v>
      </c>
      <c r="AA535" t="s">
        <v>74</v>
      </c>
      <c r="AB535" t="s">
        <v>74</v>
      </c>
      <c r="AC535" t="s">
        <v>74</v>
      </c>
      <c r="AD535" t="s">
        <v>74</v>
      </c>
      <c r="AE535" t="s">
        <v>74</v>
      </c>
      <c r="AF535" t="s">
        <v>74</v>
      </c>
      <c r="AG535">
        <v>135</v>
      </c>
      <c r="AH535">
        <v>0</v>
      </c>
      <c r="AI535">
        <v>0</v>
      </c>
      <c r="AJ535">
        <v>1</v>
      </c>
      <c r="AK535">
        <v>1</v>
      </c>
      <c r="AL535" t="s">
        <v>5347</v>
      </c>
      <c r="AM535" t="s">
        <v>118</v>
      </c>
      <c r="AN535" t="s">
        <v>5348</v>
      </c>
      <c r="AO535" t="s">
        <v>10188</v>
      </c>
      <c r="AP535" t="s">
        <v>10189</v>
      </c>
      <c r="AQ535" t="s">
        <v>74</v>
      </c>
      <c r="AR535" t="s">
        <v>10190</v>
      </c>
      <c r="AS535" t="s">
        <v>10191</v>
      </c>
      <c r="AT535" t="s">
        <v>8614</v>
      </c>
      <c r="AU535">
        <v>2023</v>
      </c>
      <c r="AV535">
        <v>17</v>
      </c>
      <c r="AW535">
        <v>3</v>
      </c>
      <c r="AX535" t="s">
        <v>74</v>
      </c>
      <c r="AY535" t="s">
        <v>74</v>
      </c>
      <c r="AZ535" t="s">
        <v>5146</v>
      </c>
      <c r="BA535" t="s">
        <v>74</v>
      </c>
      <c r="BB535">
        <v>325</v>
      </c>
      <c r="BC535">
        <v>337</v>
      </c>
      <c r="BD535" t="s">
        <v>74</v>
      </c>
      <c r="BE535" t="s">
        <v>10192</v>
      </c>
      <c r="BF535" t="str">
        <f>HYPERLINK("http://dx.doi.org/10.1134/S1819712423030157","http://dx.doi.org/10.1134/S1819712423030157")</f>
        <v>http://dx.doi.org/10.1134/S1819712423030157</v>
      </c>
      <c r="BG535" t="s">
        <v>74</v>
      </c>
      <c r="BH535" t="s">
        <v>74</v>
      </c>
      <c r="BI535">
        <v>13</v>
      </c>
      <c r="BJ535" t="s">
        <v>3889</v>
      </c>
      <c r="BK535" t="s">
        <v>126</v>
      </c>
      <c r="BL535" t="s">
        <v>2057</v>
      </c>
      <c r="BM535" t="s">
        <v>10193</v>
      </c>
      <c r="BN535" t="s">
        <v>74</v>
      </c>
      <c r="BO535" t="s">
        <v>74</v>
      </c>
      <c r="BP535" t="s">
        <v>74</v>
      </c>
      <c r="BQ535" t="s">
        <v>74</v>
      </c>
      <c r="BR535" t="s">
        <v>99</v>
      </c>
      <c r="BS535" t="s">
        <v>10194</v>
      </c>
      <c r="BT535" t="str">
        <f>HYPERLINK("https%3A%2F%2Fwww.webofscience.com%2Fwos%2Fwoscc%2Ffull-record%2FWOS:001058598100001","View Full Record in Web of Science")</f>
        <v>View Full Record in Web of Science</v>
      </c>
    </row>
    <row r="536" spans="1:72" x14ac:dyDescent="0.15">
      <c r="A536" t="s">
        <v>72</v>
      </c>
      <c r="B536" t="s">
        <v>10195</v>
      </c>
      <c r="C536" t="s">
        <v>74</v>
      </c>
      <c r="D536" t="s">
        <v>74</v>
      </c>
      <c r="E536" t="s">
        <v>74</v>
      </c>
      <c r="F536" t="s">
        <v>10196</v>
      </c>
      <c r="G536" t="s">
        <v>74</v>
      </c>
      <c r="H536" t="s">
        <v>74</v>
      </c>
      <c r="I536" t="s">
        <v>10197</v>
      </c>
      <c r="J536" t="s">
        <v>1145</v>
      </c>
      <c r="K536" t="s">
        <v>74</v>
      </c>
      <c r="L536" t="s">
        <v>74</v>
      </c>
      <c r="M536" t="s">
        <v>78</v>
      </c>
      <c r="N536" t="s">
        <v>79</v>
      </c>
      <c r="O536" t="s">
        <v>74</v>
      </c>
      <c r="P536" t="s">
        <v>74</v>
      </c>
      <c r="Q536" t="s">
        <v>74</v>
      </c>
      <c r="R536" t="s">
        <v>74</v>
      </c>
      <c r="S536" t="s">
        <v>74</v>
      </c>
      <c r="T536" t="s">
        <v>10198</v>
      </c>
      <c r="U536" t="s">
        <v>10199</v>
      </c>
      <c r="V536" t="s">
        <v>10200</v>
      </c>
      <c r="W536" t="s">
        <v>10201</v>
      </c>
      <c r="X536" t="s">
        <v>10202</v>
      </c>
      <c r="Y536" t="s">
        <v>10203</v>
      </c>
      <c r="Z536" t="s">
        <v>10204</v>
      </c>
      <c r="AA536" t="s">
        <v>10205</v>
      </c>
      <c r="AB536" t="s">
        <v>74</v>
      </c>
      <c r="AC536" t="s">
        <v>74</v>
      </c>
      <c r="AD536" t="s">
        <v>74</v>
      </c>
      <c r="AE536" t="s">
        <v>74</v>
      </c>
      <c r="AF536" t="s">
        <v>74</v>
      </c>
      <c r="AG536">
        <v>45</v>
      </c>
      <c r="AH536">
        <v>0</v>
      </c>
      <c r="AI536">
        <v>0</v>
      </c>
      <c r="AJ536">
        <v>2</v>
      </c>
      <c r="AK536">
        <v>2</v>
      </c>
      <c r="AL536" t="s">
        <v>117</v>
      </c>
      <c r="AM536" t="s">
        <v>627</v>
      </c>
      <c r="AN536" t="s">
        <v>628</v>
      </c>
      <c r="AO536" t="s">
        <v>1157</v>
      </c>
      <c r="AP536" t="s">
        <v>1158</v>
      </c>
      <c r="AQ536" t="s">
        <v>74</v>
      </c>
      <c r="AR536" t="s">
        <v>1159</v>
      </c>
      <c r="AS536" t="s">
        <v>1160</v>
      </c>
      <c r="AT536" t="s">
        <v>8614</v>
      </c>
      <c r="AU536">
        <v>2023</v>
      </c>
      <c r="AV536">
        <v>55</v>
      </c>
      <c r="AW536">
        <v>9</v>
      </c>
      <c r="AX536" t="s">
        <v>74</v>
      </c>
      <c r="AY536" t="s">
        <v>74</v>
      </c>
      <c r="AZ536" t="s">
        <v>74</v>
      </c>
      <c r="BA536" t="s">
        <v>74</v>
      </c>
      <c r="BB536" t="s">
        <v>74</v>
      </c>
      <c r="BC536" t="s">
        <v>74</v>
      </c>
      <c r="BD536">
        <v>771</v>
      </c>
      <c r="BE536" t="s">
        <v>10206</v>
      </c>
      <c r="BF536" t="str">
        <f>HYPERLINK("http://dx.doi.org/10.1007/s11082-023-05022-1","http://dx.doi.org/10.1007/s11082-023-05022-1")</f>
        <v>http://dx.doi.org/10.1007/s11082-023-05022-1</v>
      </c>
      <c r="BG536" t="s">
        <v>74</v>
      </c>
      <c r="BH536" t="s">
        <v>74</v>
      </c>
      <c r="BI536">
        <v>22</v>
      </c>
      <c r="BJ536" t="s">
        <v>1162</v>
      </c>
      <c r="BK536" t="s">
        <v>126</v>
      </c>
      <c r="BL536" t="s">
        <v>1163</v>
      </c>
      <c r="BM536" t="s">
        <v>10207</v>
      </c>
      <c r="BN536" t="s">
        <v>74</v>
      </c>
      <c r="BO536" t="s">
        <v>74</v>
      </c>
      <c r="BP536" t="s">
        <v>74</v>
      </c>
      <c r="BQ536" t="s">
        <v>74</v>
      </c>
      <c r="BR536" t="s">
        <v>99</v>
      </c>
      <c r="BS536" t="s">
        <v>10208</v>
      </c>
      <c r="BT536" t="str">
        <f>HYPERLINK("https%3A%2F%2Fwww.webofscience.com%2Fwos%2Fwoscc%2Ffull-record%2FWOS:001022408100007","View Full Record in Web of Science")</f>
        <v>View Full Record in Web of Science</v>
      </c>
    </row>
    <row r="537" spans="1:72" x14ac:dyDescent="0.15">
      <c r="A537" t="s">
        <v>72</v>
      </c>
      <c r="B537" t="s">
        <v>10209</v>
      </c>
      <c r="C537" t="s">
        <v>74</v>
      </c>
      <c r="D537" t="s">
        <v>74</v>
      </c>
      <c r="E537" t="s">
        <v>74</v>
      </c>
      <c r="F537" t="s">
        <v>10210</v>
      </c>
      <c r="G537" t="s">
        <v>74</v>
      </c>
      <c r="H537" t="s">
        <v>74</v>
      </c>
      <c r="I537" t="s">
        <v>10211</v>
      </c>
      <c r="J537" t="s">
        <v>1430</v>
      </c>
      <c r="K537" t="s">
        <v>74</v>
      </c>
      <c r="L537" t="s">
        <v>74</v>
      </c>
      <c r="M537" t="s">
        <v>78</v>
      </c>
      <c r="N537" t="s">
        <v>79</v>
      </c>
      <c r="O537" t="s">
        <v>74</v>
      </c>
      <c r="P537" t="s">
        <v>74</v>
      </c>
      <c r="Q537" t="s">
        <v>74</v>
      </c>
      <c r="R537" t="s">
        <v>74</v>
      </c>
      <c r="S537" t="s">
        <v>74</v>
      </c>
      <c r="T537" t="s">
        <v>10212</v>
      </c>
      <c r="U537" t="s">
        <v>10213</v>
      </c>
      <c r="V537" t="s">
        <v>10214</v>
      </c>
      <c r="W537" t="s">
        <v>10215</v>
      </c>
      <c r="X537" t="s">
        <v>10216</v>
      </c>
      <c r="Y537" t="s">
        <v>10217</v>
      </c>
      <c r="Z537" t="s">
        <v>10218</v>
      </c>
      <c r="AA537" t="s">
        <v>74</v>
      </c>
      <c r="AB537" t="s">
        <v>10219</v>
      </c>
      <c r="AC537" t="s">
        <v>74</v>
      </c>
      <c r="AD537" t="s">
        <v>74</v>
      </c>
      <c r="AE537" t="s">
        <v>74</v>
      </c>
      <c r="AF537" t="s">
        <v>74</v>
      </c>
      <c r="AG537">
        <v>60</v>
      </c>
      <c r="AH537">
        <v>0</v>
      </c>
      <c r="AI537">
        <v>0</v>
      </c>
      <c r="AJ537">
        <v>2</v>
      </c>
      <c r="AK537">
        <v>2</v>
      </c>
      <c r="AL537" t="s">
        <v>172</v>
      </c>
      <c r="AM537" t="s">
        <v>173</v>
      </c>
      <c r="AN537" t="s">
        <v>174</v>
      </c>
      <c r="AO537" t="s">
        <v>1438</v>
      </c>
      <c r="AP537" t="s">
        <v>1439</v>
      </c>
      <c r="AQ537" t="s">
        <v>74</v>
      </c>
      <c r="AR537" t="s">
        <v>1440</v>
      </c>
      <c r="AS537" t="s">
        <v>1441</v>
      </c>
      <c r="AT537" t="s">
        <v>8614</v>
      </c>
      <c r="AU537">
        <v>2023</v>
      </c>
      <c r="AV537">
        <v>129</v>
      </c>
      <c r="AW537">
        <v>9</v>
      </c>
      <c r="AX537" t="s">
        <v>74</v>
      </c>
      <c r="AY537" t="s">
        <v>74</v>
      </c>
      <c r="AZ537" t="s">
        <v>74</v>
      </c>
      <c r="BA537" t="s">
        <v>74</v>
      </c>
      <c r="BB537" t="s">
        <v>74</v>
      </c>
      <c r="BC537" t="s">
        <v>74</v>
      </c>
      <c r="BD537">
        <v>629</v>
      </c>
      <c r="BE537" t="s">
        <v>10220</v>
      </c>
      <c r="BF537" t="str">
        <f>HYPERLINK("http://dx.doi.org/10.1007/s00339-023-06891-9","http://dx.doi.org/10.1007/s00339-023-06891-9")</f>
        <v>http://dx.doi.org/10.1007/s00339-023-06891-9</v>
      </c>
      <c r="BG537" t="s">
        <v>74</v>
      </c>
      <c r="BH537" t="s">
        <v>74</v>
      </c>
      <c r="BI537">
        <v>13</v>
      </c>
      <c r="BJ537" t="s">
        <v>1443</v>
      </c>
      <c r="BK537" t="s">
        <v>126</v>
      </c>
      <c r="BL537" t="s">
        <v>1444</v>
      </c>
      <c r="BM537" t="s">
        <v>10221</v>
      </c>
      <c r="BN537" t="s">
        <v>74</v>
      </c>
      <c r="BO537" t="s">
        <v>74</v>
      </c>
      <c r="BP537" t="s">
        <v>74</v>
      </c>
      <c r="BQ537" t="s">
        <v>74</v>
      </c>
      <c r="BR537" t="s">
        <v>99</v>
      </c>
      <c r="BS537" t="s">
        <v>10222</v>
      </c>
      <c r="BT537" t="str">
        <f>HYPERLINK("https%3A%2F%2Fwww.webofscience.com%2Fwos%2Fwoscc%2Ffull-record%2FWOS:001050461800001","View Full Record in Web of Science")</f>
        <v>View Full Record in Web of Science</v>
      </c>
    </row>
    <row r="538" spans="1:72" x14ac:dyDescent="0.15">
      <c r="A538" t="s">
        <v>72</v>
      </c>
      <c r="B538" t="s">
        <v>10223</v>
      </c>
      <c r="C538" t="s">
        <v>74</v>
      </c>
      <c r="D538" t="s">
        <v>74</v>
      </c>
      <c r="E538" t="s">
        <v>74</v>
      </c>
      <c r="F538" t="s">
        <v>10224</v>
      </c>
      <c r="G538" t="s">
        <v>74</v>
      </c>
      <c r="H538" t="s">
        <v>74</v>
      </c>
      <c r="I538" t="s">
        <v>10225</v>
      </c>
      <c r="J538" t="s">
        <v>1430</v>
      </c>
      <c r="K538" t="s">
        <v>74</v>
      </c>
      <c r="L538" t="s">
        <v>74</v>
      </c>
      <c r="M538" t="s">
        <v>78</v>
      </c>
      <c r="N538" t="s">
        <v>79</v>
      </c>
      <c r="O538" t="s">
        <v>74</v>
      </c>
      <c r="P538" t="s">
        <v>74</v>
      </c>
      <c r="Q538" t="s">
        <v>74</v>
      </c>
      <c r="R538" t="s">
        <v>74</v>
      </c>
      <c r="S538" t="s">
        <v>74</v>
      </c>
      <c r="T538" t="s">
        <v>10226</v>
      </c>
      <c r="U538" t="s">
        <v>10227</v>
      </c>
      <c r="V538" t="s">
        <v>10228</v>
      </c>
      <c r="W538" t="s">
        <v>10229</v>
      </c>
      <c r="X538" t="s">
        <v>10230</v>
      </c>
      <c r="Y538" t="s">
        <v>10231</v>
      </c>
      <c r="Z538" t="s">
        <v>10232</v>
      </c>
      <c r="AA538" t="s">
        <v>74</v>
      </c>
      <c r="AB538" t="s">
        <v>10233</v>
      </c>
      <c r="AC538" t="s">
        <v>10234</v>
      </c>
      <c r="AD538" t="s">
        <v>10235</v>
      </c>
      <c r="AE538" t="s">
        <v>10236</v>
      </c>
      <c r="AF538" t="s">
        <v>74</v>
      </c>
      <c r="AG538">
        <v>82</v>
      </c>
      <c r="AH538">
        <v>0</v>
      </c>
      <c r="AI538">
        <v>0</v>
      </c>
      <c r="AJ538">
        <v>1</v>
      </c>
      <c r="AK538">
        <v>1</v>
      </c>
      <c r="AL538" t="s">
        <v>172</v>
      </c>
      <c r="AM538" t="s">
        <v>173</v>
      </c>
      <c r="AN538" t="s">
        <v>174</v>
      </c>
      <c r="AO538" t="s">
        <v>1438</v>
      </c>
      <c r="AP538" t="s">
        <v>1439</v>
      </c>
      <c r="AQ538" t="s">
        <v>74</v>
      </c>
      <c r="AR538" t="s">
        <v>1440</v>
      </c>
      <c r="AS538" t="s">
        <v>1441</v>
      </c>
      <c r="AT538" t="s">
        <v>8614</v>
      </c>
      <c r="AU538">
        <v>2023</v>
      </c>
      <c r="AV538">
        <v>129</v>
      </c>
      <c r="AW538">
        <v>9</v>
      </c>
      <c r="AX538" t="s">
        <v>74</v>
      </c>
      <c r="AY538" t="s">
        <v>74</v>
      </c>
      <c r="AZ538" t="s">
        <v>74</v>
      </c>
      <c r="BA538" t="s">
        <v>74</v>
      </c>
      <c r="BB538" t="s">
        <v>74</v>
      </c>
      <c r="BC538" t="s">
        <v>74</v>
      </c>
      <c r="BD538">
        <v>656</v>
      </c>
      <c r="BE538" t="s">
        <v>10237</v>
      </c>
      <c r="BF538" t="str">
        <f>HYPERLINK("http://dx.doi.org/10.1007/s00339-023-06938-x","http://dx.doi.org/10.1007/s00339-023-06938-x")</f>
        <v>http://dx.doi.org/10.1007/s00339-023-06938-x</v>
      </c>
      <c r="BG538" t="s">
        <v>74</v>
      </c>
      <c r="BH538" t="s">
        <v>74</v>
      </c>
      <c r="BI538">
        <v>12</v>
      </c>
      <c r="BJ538" t="s">
        <v>1443</v>
      </c>
      <c r="BK538" t="s">
        <v>126</v>
      </c>
      <c r="BL538" t="s">
        <v>1444</v>
      </c>
      <c r="BM538" t="s">
        <v>10238</v>
      </c>
      <c r="BN538" t="s">
        <v>74</v>
      </c>
      <c r="BO538" t="s">
        <v>74</v>
      </c>
      <c r="BP538" t="s">
        <v>74</v>
      </c>
      <c r="BQ538" t="s">
        <v>74</v>
      </c>
      <c r="BR538" t="s">
        <v>99</v>
      </c>
      <c r="BS538" t="s">
        <v>10239</v>
      </c>
      <c r="BT538" t="str">
        <f>HYPERLINK("https%3A%2F%2Fwww.webofscience.com%2Fwos%2Fwoscc%2Ffull-record%2FWOS:001058601000004","View Full Record in Web of Science")</f>
        <v>View Full Record in Web of Science</v>
      </c>
    </row>
    <row r="539" spans="1:72" x14ac:dyDescent="0.15">
      <c r="A539" t="s">
        <v>72</v>
      </c>
      <c r="B539" t="s">
        <v>10240</v>
      </c>
      <c r="C539" t="s">
        <v>74</v>
      </c>
      <c r="D539" t="s">
        <v>74</v>
      </c>
      <c r="E539" t="s">
        <v>74</v>
      </c>
      <c r="F539" t="s">
        <v>10241</v>
      </c>
      <c r="G539" t="s">
        <v>74</v>
      </c>
      <c r="H539" t="s">
        <v>74</v>
      </c>
      <c r="I539" t="s">
        <v>10242</v>
      </c>
      <c r="J539" t="s">
        <v>1145</v>
      </c>
      <c r="K539" t="s">
        <v>74</v>
      </c>
      <c r="L539" t="s">
        <v>74</v>
      </c>
      <c r="M539" t="s">
        <v>78</v>
      </c>
      <c r="N539" t="s">
        <v>79</v>
      </c>
      <c r="O539" t="s">
        <v>74</v>
      </c>
      <c r="P539" t="s">
        <v>74</v>
      </c>
      <c r="Q539" t="s">
        <v>74</v>
      </c>
      <c r="R539" t="s">
        <v>74</v>
      </c>
      <c r="S539" t="s">
        <v>74</v>
      </c>
      <c r="T539" t="s">
        <v>10243</v>
      </c>
      <c r="U539" t="s">
        <v>10244</v>
      </c>
      <c r="V539" t="s">
        <v>10245</v>
      </c>
      <c r="W539" t="s">
        <v>10246</v>
      </c>
      <c r="X539" t="s">
        <v>10247</v>
      </c>
      <c r="Y539" t="s">
        <v>10248</v>
      </c>
      <c r="Z539" t="s">
        <v>10249</v>
      </c>
      <c r="AA539" t="s">
        <v>74</v>
      </c>
      <c r="AB539" t="s">
        <v>74</v>
      </c>
      <c r="AC539" t="s">
        <v>10250</v>
      </c>
      <c r="AD539" t="s">
        <v>10251</v>
      </c>
      <c r="AE539" t="s">
        <v>10252</v>
      </c>
      <c r="AF539" t="s">
        <v>74</v>
      </c>
      <c r="AG539">
        <v>76</v>
      </c>
      <c r="AH539">
        <v>0</v>
      </c>
      <c r="AI539">
        <v>0</v>
      </c>
      <c r="AJ539">
        <v>2</v>
      </c>
      <c r="AK539">
        <v>2</v>
      </c>
      <c r="AL539" t="s">
        <v>117</v>
      </c>
      <c r="AM539" t="s">
        <v>627</v>
      </c>
      <c r="AN539" t="s">
        <v>628</v>
      </c>
      <c r="AO539" t="s">
        <v>1157</v>
      </c>
      <c r="AP539" t="s">
        <v>1158</v>
      </c>
      <c r="AQ539" t="s">
        <v>74</v>
      </c>
      <c r="AR539" t="s">
        <v>1159</v>
      </c>
      <c r="AS539" t="s">
        <v>1160</v>
      </c>
      <c r="AT539" t="s">
        <v>8614</v>
      </c>
      <c r="AU539">
        <v>2023</v>
      </c>
      <c r="AV539">
        <v>55</v>
      </c>
      <c r="AW539">
        <v>9</v>
      </c>
      <c r="AX539" t="s">
        <v>74</v>
      </c>
      <c r="AY539" t="s">
        <v>74</v>
      </c>
      <c r="AZ539" t="s">
        <v>74</v>
      </c>
      <c r="BA539" t="s">
        <v>74</v>
      </c>
      <c r="BB539" t="s">
        <v>74</v>
      </c>
      <c r="BC539" t="s">
        <v>74</v>
      </c>
      <c r="BD539">
        <v>843</v>
      </c>
      <c r="BE539" t="s">
        <v>10253</v>
      </c>
      <c r="BF539" t="str">
        <f>HYPERLINK("http://dx.doi.org/10.1007/s11082-023-05134-8","http://dx.doi.org/10.1007/s11082-023-05134-8")</f>
        <v>http://dx.doi.org/10.1007/s11082-023-05134-8</v>
      </c>
      <c r="BG539" t="s">
        <v>74</v>
      </c>
      <c r="BH539" t="s">
        <v>74</v>
      </c>
      <c r="BI539">
        <v>17</v>
      </c>
      <c r="BJ539" t="s">
        <v>1162</v>
      </c>
      <c r="BK539" t="s">
        <v>126</v>
      </c>
      <c r="BL539" t="s">
        <v>1163</v>
      </c>
      <c r="BM539" t="s">
        <v>10254</v>
      </c>
      <c r="BN539" t="s">
        <v>74</v>
      </c>
      <c r="BO539" t="s">
        <v>74</v>
      </c>
      <c r="BP539" t="s">
        <v>74</v>
      </c>
      <c r="BQ539" t="s">
        <v>74</v>
      </c>
      <c r="BR539" t="s">
        <v>99</v>
      </c>
      <c r="BS539" t="s">
        <v>10255</v>
      </c>
      <c r="BT539" t="str">
        <f>HYPERLINK("https%3A%2F%2Fwww.webofscience.com%2Fwos%2Fwoscc%2Ffull-record%2FWOS:001031351600004","View Full Record in Web of Science")</f>
        <v>View Full Record in Web of Science</v>
      </c>
    </row>
    <row r="540" spans="1:72" x14ac:dyDescent="0.15">
      <c r="A540" t="s">
        <v>72</v>
      </c>
      <c r="B540" t="s">
        <v>10256</v>
      </c>
      <c r="C540" t="s">
        <v>74</v>
      </c>
      <c r="D540" t="s">
        <v>74</v>
      </c>
      <c r="E540" t="s">
        <v>74</v>
      </c>
      <c r="F540" t="s">
        <v>10257</v>
      </c>
      <c r="G540" t="s">
        <v>74</v>
      </c>
      <c r="H540" t="s">
        <v>74</v>
      </c>
      <c r="I540" t="s">
        <v>10258</v>
      </c>
      <c r="J540" t="s">
        <v>10259</v>
      </c>
      <c r="K540" t="s">
        <v>74</v>
      </c>
      <c r="L540" t="s">
        <v>74</v>
      </c>
      <c r="M540" t="s">
        <v>78</v>
      </c>
      <c r="N540" t="s">
        <v>79</v>
      </c>
      <c r="O540" t="s">
        <v>74</v>
      </c>
      <c r="P540" t="s">
        <v>74</v>
      </c>
      <c r="Q540" t="s">
        <v>74</v>
      </c>
      <c r="R540" t="s">
        <v>74</v>
      </c>
      <c r="S540" t="s">
        <v>74</v>
      </c>
      <c r="T540" t="s">
        <v>10260</v>
      </c>
      <c r="U540" t="s">
        <v>10261</v>
      </c>
      <c r="V540" t="s">
        <v>10262</v>
      </c>
      <c r="W540" t="s">
        <v>10263</v>
      </c>
      <c r="X540" t="s">
        <v>10264</v>
      </c>
      <c r="Y540" t="s">
        <v>10265</v>
      </c>
      <c r="Z540" t="s">
        <v>10266</v>
      </c>
      <c r="AA540" t="s">
        <v>10267</v>
      </c>
      <c r="AB540" t="s">
        <v>10268</v>
      </c>
      <c r="AC540" t="s">
        <v>10269</v>
      </c>
      <c r="AD540" t="s">
        <v>10270</v>
      </c>
      <c r="AE540" t="s">
        <v>10271</v>
      </c>
      <c r="AF540" t="s">
        <v>74</v>
      </c>
      <c r="AG540">
        <v>104</v>
      </c>
      <c r="AH540">
        <v>0</v>
      </c>
      <c r="AI540">
        <v>0</v>
      </c>
      <c r="AJ540">
        <v>1</v>
      </c>
      <c r="AK540">
        <v>1</v>
      </c>
      <c r="AL540" t="s">
        <v>172</v>
      </c>
      <c r="AM540" t="s">
        <v>173</v>
      </c>
      <c r="AN540" t="s">
        <v>174</v>
      </c>
      <c r="AO540" t="s">
        <v>10272</v>
      </c>
      <c r="AP540" t="s">
        <v>10273</v>
      </c>
      <c r="AQ540" t="s">
        <v>74</v>
      </c>
      <c r="AR540" t="s">
        <v>10274</v>
      </c>
      <c r="AS540" t="s">
        <v>10275</v>
      </c>
      <c r="AT540" t="s">
        <v>8614</v>
      </c>
      <c r="AU540">
        <v>2023</v>
      </c>
      <c r="AV540">
        <v>15</v>
      </c>
      <c r="AW540">
        <v>9</v>
      </c>
      <c r="AX540" t="s">
        <v>74</v>
      </c>
      <c r="AY540" t="s">
        <v>74</v>
      </c>
      <c r="AZ540" t="s">
        <v>74</v>
      </c>
      <c r="BA540" t="s">
        <v>74</v>
      </c>
      <c r="BB540" t="s">
        <v>74</v>
      </c>
      <c r="BC540" t="s">
        <v>74</v>
      </c>
      <c r="BD540">
        <v>139</v>
      </c>
      <c r="BE540" t="s">
        <v>10276</v>
      </c>
      <c r="BF540" t="str">
        <f>HYPERLINK("http://dx.doi.org/10.1007/s12520-023-01830-4","http://dx.doi.org/10.1007/s12520-023-01830-4")</f>
        <v>http://dx.doi.org/10.1007/s12520-023-01830-4</v>
      </c>
      <c r="BG540" t="s">
        <v>74</v>
      </c>
      <c r="BH540" t="s">
        <v>74</v>
      </c>
      <c r="BI540">
        <v>18</v>
      </c>
      <c r="BJ540" t="s">
        <v>10277</v>
      </c>
      <c r="BK540" t="s">
        <v>10278</v>
      </c>
      <c r="BL540" t="s">
        <v>10279</v>
      </c>
      <c r="BM540" t="s">
        <v>10280</v>
      </c>
      <c r="BN540" t="s">
        <v>74</v>
      </c>
      <c r="BO540" t="s">
        <v>183</v>
      </c>
      <c r="BP540" t="s">
        <v>74</v>
      </c>
      <c r="BQ540" t="s">
        <v>74</v>
      </c>
      <c r="BR540" t="s">
        <v>99</v>
      </c>
      <c r="BS540" t="s">
        <v>10281</v>
      </c>
      <c r="BT540" t="str">
        <f>HYPERLINK("https%3A%2F%2Fwww.webofscience.com%2Fwos%2Fwoscc%2Ffull-record%2FWOS:001057900900001","View Full Record in Web of Science")</f>
        <v>View Full Record in Web of Science</v>
      </c>
    </row>
    <row r="541" spans="1:72" x14ac:dyDescent="0.15">
      <c r="A541" t="s">
        <v>72</v>
      </c>
      <c r="B541" t="s">
        <v>10282</v>
      </c>
      <c r="C541" t="s">
        <v>74</v>
      </c>
      <c r="D541" t="s">
        <v>74</v>
      </c>
      <c r="E541" t="s">
        <v>74</v>
      </c>
      <c r="F541" t="s">
        <v>10283</v>
      </c>
      <c r="G541" t="s">
        <v>74</v>
      </c>
      <c r="H541" t="s">
        <v>74</v>
      </c>
      <c r="I541" t="s">
        <v>10284</v>
      </c>
      <c r="J541" t="s">
        <v>10285</v>
      </c>
      <c r="K541" t="s">
        <v>74</v>
      </c>
      <c r="L541" t="s">
        <v>74</v>
      </c>
      <c r="M541" t="s">
        <v>78</v>
      </c>
      <c r="N541" t="s">
        <v>1246</v>
      </c>
      <c r="O541" t="s">
        <v>74</v>
      </c>
      <c r="P541" t="s">
        <v>74</v>
      </c>
      <c r="Q541" t="s">
        <v>74</v>
      </c>
      <c r="R541" t="s">
        <v>74</v>
      </c>
      <c r="S541" t="s">
        <v>74</v>
      </c>
      <c r="T541" t="s">
        <v>74</v>
      </c>
      <c r="U541" t="s">
        <v>74</v>
      </c>
      <c r="V541" t="s">
        <v>74</v>
      </c>
      <c r="W541" t="s">
        <v>10286</v>
      </c>
      <c r="X541" t="s">
        <v>10287</v>
      </c>
      <c r="Y541" t="s">
        <v>10288</v>
      </c>
      <c r="Z541" t="s">
        <v>10289</v>
      </c>
      <c r="AA541" t="s">
        <v>74</v>
      </c>
      <c r="AB541" t="s">
        <v>74</v>
      </c>
      <c r="AC541" t="s">
        <v>74</v>
      </c>
      <c r="AD541" t="s">
        <v>74</v>
      </c>
      <c r="AE541" t="s">
        <v>74</v>
      </c>
      <c r="AF541" t="s">
        <v>74</v>
      </c>
      <c r="AG541">
        <v>14</v>
      </c>
      <c r="AH541">
        <v>0</v>
      </c>
      <c r="AI541">
        <v>0</v>
      </c>
      <c r="AJ541">
        <v>0</v>
      </c>
      <c r="AK541">
        <v>0</v>
      </c>
      <c r="AL541" t="s">
        <v>117</v>
      </c>
      <c r="AM541" t="s">
        <v>118</v>
      </c>
      <c r="AN541" t="s">
        <v>119</v>
      </c>
      <c r="AO541" t="s">
        <v>10290</v>
      </c>
      <c r="AP541" t="s">
        <v>10291</v>
      </c>
      <c r="AQ541" t="s">
        <v>74</v>
      </c>
      <c r="AR541" t="s">
        <v>10292</v>
      </c>
      <c r="AS541" t="s">
        <v>10293</v>
      </c>
      <c r="AT541" t="s">
        <v>8746</v>
      </c>
      <c r="AU541">
        <v>2023</v>
      </c>
      <c r="AV541" t="s">
        <v>74</v>
      </c>
      <c r="AW541" t="s">
        <v>74</v>
      </c>
      <c r="AX541" t="s">
        <v>74</v>
      </c>
      <c r="AY541" t="s">
        <v>74</v>
      </c>
      <c r="AZ541" t="s">
        <v>74</v>
      </c>
      <c r="BA541" t="s">
        <v>74</v>
      </c>
      <c r="BB541" t="s">
        <v>74</v>
      </c>
      <c r="BC541" t="s">
        <v>74</v>
      </c>
      <c r="BD541" t="s">
        <v>74</v>
      </c>
      <c r="BE541" t="s">
        <v>10294</v>
      </c>
      <c r="BF541" t="str">
        <f>HYPERLINK("http://dx.doi.org/10.1007/s00283-023-10297","http://dx.doi.org/10.1007/s00283-023-10297")</f>
        <v>http://dx.doi.org/10.1007/s00283-023-10297</v>
      </c>
      <c r="BG541" t="s">
        <v>74</v>
      </c>
      <c r="BH541" t="s">
        <v>2079</v>
      </c>
      <c r="BI541">
        <v>12</v>
      </c>
      <c r="BJ541" t="s">
        <v>228</v>
      </c>
      <c r="BK541" t="s">
        <v>126</v>
      </c>
      <c r="BL541" t="s">
        <v>228</v>
      </c>
      <c r="BM541" t="s">
        <v>10295</v>
      </c>
      <c r="BN541" t="s">
        <v>74</v>
      </c>
      <c r="BO541" t="s">
        <v>74</v>
      </c>
      <c r="BP541" t="s">
        <v>74</v>
      </c>
      <c r="BQ541" t="s">
        <v>74</v>
      </c>
      <c r="BR541" t="s">
        <v>99</v>
      </c>
      <c r="BS541" t="s">
        <v>10296</v>
      </c>
      <c r="BT541" t="str">
        <f>HYPERLINK("https%3A%2F%2Fwww.webofscience.com%2Fwos%2Fwoscc%2Ffull-record%2FWOS:001060159800001","View Full Record in Web of Science")</f>
        <v>View Full Record in Web of Science</v>
      </c>
    </row>
    <row r="542" spans="1:72" x14ac:dyDescent="0.15">
      <c r="A542" t="s">
        <v>72</v>
      </c>
      <c r="B542" t="s">
        <v>10297</v>
      </c>
      <c r="C542" t="s">
        <v>74</v>
      </c>
      <c r="D542" t="s">
        <v>74</v>
      </c>
      <c r="E542" t="s">
        <v>74</v>
      </c>
      <c r="F542" t="s">
        <v>10298</v>
      </c>
      <c r="G542" t="s">
        <v>74</v>
      </c>
      <c r="H542" t="s">
        <v>74</v>
      </c>
      <c r="I542" t="s">
        <v>10299</v>
      </c>
      <c r="J542" t="s">
        <v>8678</v>
      </c>
      <c r="K542" t="s">
        <v>74</v>
      </c>
      <c r="L542" t="s">
        <v>74</v>
      </c>
      <c r="M542" t="s">
        <v>78</v>
      </c>
      <c r="N542" t="s">
        <v>79</v>
      </c>
      <c r="O542" t="s">
        <v>74</v>
      </c>
      <c r="P542" t="s">
        <v>74</v>
      </c>
      <c r="Q542" t="s">
        <v>74</v>
      </c>
      <c r="R542" t="s">
        <v>74</v>
      </c>
      <c r="S542" t="s">
        <v>74</v>
      </c>
      <c r="T542" t="s">
        <v>10300</v>
      </c>
      <c r="U542" t="s">
        <v>10301</v>
      </c>
      <c r="V542" t="s">
        <v>10302</v>
      </c>
      <c r="W542" t="s">
        <v>10303</v>
      </c>
      <c r="X542" t="s">
        <v>10304</v>
      </c>
      <c r="Y542" t="s">
        <v>10305</v>
      </c>
      <c r="Z542" t="s">
        <v>10306</v>
      </c>
      <c r="AA542" t="s">
        <v>74</v>
      </c>
      <c r="AB542" t="s">
        <v>74</v>
      </c>
      <c r="AC542" t="s">
        <v>10307</v>
      </c>
      <c r="AD542" t="s">
        <v>10308</v>
      </c>
      <c r="AE542" t="s">
        <v>10309</v>
      </c>
      <c r="AF542" t="s">
        <v>74</v>
      </c>
      <c r="AG542">
        <v>41</v>
      </c>
      <c r="AH542">
        <v>0</v>
      </c>
      <c r="AI542">
        <v>0</v>
      </c>
      <c r="AJ542">
        <v>0</v>
      </c>
      <c r="AK542">
        <v>0</v>
      </c>
      <c r="AL542" t="s">
        <v>172</v>
      </c>
      <c r="AM542" t="s">
        <v>173</v>
      </c>
      <c r="AN542" t="s">
        <v>174</v>
      </c>
      <c r="AO542" t="s">
        <v>8686</v>
      </c>
      <c r="AP542" t="s">
        <v>8687</v>
      </c>
      <c r="AQ542" t="s">
        <v>74</v>
      </c>
      <c r="AR542" t="s">
        <v>8688</v>
      </c>
      <c r="AS542" t="s">
        <v>8689</v>
      </c>
      <c r="AT542" t="s">
        <v>8614</v>
      </c>
      <c r="AU542">
        <v>2023</v>
      </c>
      <c r="AV542">
        <v>45</v>
      </c>
      <c r="AW542">
        <v>9</v>
      </c>
      <c r="AX542" t="s">
        <v>74</v>
      </c>
      <c r="AY542" t="s">
        <v>74</v>
      </c>
      <c r="AZ542" t="s">
        <v>74</v>
      </c>
      <c r="BA542" t="s">
        <v>74</v>
      </c>
      <c r="BB542" t="s">
        <v>74</v>
      </c>
      <c r="BC542" t="s">
        <v>74</v>
      </c>
      <c r="BD542">
        <v>462</v>
      </c>
      <c r="BE542" t="s">
        <v>10310</v>
      </c>
      <c r="BF542" t="str">
        <f>HYPERLINK("http://dx.doi.org/10.1007/s40430-023-04364-x","http://dx.doi.org/10.1007/s40430-023-04364-x")</f>
        <v>http://dx.doi.org/10.1007/s40430-023-04364-x</v>
      </c>
      <c r="BG542" t="s">
        <v>74</v>
      </c>
      <c r="BH542" t="s">
        <v>74</v>
      </c>
      <c r="BI542">
        <v>11</v>
      </c>
      <c r="BJ542" t="s">
        <v>8691</v>
      </c>
      <c r="BK542" t="s">
        <v>126</v>
      </c>
      <c r="BL542" t="s">
        <v>277</v>
      </c>
      <c r="BM542" t="s">
        <v>10311</v>
      </c>
      <c r="BN542" t="s">
        <v>74</v>
      </c>
      <c r="BO542" t="s">
        <v>74</v>
      </c>
      <c r="BP542" t="s">
        <v>74</v>
      </c>
      <c r="BQ542" t="s">
        <v>74</v>
      </c>
      <c r="BR542" t="s">
        <v>99</v>
      </c>
      <c r="BS542" t="s">
        <v>10312</v>
      </c>
      <c r="BT542" t="str">
        <f>HYPERLINK("https%3A%2F%2Fwww.webofscience.com%2Fwos%2Fwoscc%2Ffull-record%2FWOS:001050482000008","View Full Record in Web of Science")</f>
        <v>View Full Record in Web of Science</v>
      </c>
    </row>
    <row r="543" spans="1:72" x14ac:dyDescent="0.15">
      <c r="A543" t="s">
        <v>72</v>
      </c>
      <c r="B543" t="s">
        <v>10313</v>
      </c>
      <c r="C543" t="s">
        <v>74</v>
      </c>
      <c r="D543" t="s">
        <v>74</v>
      </c>
      <c r="E543" t="s">
        <v>74</v>
      </c>
      <c r="F543" t="s">
        <v>10314</v>
      </c>
      <c r="G543" t="s">
        <v>74</v>
      </c>
      <c r="H543" t="s">
        <v>74</v>
      </c>
      <c r="I543" t="s">
        <v>10315</v>
      </c>
      <c r="J543" t="s">
        <v>696</v>
      </c>
      <c r="K543" t="s">
        <v>74</v>
      </c>
      <c r="L543" t="s">
        <v>74</v>
      </c>
      <c r="M543" t="s">
        <v>78</v>
      </c>
      <c r="N543" t="s">
        <v>79</v>
      </c>
      <c r="O543" t="s">
        <v>74</v>
      </c>
      <c r="P543" t="s">
        <v>74</v>
      </c>
      <c r="Q543" t="s">
        <v>74</v>
      </c>
      <c r="R543" t="s">
        <v>74</v>
      </c>
      <c r="S543" t="s">
        <v>74</v>
      </c>
      <c r="T543" t="s">
        <v>10316</v>
      </c>
      <c r="U543" t="s">
        <v>10317</v>
      </c>
      <c r="V543" t="s">
        <v>10318</v>
      </c>
      <c r="W543" t="s">
        <v>10319</v>
      </c>
      <c r="X543" t="s">
        <v>10320</v>
      </c>
      <c r="Y543" t="s">
        <v>10321</v>
      </c>
      <c r="Z543" t="s">
        <v>10322</v>
      </c>
      <c r="AA543" t="s">
        <v>74</v>
      </c>
      <c r="AB543" t="s">
        <v>10323</v>
      </c>
      <c r="AC543" t="s">
        <v>74</v>
      </c>
      <c r="AD543" t="s">
        <v>74</v>
      </c>
      <c r="AE543" t="s">
        <v>74</v>
      </c>
      <c r="AF543" t="s">
        <v>74</v>
      </c>
      <c r="AG543">
        <v>49</v>
      </c>
      <c r="AH543">
        <v>0</v>
      </c>
      <c r="AI543">
        <v>0</v>
      </c>
      <c r="AJ543">
        <v>2</v>
      </c>
      <c r="AK543">
        <v>2</v>
      </c>
      <c r="AL543" t="s">
        <v>705</v>
      </c>
      <c r="AM543" t="s">
        <v>706</v>
      </c>
      <c r="AN543" t="s">
        <v>707</v>
      </c>
      <c r="AO543" t="s">
        <v>708</v>
      </c>
      <c r="AP543" t="s">
        <v>709</v>
      </c>
      <c r="AQ543" t="s">
        <v>74</v>
      </c>
      <c r="AR543" t="s">
        <v>710</v>
      </c>
      <c r="AS543" t="s">
        <v>711</v>
      </c>
      <c r="AT543" t="s">
        <v>8614</v>
      </c>
      <c r="AU543">
        <v>2023</v>
      </c>
      <c r="AV543">
        <v>25</v>
      </c>
      <c r="AW543">
        <v>3</v>
      </c>
      <c r="AX543" t="s">
        <v>74</v>
      </c>
      <c r="AY543" t="s">
        <v>74</v>
      </c>
      <c r="AZ543" t="s">
        <v>74</v>
      </c>
      <c r="BA543" t="s">
        <v>74</v>
      </c>
      <c r="BB543" t="s">
        <v>74</v>
      </c>
      <c r="BC543" t="s">
        <v>74</v>
      </c>
      <c r="BD543">
        <v>21</v>
      </c>
      <c r="BE543" t="s">
        <v>10324</v>
      </c>
      <c r="BF543" t="str">
        <f>HYPERLINK("http://dx.doi.org/10.1057/s41283-023-00126-0","http://dx.doi.org/10.1057/s41283-023-00126-0")</f>
        <v>http://dx.doi.org/10.1057/s41283-023-00126-0</v>
      </c>
      <c r="BG543" t="s">
        <v>74</v>
      </c>
      <c r="BH543" t="s">
        <v>74</v>
      </c>
      <c r="BI543">
        <v>38</v>
      </c>
      <c r="BJ543" t="s">
        <v>713</v>
      </c>
      <c r="BK543" t="s">
        <v>425</v>
      </c>
      <c r="BL543" t="s">
        <v>714</v>
      </c>
      <c r="BM543" t="s">
        <v>10325</v>
      </c>
      <c r="BN543" t="s">
        <v>74</v>
      </c>
      <c r="BO543" t="s">
        <v>74</v>
      </c>
      <c r="BP543" t="s">
        <v>74</v>
      </c>
      <c r="BQ543" t="s">
        <v>74</v>
      </c>
      <c r="BR543" t="s">
        <v>99</v>
      </c>
      <c r="BS543" t="s">
        <v>10326</v>
      </c>
      <c r="BT543" t="str">
        <f>HYPERLINK("https%3A%2F%2Fwww.webofscience.com%2Fwos%2Fwoscc%2Ffull-record%2FWOS:001036777500001","View Full Record in Web of Science")</f>
        <v>View Full Record in Web of Science</v>
      </c>
    </row>
    <row r="544" spans="1:72" x14ac:dyDescent="0.15">
      <c r="A544" t="s">
        <v>72</v>
      </c>
      <c r="B544" t="s">
        <v>10327</v>
      </c>
      <c r="C544" t="s">
        <v>74</v>
      </c>
      <c r="D544" t="s">
        <v>74</v>
      </c>
      <c r="E544" t="s">
        <v>74</v>
      </c>
      <c r="F544" t="s">
        <v>10328</v>
      </c>
      <c r="G544" t="s">
        <v>74</v>
      </c>
      <c r="H544" t="s">
        <v>74</v>
      </c>
      <c r="I544" t="s">
        <v>10329</v>
      </c>
      <c r="J544" t="s">
        <v>8658</v>
      </c>
      <c r="K544" t="s">
        <v>74</v>
      </c>
      <c r="L544" t="s">
        <v>74</v>
      </c>
      <c r="M544" t="s">
        <v>78</v>
      </c>
      <c r="N544" t="s">
        <v>79</v>
      </c>
      <c r="O544" t="s">
        <v>74</v>
      </c>
      <c r="P544" t="s">
        <v>74</v>
      </c>
      <c r="Q544" t="s">
        <v>74</v>
      </c>
      <c r="R544" t="s">
        <v>74</v>
      </c>
      <c r="S544" t="s">
        <v>74</v>
      </c>
      <c r="T544" t="s">
        <v>10330</v>
      </c>
      <c r="U544" t="s">
        <v>10331</v>
      </c>
      <c r="V544" t="s">
        <v>10332</v>
      </c>
      <c r="W544" t="s">
        <v>10333</v>
      </c>
      <c r="X544" t="s">
        <v>10334</v>
      </c>
      <c r="Y544" t="s">
        <v>10335</v>
      </c>
      <c r="Z544" t="s">
        <v>10336</v>
      </c>
      <c r="AA544" t="s">
        <v>74</v>
      </c>
      <c r="AB544" t="s">
        <v>74</v>
      </c>
      <c r="AC544" t="s">
        <v>74</v>
      </c>
      <c r="AD544" t="s">
        <v>74</v>
      </c>
      <c r="AE544" t="s">
        <v>74</v>
      </c>
      <c r="AF544" t="s">
        <v>74</v>
      </c>
      <c r="AG544">
        <v>41</v>
      </c>
      <c r="AH544">
        <v>0</v>
      </c>
      <c r="AI544">
        <v>0</v>
      </c>
      <c r="AJ544">
        <v>6</v>
      </c>
      <c r="AK544">
        <v>6</v>
      </c>
      <c r="AL544" t="s">
        <v>117</v>
      </c>
      <c r="AM544" t="s">
        <v>118</v>
      </c>
      <c r="AN544" t="s">
        <v>119</v>
      </c>
      <c r="AO544" t="s">
        <v>8666</v>
      </c>
      <c r="AP544" t="s">
        <v>8667</v>
      </c>
      <c r="AQ544" t="s">
        <v>74</v>
      </c>
      <c r="AR544" t="s">
        <v>8668</v>
      </c>
      <c r="AS544" t="s">
        <v>8669</v>
      </c>
      <c r="AT544" t="s">
        <v>8614</v>
      </c>
      <c r="AU544">
        <v>2023</v>
      </c>
      <c r="AV544">
        <v>29</v>
      </c>
      <c r="AW544">
        <v>9</v>
      </c>
      <c r="AX544" t="s">
        <v>74</v>
      </c>
      <c r="AY544" t="s">
        <v>74</v>
      </c>
      <c r="AZ544" t="s">
        <v>74</v>
      </c>
      <c r="BA544" t="s">
        <v>74</v>
      </c>
      <c r="BB544" t="s">
        <v>74</v>
      </c>
      <c r="BC544" t="s">
        <v>74</v>
      </c>
      <c r="BD544">
        <v>292</v>
      </c>
      <c r="BE544" t="s">
        <v>10337</v>
      </c>
      <c r="BF544" t="str">
        <f>HYPERLINK("http://dx.doi.org/10.1007/s00894-023-05656-8","http://dx.doi.org/10.1007/s00894-023-05656-8")</f>
        <v>http://dx.doi.org/10.1007/s00894-023-05656-8</v>
      </c>
      <c r="BG544" t="s">
        <v>74</v>
      </c>
      <c r="BH544" t="s">
        <v>74</v>
      </c>
      <c r="BI544">
        <v>11</v>
      </c>
      <c r="BJ544" t="s">
        <v>8671</v>
      </c>
      <c r="BK544" t="s">
        <v>126</v>
      </c>
      <c r="BL544" t="s">
        <v>8672</v>
      </c>
      <c r="BM544" t="s">
        <v>10338</v>
      </c>
      <c r="BN544">
        <v>37615822</v>
      </c>
      <c r="BO544" t="s">
        <v>74</v>
      </c>
      <c r="BP544" t="s">
        <v>74</v>
      </c>
      <c r="BQ544" t="s">
        <v>74</v>
      </c>
      <c r="BR544" t="s">
        <v>99</v>
      </c>
      <c r="BS544" t="s">
        <v>10339</v>
      </c>
      <c r="BT544" t="str">
        <f>HYPERLINK("https%3A%2F%2Fwww.webofscience.com%2Fwos%2Fwoscc%2Ffull-record%2FWOS:001054448700002","View Full Record in Web of Science")</f>
        <v>View Full Record in Web of Science</v>
      </c>
    </row>
    <row r="545" spans="1:72" x14ac:dyDescent="0.15">
      <c r="A545" t="s">
        <v>72</v>
      </c>
      <c r="B545" t="s">
        <v>10340</v>
      </c>
      <c r="C545" t="s">
        <v>74</v>
      </c>
      <c r="D545" t="s">
        <v>74</v>
      </c>
      <c r="E545" t="s">
        <v>74</v>
      </c>
      <c r="F545" t="s">
        <v>10341</v>
      </c>
      <c r="G545" t="s">
        <v>74</v>
      </c>
      <c r="H545" t="s">
        <v>74</v>
      </c>
      <c r="I545" t="s">
        <v>10342</v>
      </c>
      <c r="J545" t="s">
        <v>6081</v>
      </c>
      <c r="K545" t="s">
        <v>74</v>
      </c>
      <c r="L545" t="s">
        <v>74</v>
      </c>
      <c r="M545" t="s">
        <v>78</v>
      </c>
      <c r="N545" t="s">
        <v>79</v>
      </c>
      <c r="O545" t="s">
        <v>74</v>
      </c>
      <c r="P545" t="s">
        <v>74</v>
      </c>
      <c r="Q545" t="s">
        <v>74</v>
      </c>
      <c r="R545" t="s">
        <v>74</v>
      </c>
      <c r="S545" t="s">
        <v>74</v>
      </c>
      <c r="T545" t="s">
        <v>10343</v>
      </c>
      <c r="U545" t="s">
        <v>10344</v>
      </c>
      <c r="V545" t="s">
        <v>10345</v>
      </c>
      <c r="W545" t="s">
        <v>10346</v>
      </c>
      <c r="X545" t="s">
        <v>74</v>
      </c>
      <c r="Y545" t="s">
        <v>10347</v>
      </c>
      <c r="Z545" t="s">
        <v>10348</v>
      </c>
      <c r="AA545" t="s">
        <v>74</v>
      </c>
      <c r="AB545" t="s">
        <v>74</v>
      </c>
      <c r="AC545" t="s">
        <v>932</v>
      </c>
      <c r="AD545" t="s">
        <v>932</v>
      </c>
      <c r="AE545" t="s">
        <v>932</v>
      </c>
      <c r="AF545" t="s">
        <v>74</v>
      </c>
      <c r="AG545">
        <v>41</v>
      </c>
      <c r="AH545">
        <v>0</v>
      </c>
      <c r="AI545">
        <v>0</v>
      </c>
      <c r="AJ545">
        <v>0</v>
      </c>
      <c r="AK545">
        <v>0</v>
      </c>
      <c r="AL545" t="s">
        <v>443</v>
      </c>
      <c r="AM545" t="s">
        <v>245</v>
      </c>
      <c r="AN545" t="s">
        <v>444</v>
      </c>
      <c r="AO545" t="s">
        <v>74</v>
      </c>
      <c r="AP545" t="s">
        <v>6093</v>
      </c>
      <c r="AQ545" t="s">
        <v>74</v>
      </c>
      <c r="AR545" t="s">
        <v>6094</v>
      </c>
      <c r="AS545" t="s">
        <v>6095</v>
      </c>
      <c r="AT545" t="s">
        <v>8783</v>
      </c>
      <c r="AU545">
        <v>2023</v>
      </c>
      <c r="AV545">
        <v>24</v>
      </c>
      <c r="AW545">
        <v>1</v>
      </c>
      <c r="AX545" t="s">
        <v>74</v>
      </c>
      <c r="AY545" t="s">
        <v>74</v>
      </c>
      <c r="AZ545" t="s">
        <v>74</v>
      </c>
      <c r="BA545" t="s">
        <v>74</v>
      </c>
      <c r="BB545" t="s">
        <v>74</v>
      </c>
      <c r="BC545" t="s">
        <v>74</v>
      </c>
      <c r="BD545">
        <v>700</v>
      </c>
      <c r="BE545" t="s">
        <v>10349</v>
      </c>
      <c r="BF545" t="str">
        <f>HYPERLINK("http://dx.doi.org/10.1186/s12891-023-06829-5","http://dx.doi.org/10.1186/s12891-023-06829-5")</f>
        <v>http://dx.doi.org/10.1186/s12891-023-06829-5</v>
      </c>
      <c r="BG545" t="s">
        <v>74</v>
      </c>
      <c r="BH545" t="s">
        <v>74</v>
      </c>
      <c r="BI545">
        <v>10</v>
      </c>
      <c r="BJ545" t="s">
        <v>6097</v>
      </c>
      <c r="BK545" t="s">
        <v>126</v>
      </c>
      <c r="BL545" t="s">
        <v>6097</v>
      </c>
      <c r="BM545" t="s">
        <v>10350</v>
      </c>
      <c r="BN545">
        <v>37658378</v>
      </c>
      <c r="BO545" t="s">
        <v>9256</v>
      </c>
      <c r="BP545" t="s">
        <v>74</v>
      </c>
      <c r="BQ545" t="s">
        <v>74</v>
      </c>
      <c r="BR545" t="s">
        <v>99</v>
      </c>
      <c r="BS545" t="s">
        <v>10351</v>
      </c>
      <c r="BT545" t="str">
        <f>HYPERLINK("https%3A%2F%2Fwww.webofscience.com%2Fwos%2Fwoscc%2Ffull-record%2FWOS:001061988700002","View Full Record in Web of Science")</f>
        <v>View Full Record in Web of Science</v>
      </c>
    </row>
    <row r="546" spans="1:72" x14ac:dyDescent="0.15">
      <c r="A546" t="s">
        <v>72</v>
      </c>
      <c r="B546" t="s">
        <v>10352</v>
      </c>
      <c r="C546" t="s">
        <v>74</v>
      </c>
      <c r="D546" t="s">
        <v>74</v>
      </c>
      <c r="E546" t="s">
        <v>74</v>
      </c>
      <c r="F546" t="s">
        <v>10353</v>
      </c>
      <c r="G546" t="s">
        <v>74</v>
      </c>
      <c r="H546" t="s">
        <v>74</v>
      </c>
      <c r="I546" t="s">
        <v>10354</v>
      </c>
      <c r="J546" t="s">
        <v>3402</v>
      </c>
      <c r="K546" t="s">
        <v>74</v>
      </c>
      <c r="L546" t="s">
        <v>74</v>
      </c>
      <c r="M546" t="s">
        <v>78</v>
      </c>
      <c r="N546" t="s">
        <v>79</v>
      </c>
      <c r="O546" t="s">
        <v>74</v>
      </c>
      <c r="P546" t="s">
        <v>74</v>
      </c>
      <c r="Q546" t="s">
        <v>74</v>
      </c>
      <c r="R546" t="s">
        <v>74</v>
      </c>
      <c r="S546" t="s">
        <v>74</v>
      </c>
      <c r="T546" t="s">
        <v>10355</v>
      </c>
      <c r="U546" t="s">
        <v>10356</v>
      </c>
      <c r="V546" t="s">
        <v>10357</v>
      </c>
      <c r="W546" t="s">
        <v>10358</v>
      </c>
      <c r="X546" t="s">
        <v>10359</v>
      </c>
      <c r="Y546" t="s">
        <v>10360</v>
      </c>
      <c r="Z546" t="s">
        <v>10361</v>
      </c>
      <c r="AA546" t="s">
        <v>74</v>
      </c>
      <c r="AB546" t="s">
        <v>74</v>
      </c>
      <c r="AC546" t="s">
        <v>10362</v>
      </c>
      <c r="AD546" t="s">
        <v>10363</v>
      </c>
      <c r="AE546" t="s">
        <v>10364</v>
      </c>
      <c r="AF546" t="s">
        <v>74</v>
      </c>
      <c r="AG546">
        <v>48</v>
      </c>
      <c r="AH546">
        <v>0</v>
      </c>
      <c r="AI546">
        <v>0</v>
      </c>
      <c r="AJ546">
        <v>5</v>
      </c>
      <c r="AK546">
        <v>5</v>
      </c>
      <c r="AL546" t="s">
        <v>443</v>
      </c>
      <c r="AM546" t="s">
        <v>245</v>
      </c>
      <c r="AN546" t="s">
        <v>444</v>
      </c>
      <c r="AO546" t="s">
        <v>3410</v>
      </c>
      <c r="AP546" t="s">
        <v>3411</v>
      </c>
      <c r="AQ546" t="s">
        <v>74</v>
      </c>
      <c r="AR546" t="s">
        <v>3412</v>
      </c>
      <c r="AS546" t="s">
        <v>3413</v>
      </c>
      <c r="AT546" t="s">
        <v>8783</v>
      </c>
      <c r="AU546">
        <v>2023</v>
      </c>
      <c r="AV546">
        <v>28</v>
      </c>
      <c r="AW546">
        <v>1</v>
      </c>
      <c r="AX546" t="s">
        <v>74</v>
      </c>
      <c r="AY546" t="s">
        <v>74</v>
      </c>
      <c r="AZ546" t="s">
        <v>74</v>
      </c>
      <c r="BA546" t="s">
        <v>74</v>
      </c>
      <c r="BB546" t="s">
        <v>74</v>
      </c>
      <c r="BC546" t="s">
        <v>74</v>
      </c>
      <c r="BD546">
        <v>311</v>
      </c>
      <c r="BE546" t="s">
        <v>10365</v>
      </c>
      <c r="BF546" t="str">
        <f>HYPERLINK("http://dx.doi.org/10.1186/s40001-023-01220-5","http://dx.doi.org/10.1186/s40001-023-01220-5")</f>
        <v>http://dx.doi.org/10.1186/s40001-023-01220-5</v>
      </c>
      <c r="BG546" t="s">
        <v>74</v>
      </c>
      <c r="BH546" t="s">
        <v>74</v>
      </c>
      <c r="BI546">
        <v>15</v>
      </c>
      <c r="BJ546" t="s">
        <v>3415</v>
      </c>
      <c r="BK546" t="s">
        <v>126</v>
      </c>
      <c r="BL546" t="s">
        <v>3416</v>
      </c>
      <c r="BM546" t="s">
        <v>10366</v>
      </c>
      <c r="BN546">
        <v>37658418</v>
      </c>
      <c r="BO546" t="s">
        <v>302</v>
      </c>
      <c r="BP546" t="s">
        <v>74</v>
      </c>
      <c r="BQ546" t="s">
        <v>74</v>
      </c>
      <c r="BR546" t="s">
        <v>99</v>
      </c>
      <c r="BS546" t="s">
        <v>10367</v>
      </c>
      <c r="BT546" t="str">
        <f>HYPERLINK("https%3A%2F%2Fwww.webofscience.com%2Fwos%2Fwoscc%2Ffull-record%2FWOS:001058745300002","View Full Record in Web of Science")</f>
        <v>View Full Record in Web of Science</v>
      </c>
    </row>
    <row r="547" spans="1:72" x14ac:dyDescent="0.15">
      <c r="A547" t="s">
        <v>72</v>
      </c>
      <c r="B547" t="s">
        <v>10368</v>
      </c>
      <c r="C547" t="s">
        <v>74</v>
      </c>
      <c r="D547" t="s">
        <v>74</v>
      </c>
      <c r="E547" t="s">
        <v>74</v>
      </c>
      <c r="F547" t="s">
        <v>10369</v>
      </c>
      <c r="G547" t="s">
        <v>74</v>
      </c>
      <c r="H547" t="s">
        <v>74</v>
      </c>
      <c r="I547" t="s">
        <v>10370</v>
      </c>
      <c r="J547" t="s">
        <v>10371</v>
      </c>
      <c r="K547" t="s">
        <v>74</v>
      </c>
      <c r="L547" t="s">
        <v>74</v>
      </c>
      <c r="M547" t="s">
        <v>78</v>
      </c>
      <c r="N547" t="s">
        <v>79</v>
      </c>
      <c r="O547" t="s">
        <v>74</v>
      </c>
      <c r="P547" t="s">
        <v>74</v>
      </c>
      <c r="Q547" t="s">
        <v>74</v>
      </c>
      <c r="R547" t="s">
        <v>74</v>
      </c>
      <c r="S547" t="s">
        <v>74</v>
      </c>
      <c r="T547" t="s">
        <v>10372</v>
      </c>
      <c r="U547" t="s">
        <v>74</v>
      </c>
      <c r="V547" t="s">
        <v>10373</v>
      </c>
      <c r="W547" t="s">
        <v>10374</v>
      </c>
      <c r="X547" t="s">
        <v>10375</v>
      </c>
      <c r="Y547" t="s">
        <v>10376</v>
      </c>
      <c r="Z547" t="s">
        <v>10377</v>
      </c>
      <c r="AA547" t="s">
        <v>10378</v>
      </c>
      <c r="AB547" t="s">
        <v>10379</v>
      </c>
      <c r="AC547" t="s">
        <v>74</v>
      </c>
      <c r="AD547" t="s">
        <v>74</v>
      </c>
      <c r="AE547" t="s">
        <v>74</v>
      </c>
      <c r="AF547" t="s">
        <v>74</v>
      </c>
      <c r="AG547">
        <v>36</v>
      </c>
      <c r="AH547">
        <v>0</v>
      </c>
      <c r="AI547">
        <v>0</v>
      </c>
      <c r="AJ547">
        <v>0</v>
      </c>
      <c r="AK547">
        <v>0</v>
      </c>
      <c r="AL547" t="s">
        <v>117</v>
      </c>
      <c r="AM547" t="s">
        <v>627</v>
      </c>
      <c r="AN547" t="s">
        <v>628</v>
      </c>
      <c r="AO547" t="s">
        <v>10380</v>
      </c>
      <c r="AP547" t="s">
        <v>10381</v>
      </c>
      <c r="AQ547" t="s">
        <v>74</v>
      </c>
      <c r="AR547" t="s">
        <v>10382</v>
      </c>
      <c r="AS547" t="s">
        <v>10383</v>
      </c>
      <c r="AT547" t="s">
        <v>8614</v>
      </c>
      <c r="AU547">
        <v>2023</v>
      </c>
      <c r="AV547">
        <v>21</v>
      </c>
      <c r="AW547">
        <v>3</v>
      </c>
      <c r="AX547" t="s">
        <v>74</v>
      </c>
      <c r="AY547" t="s">
        <v>74</v>
      </c>
      <c r="AZ547" t="s">
        <v>74</v>
      </c>
      <c r="BA547" t="s">
        <v>74</v>
      </c>
      <c r="BB547" t="s">
        <v>74</v>
      </c>
      <c r="BC547" t="s">
        <v>74</v>
      </c>
      <c r="BD547">
        <v>42</v>
      </c>
      <c r="BE547" t="s">
        <v>10384</v>
      </c>
      <c r="BF547" t="str">
        <f>HYPERLINK("http://dx.doi.org/10.1007/s10723-023-09664-z","http://dx.doi.org/10.1007/s10723-023-09664-z")</f>
        <v>http://dx.doi.org/10.1007/s10723-023-09664-z</v>
      </c>
      <c r="BG547" t="s">
        <v>74</v>
      </c>
      <c r="BH547" t="s">
        <v>74</v>
      </c>
      <c r="BI547">
        <v>13</v>
      </c>
      <c r="BJ547" t="s">
        <v>10385</v>
      </c>
      <c r="BK547" t="s">
        <v>126</v>
      </c>
      <c r="BL547" t="s">
        <v>1139</v>
      </c>
      <c r="BM547" t="s">
        <v>10386</v>
      </c>
      <c r="BN547" t="s">
        <v>74</v>
      </c>
      <c r="BO547" t="s">
        <v>1183</v>
      </c>
      <c r="BP547" t="s">
        <v>74</v>
      </c>
      <c r="BQ547" t="s">
        <v>74</v>
      </c>
      <c r="BR547" t="s">
        <v>99</v>
      </c>
      <c r="BS547" t="s">
        <v>10387</v>
      </c>
      <c r="BT547" t="str">
        <f>HYPERLINK("https%3A%2F%2Fwww.webofscience.com%2Fwos%2Fwoscc%2Ffull-record%2FWOS:001024360300001","View Full Record in Web of Science")</f>
        <v>View Full Record in Web of Science</v>
      </c>
    </row>
    <row r="548" spans="1:72" x14ac:dyDescent="0.15">
      <c r="A548" t="s">
        <v>72</v>
      </c>
      <c r="B548" t="s">
        <v>10388</v>
      </c>
      <c r="C548" t="s">
        <v>74</v>
      </c>
      <c r="D548" t="s">
        <v>74</v>
      </c>
      <c r="E548" t="s">
        <v>74</v>
      </c>
      <c r="F548" t="s">
        <v>10389</v>
      </c>
      <c r="G548" t="s">
        <v>74</v>
      </c>
      <c r="H548" t="s">
        <v>74</v>
      </c>
      <c r="I548" t="s">
        <v>10390</v>
      </c>
      <c r="J548" t="s">
        <v>10391</v>
      </c>
      <c r="K548" t="s">
        <v>74</v>
      </c>
      <c r="L548" t="s">
        <v>74</v>
      </c>
      <c r="M548" t="s">
        <v>78</v>
      </c>
      <c r="N548" t="s">
        <v>79</v>
      </c>
      <c r="O548" t="s">
        <v>74</v>
      </c>
      <c r="P548" t="s">
        <v>74</v>
      </c>
      <c r="Q548" t="s">
        <v>74</v>
      </c>
      <c r="R548" t="s">
        <v>74</v>
      </c>
      <c r="S548" t="s">
        <v>74</v>
      </c>
      <c r="T548" t="s">
        <v>10392</v>
      </c>
      <c r="U548" t="s">
        <v>10393</v>
      </c>
      <c r="V548" t="s">
        <v>10394</v>
      </c>
      <c r="W548" t="s">
        <v>10395</v>
      </c>
      <c r="X548" t="s">
        <v>10396</v>
      </c>
      <c r="Y548" t="s">
        <v>10397</v>
      </c>
      <c r="Z548" t="s">
        <v>10398</v>
      </c>
      <c r="AA548" t="s">
        <v>74</v>
      </c>
      <c r="AB548" t="s">
        <v>10399</v>
      </c>
      <c r="AC548" t="s">
        <v>74</v>
      </c>
      <c r="AD548" t="s">
        <v>74</v>
      </c>
      <c r="AE548" t="s">
        <v>74</v>
      </c>
      <c r="AF548" t="s">
        <v>74</v>
      </c>
      <c r="AG548">
        <v>101</v>
      </c>
      <c r="AH548">
        <v>0</v>
      </c>
      <c r="AI548">
        <v>0</v>
      </c>
      <c r="AJ548">
        <v>1</v>
      </c>
      <c r="AK548">
        <v>1</v>
      </c>
      <c r="AL548" t="s">
        <v>219</v>
      </c>
      <c r="AM548" t="s">
        <v>220</v>
      </c>
      <c r="AN548" t="s">
        <v>221</v>
      </c>
      <c r="AO548" t="s">
        <v>10400</v>
      </c>
      <c r="AP548" t="s">
        <v>10401</v>
      </c>
      <c r="AQ548" t="s">
        <v>74</v>
      </c>
      <c r="AR548" t="s">
        <v>10402</v>
      </c>
      <c r="AS548" t="s">
        <v>10403</v>
      </c>
      <c r="AT548" t="s">
        <v>8614</v>
      </c>
      <c r="AU548">
        <v>2023</v>
      </c>
      <c r="AV548">
        <v>80</v>
      </c>
      <c r="AW548">
        <v>9</v>
      </c>
      <c r="AX548" t="s">
        <v>74</v>
      </c>
      <c r="AY548" t="s">
        <v>74</v>
      </c>
      <c r="AZ548" t="s">
        <v>74</v>
      </c>
      <c r="BA548" t="s">
        <v>74</v>
      </c>
      <c r="BB548" t="s">
        <v>74</v>
      </c>
      <c r="BC548" t="s">
        <v>74</v>
      </c>
      <c r="BD548">
        <v>262</v>
      </c>
      <c r="BE548" t="s">
        <v>10404</v>
      </c>
      <c r="BF548" t="str">
        <f>HYPERLINK("http://dx.doi.org/10.1007/s00018-023-04911-8","http://dx.doi.org/10.1007/s00018-023-04911-8")</f>
        <v>http://dx.doi.org/10.1007/s00018-023-04911-8</v>
      </c>
      <c r="BG548" t="s">
        <v>74</v>
      </c>
      <c r="BH548" t="s">
        <v>74</v>
      </c>
      <c r="BI548">
        <v>27</v>
      </c>
      <c r="BJ548" t="s">
        <v>7239</v>
      </c>
      <c r="BK548" t="s">
        <v>126</v>
      </c>
      <c r="BL548" t="s">
        <v>7239</v>
      </c>
      <c r="BM548" t="s">
        <v>10405</v>
      </c>
      <c r="BN548">
        <v>37597109</v>
      </c>
      <c r="BO548" t="s">
        <v>1328</v>
      </c>
      <c r="BP548" t="s">
        <v>74</v>
      </c>
      <c r="BQ548" t="s">
        <v>74</v>
      </c>
      <c r="BR548" t="s">
        <v>99</v>
      </c>
      <c r="BS548" t="s">
        <v>10406</v>
      </c>
      <c r="BT548" t="str">
        <f>HYPERLINK("https%3A%2F%2Fwww.webofscience.com%2Fwos%2Fwoscc%2Ffull-record%2FWOS:001050715400002","View Full Record in Web of Science")</f>
        <v>View Full Record in Web of Science</v>
      </c>
    </row>
    <row r="549" spans="1:72" x14ac:dyDescent="0.15">
      <c r="A549" t="s">
        <v>72</v>
      </c>
      <c r="B549" t="s">
        <v>10407</v>
      </c>
      <c r="C549" t="s">
        <v>74</v>
      </c>
      <c r="D549" t="s">
        <v>74</v>
      </c>
      <c r="E549" t="s">
        <v>74</v>
      </c>
      <c r="F549" t="s">
        <v>10408</v>
      </c>
      <c r="G549" t="s">
        <v>74</v>
      </c>
      <c r="H549" t="s">
        <v>74</v>
      </c>
      <c r="I549" t="s">
        <v>10409</v>
      </c>
      <c r="J549" t="s">
        <v>10410</v>
      </c>
      <c r="K549" t="s">
        <v>74</v>
      </c>
      <c r="L549" t="s">
        <v>74</v>
      </c>
      <c r="M549" t="s">
        <v>78</v>
      </c>
      <c r="N549" t="s">
        <v>1246</v>
      </c>
      <c r="O549" t="s">
        <v>74</v>
      </c>
      <c r="P549" t="s">
        <v>74</v>
      </c>
      <c r="Q549" t="s">
        <v>74</v>
      </c>
      <c r="R549" t="s">
        <v>74</v>
      </c>
      <c r="S549" t="s">
        <v>74</v>
      </c>
      <c r="T549" t="s">
        <v>10411</v>
      </c>
      <c r="U549" t="s">
        <v>10412</v>
      </c>
      <c r="V549" t="s">
        <v>10413</v>
      </c>
      <c r="W549" t="s">
        <v>10414</v>
      </c>
      <c r="X549" t="s">
        <v>10415</v>
      </c>
      <c r="Y549" t="s">
        <v>10416</v>
      </c>
      <c r="Z549" t="s">
        <v>10417</v>
      </c>
      <c r="AA549" t="s">
        <v>74</v>
      </c>
      <c r="AB549" t="s">
        <v>74</v>
      </c>
      <c r="AC549" t="s">
        <v>10418</v>
      </c>
      <c r="AD549" t="s">
        <v>10418</v>
      </c>
      <c r="AE549" t="s">
        <v>10419</v>
      </c>
      <c r="AF549" t="s">
        <v>74</v>
      </c>
      <c r="AG549">
        <v>48</v>
      </c>
      <c r="AH549">
        <v>0</v>
      </c>
      <c r="AI549">
        <v>0</v>
      </c>
      <c r="AJ549">
        <v>0</v>
      </c>
      <c r="AK549">
        <v>0</v>
      </c>
      <c r="AL549" t="s">
        <v>172</v>
      </c>
      <c r="AM549" t="s">
        <v>173</v>
      </c>
      <c r="AN549" t="s">
        <v>174</v>
      </c>
      <c r="AO549" t="s">
        <v>10420</v>
      </c>
      <c r="AP549" t="s">
        <v>10421</v>
      </c>
      <c r="AQ549" t="s">
        <v>74</v>
      </c>
      <c r="AR549" t="s">
        <v>10410</v>
      </c>
      <c r="AS549" t="s">
        <v>10422</v>
      </c>
      <c r="AT549" t="s">
        <v>8746</v>
      </c>
      <c r="AU549">
        <v>2023</v>
      </c>
      <c r="AV549" t="s">
        <v>74</v>
      </c>
      <c r="AW549" t="s">
        <v>74</v>
      </c>
      <c r="AX549" t="s">
        <v>74</v>
      </c>
      <c r="AY549" t="s">
        <v>74</v>
      </c>
      <c r="AZ549" t="s">
        <v>74</v>
      </c>
      <c r="BA549" t="s">
        <v>74</v>
      </c>
      <c r="BB549" t="s">
        <v>74</v>
      </c>
      <c r="BC549" t="s">
        <v>74</v>
      </c>
      <c r="BD549" t="s">
        <v>74</v>
      </c>
      <c r="BE549" t="s">
        <v>10423</v>
      </c>
      <c r="BF549" t="str">
        <f>HYPERLINK("http://dx.doi.org/10.1007/s15010-023-02084","http://dx.doi.org/10.1007/s15010-023-02084")</f>
        <v>http://dx.doi.org/10.1007/s15010-023-02084</v>
      </c>
      <c r="BG549" t="s">
        <v>74</v>
      </c>
      <c r="BH549" t="s">
        <v>2079</v>
      </c>
      <c r="BI549">
        <v>12</v>
      </c>
      <c r="BJ549" t="s">
        <v>7261</v>
      </c>
      <c r="BK549" t="s">
        <v>126</v>
      </c>
      <c r="BL549" t="s">
        <v>7261</v>
      </c>
      <c r="BM549" t="s">
        <v>10424</v>
      </c>
      <c r="BN549" t="s">
        <v>74</v>
      </c>
      <c r="BO549" t="s">
        <v>74</v>
      </c>
      <c r="BP549" t="s">
        <v>74</v>
      </c>
      <c r="BQ549" t="s">
        <v>74</v>
      </c>
      <c r="BR549" t="s">
        <v>99</v>
      </c>
      <c r="BS549" t="s">
        <v>10425</v>
      </c>
      <c r="BT549" t="str">
        <f>HYPERLINK("https%3A%2F%2Fwww.webofscience.com%2Fwos%2Fwoscc%2Ffull-record%2FWOS:001060180700002","View Full Record in Web of Science")</f>
        <v>View Full Record in Web of Science</v>
      </c>
    </row>
    <row r="550" spans="1:72" x14ac:dyDescent="0.15">
      <c r="A550" t="s">
        <v>72</v>
      </c>
      <c r="B550" t="s">
        <v>10426</v>
      </c>
      <c r="C550" t="s">
        <v>74</v>
      </c>
      <c r="D550" t="s">
        <v>74</v>
      </c>
      <c r="E550" t="s">
        <v>74</v>
      </c>
      <c r="F550" t="s">
        <v>10427</v>
      </c>
      <c r="G550" t="s">
        <v>74</v>
      </c>
      <c r="H550" t="s">
        <v>74</v>
      </c>
      <c r="I550" t="s">
        <v>10428</v>
      </c>
      <c r="J550" t="s">
        <v>8905</v>
      </c>
      <c r="K550" t="s">
        <v>74</v>
      </c>
      <c r="L550" t="s">
        <v>74</v>
      </c>
      <c r="M550" t="s">
        <v>78</v>
      </c>
      <c r="N550" t="s">
        <v>79</v>
      </c>
      <c r="O550" t="s">
        <v>74</v>
      </c>
      <c r="P550" t="s">
        <v>74</v>
      </c>
      <c r="Q550" t="s">
        <v>74</v>
      </c>
      <c r="R550" t="s">
        <v>74</v>
      </c>
      <c r="S550" t="s">
        <v>74</v>
      </c>
      <c r="T550" t="s">
        <v>10429</v>
      </c>
      <c r="U550" t="s">
        <v>10430</v>
      </c>
      <c r="V550" t="s">
        <v>10431</v>
      </c>
      <c r="W550" t="s">
        <v>10432</v>
      </c>
      <c r="X550" t="s">
        <v>10433</v>
      </c>
      <c r="Y550" t="s">
        <v>10434</v>
      </c>
      <c r="Z550" t="s">
        <v>10435</v>
      </c>
      <c r="AA550" t="s">
        <v>74</v>
      </c>
      <c r="AB550" t="s">
        <v>10436</v>
      </c>
      <c r="AC550" t="s">
        <v>10437</v>
      </c>
      <c r="AD550" t="s">
        <v>10438</v>
      </c>
      <c r="AE550" t="s">
        <v>10439</v>
      </c>
      <c r="AF550" t="s">
        <v>74</v>
      </c>
      <c r="AG550">
        <v>54</v>
      </c>
      <c r="AH550">
        <v>0</v>
      </c>
      <c r="AI550">
        <v>0</v>
      </c>
      <c r="AJ550">
        <v>0</v>
      </c>
      <c r="AK550">
        <v>0</v>
      </c>
      <c r="AL550" t="s">
        <v>117</v>
      </c>
      <c r="AM550" t="s">
        <v>118</v>
      </c>
      <c r="AN550" t="s">
        <v>119</v>
      </c>
      <c r="AO550" t="s">
        <v>8917</v>
      </c>
      <c r="AP550" t="s">
        <v>8918</v>
      </c>
      <c r="AQ550" t="s">
        <v>74</v>
      </c>
      <c r="AR550" t="s">
        <v>8905</v>
      </c>
      <c r="AS550" t="s">
        <v>8919</v>
      </c>
      <c r="AT550" t="s">
        <v>8614</v>
      </c>
      <c r="AU550">
        <v>2023</v>
      </c>
      <c r="AV550">
        <v>258</v>
      </c>
      <c r="AW550">
        <v>3</v>
      </c>
      <c r="AX550" t="s">
        <v>74</v>
      </c>
      <c r="AY550" t="s">
        <v>74</v>
      </c>
      <c r="AZ550" t="s">
        <v>74</v>
      </c>
      <c r="BA550" t="s">
        <v>74</v>
      </c>
      <c r="BB550" t="s">
        <v>74</v>
      </c>
      <c r="BC550" t="s">
        <v>74</v>
      </c>
      <c r="BD550">
        <v>58</v>
      </c>
      <c r="BE550" t="s">
        <v>10440</v>
      </c>
      <c r="BF550" t="str">
        <f>HYPERLINK("http://dx.doi.org/10.1007/s00425-023-04213-0","http://dx.doi.org/10.1007/s00425-023-04213-0")</f>
        <v>http://dx.doi.org/10.1007/s00425-023-04213-0</v>
      </c>
      <c r="BG550" t="s">
        <v>74</v>
      </c>
      <c r="BH550" t="s">
        <v>74</v>
      </c>
      <c r="BI550">
        <v>10</v>
      </c>
      <c r="BJ550" t="s">
        <v>8921</v>
      </c>
      <c r="BK550" t="s">
        <v>126</v>
      </c>
      <c r="BL550" t="s">
        <v>8921</v>
      </c>
      <c r="BM550" t="s">
        <v>10441</v>
      </c>
      <c r="BN550">
        <v>37528331</v>
      </c>
      <c r="BO550" t="s">
        <v>74</v>
      </c>
      <c r="BP550" t="s">
        <v>74</v>
      </c>
      <c r="BQ550" t="s">
        <v>74</v>
      </c>
      <c r="BR550" t="s">
        <v>99</v>
      </c>
      <c r="BS550" t="s">
        <v>10442</v>
      </c>
      <c r="BT550" t="str">
        <f>HYPERLINK("https%3A%2F%2Fwww.webofscience.com%2Fwos%2Fwoscc%2Ffull-record%2FWOS:001041294600001","View Full Record in Web of Science")</f>
        <v>View Full Record in Web of Science</v>
      </c>
    </row>
    <row r="551" spans="1:72" x14ac:dyDescent="0.15">
      <c r="A551" t="s">
        <v>72</v>
      </c>
      <c r="B551" t="s">
        <v>10443</v>
      </c>
      <c r="C551" t="s">
        <v>74</v>
      </c>
      <c r="D551" t="s">
        <v>74</v>
      </c>
      <c r="E551" t="s">
        <v>74</v>
      </c>
      <c r="F551" t="s">
        <v>10444</v>
      </c>
      <c r="G551" t="s">
        <v>74</v>
      </c>
      <c r="H551" t="s">
        <v>74</v>
      </c>
      <c r="I551" t="s">
        <v>10445</v>
      </c>
      <c r="J551" t="s">
        <v>8905</v>
      </c>
      <c r="K551" t="s">
        <v>74</v>
      </c>
      <c r="L551" t="s">
        <v>74</v>
      </c>
      <c r="M551" t="s">
        <v>78</v>
      </c>
      <c r="N551" t="s">
        <v>79</v>
      </c>
      <c r="O551" t="s">
        <v>74</v>
      </c>
      <c r="P551" t="s">
        <v>74</v>
      </c>
      <c r="Q551" t="s">
        <v>74</v>
      </c>
      <c r="R551" t="s">
        <v>74</v>
      </c>
      <c r="S551" t="s">
        <v>74</v>
      </c>
      <c r="T551" t="s">
        <v>10446</v>
      </c>
      <c r="U551" t="s">
        <v>10447</v>
      </c>
      <c r="V551" t="s">
        <v>10448</v>
      </c>
      <c r="W551" t="s">
        <v>10449</v>
      </c>
      <c r="X551" t="s">
        <v>10450</v>
      </c>
      <c r="Y551" t="s">
        <v>10451</v>
      </c>
      <c r="Z551" t="s">
        <v>10452</v>
      </c>
      <c r="AA551" t="s">
        <v>10453</v>
      </c>
      <c r="AB551" t="s">
        <v>10454</v>
      </c>
      <c r="AC551" t="s">
        <v>10455</v>
      </c>
      <c r="AD551" t="s">
        <v>10456</v>
      </c>
      <c r="AE551" t="s">
        <v>10457</v>
      </c>
      <c r="AF551" t="s">
        <v>74</v>
      </c>
      <c r="AG551">
        <v>15</v>
      </c>
      <c r="AH551">
        <v>0</v>
      </c>
      <c r="AI551">
        <v>0</v>
      </c>
      <c r="AJ551">
        <v>7</v>
      </c>
      <c r="AK551">
        <v>7</v>
      </c>
      <c r="AL551" t="s">
        <v>117</v>
      </c>
      <c r="AM551" t="s">
        <v>118</v>
      </c>
      <c r="AN551" t="s">
        <v>119</v>
      </c>
      <c r="AO551" t="s">
        <v>8917</v>
      </c>
      <c r="AP551" t="s">
        <v>8918</v>
      </c>
      <c r="AQ551" t="s">
        <v>74</v>
      </c>
      <c r="AR551" t="s">
        <v>8905</v>
      </c>
      <c r="AS551" t="s">
        <v>8919</v>
      </c>
      <c r="AT551" t="s">
        <v>8614</v>
      </c>
      <c r="AU551">
        <v>2023</v>
      </c>
      <c r="AV551">
        <v>258</v>
      </c>
      <c r="AW551">
        <v>3</v>
      </c>
      <c r="AX551" t="s">
        <v>74</v>
      </c>
      <c r="AY551" t="s">
        <v>74</v>
      </c>
      <c r="AZ551" t="s">
        <v>74</v>
      </c>
      <c r="BA551" t="s">
        <v>74</v>
      </c>
      <c r="BB551" t="s">
        <v>74</v>
      </c>
      <c r="BC551" t="s">
        <v>74</v>
      </c>
      <c r="BD551">
        <v>56</v>
      </c>
      <c r="BE551" t="s">
        <v>10458</v>
      </c>
      <c r="BF551" t="str">
        <f>HYPERLINK("http://dx.doi.org/10.1007/s00425-023-04211-2","http://dx.doi.org/10.1007/s00425-023-04211-2")</f>
        <v>http://dx.doi.org/10.1007/s00425-023-04211-2</v>
      </c>
      <c r="BG551" t="s">
        <v>74</v>
      </c>
      <c r="BH551" t="s">
        <v>74</v>
      </c>
      <c r="BI551">
        <v>5</v>
      </c>
      <c r="BJ551" t="s">
        <v>8921</v>
      </c>
      <c r="BK551" t="s">
        <v>126</v>
      </c>
      <c r="BL551" t="s">
        <v>8921</v>
      </c>
      <c r="BM551" t="s">
        <v>10459</v>
      </c>
      <c r="BN551">
        <v>37522994</v>
      </c>
      <c r="BO551" t="s">
        <v>74</v>
      </c>
      <c r="BP551" t="s">
        <v>74</v>
      </c>
      <c r="BQ551" t="s">
        <v>74</v>
      </c>
      <c r="BR551" t="s">
        <v>99</v>
      </c>
      <c r="BS551" t="s">
        <v>10460</v>
      </c>
      <c r="BT551" t="str">
        <f>HYPERLINK("https%3A%2F%2Fwww.webofscience.com%2Fwos%2Fwoscc%2Ffull-record%2FWOS:001038224100001","View Full Record in Web of Science")</f>
        <v>View Full Record in Web of Science</v>
      </c>
    </row>
    <row r="552" spans="1:72" x14ac:dyDescent="0.15">
      <c r="A552" t="s">
        <v>72</v>
      </c>
      <c r="B552" t="s">
        <v>10461</v>
      </c>
      <c r="C552" t="s">
        <v>74</v>
      </c>
      <c r="D552" t="s">
        <v>74</v>
      </c>
      <c r="E552" t="s">
        <v>74</v>
      </c>
      <c r="F552" t="s">
        <v>10462</v>
      </c>
      <c r="G552" t="s">
        <v>74</v>
      </c>
      <c r="H552" t="s">
        <v>74</v>
      </c>
      <c r="I552" t="s">
        <v>10463</v>
      </c>
      <c r="J552" t="s">
        <v>9742</v>
      </c>
      <c r="K552" t="s">
        <v>74</v>
      </c>
      <c r="L552" t="s">
        <v>74</v>
      </c>
      <c r="M552" t="s">
        <v>78</v>
      </c>
      <c r="N552" t="s">
        <v>79</v>
      </c>
      <c r="O552" t="s">
        <v>74</v>
      </c>
      <c r="P552" t="s">
        <v>74</v>
      </c>
      <c r="Q552" t="s">
        <v>74</v>
      </c>
      <c r="R552" t="s">
        <v>74</v>
      </c>
      <c r="S552" t="s">
        <v>74</v>
      </c>
      <c r="T552" t="s">
        <v>10464</v>
      </c>
      <c r="U552" t="s">
        <v>10465</v>
      </c>
      <c r="V552" t="s">
        <v>10466</v>
      </c>
      <c r="W552" t="s">
        <v>10467</v>
      </c>
      <c r="X552" t="s">
        <v>10468</v>
      </c>
      <c r="Y552" t="s">
        <v>10469</v>
      </c>
      <c r="Z552" t="s">
        <v>10470</v>
      </c>
      <c r="AA552" t="s">
        <v>10471</v>
      </c>
      <c r="AB552" t="s">
        <v>10472</v>
      </c>
      <c r="AC552" t="s">
        <v>74</v>
      </c>
      <c r="AD552" t="s">
        <v>74</v>
      </c>
      <c r="AE552" t="s">
        <v>74</v>
      </c>
      <c r="AF552" t="s">
        <v>74</v>
      </c>
      <c r="AG552">
        <v>116</v>
      </c>
      <c r="AH552">
        <v>0</v>
      </c>
      <c r="AI552">
        <v>0</v>
      </c>
      <c r="AJ552">
        <v>3</v>
      </c>
      <c r="AK552">
        <v>3</v>
      </c>
      <c r="AL552" t="s">
        <v>117</v>
      </c>
      <c r="AM552" t="s">
        <v>627</v>
      </c>
      <c r="AN552" t="s">
        <v>628</v>
      </c>
      <c r="AO552" t="s">
        <v>9753</v>
      </c>
      <c r="AP552" t="s">
        <v>9754</v>
      </c>
      <c r="AQ552" t="s">
        <v>74</v>
      </c>
      <c r="AR552" t="s">
        <v>9755</v>
      </c>
      <c r="AS552" t="s">
        <v>9756</v>
      </c>
      <c r="AT552" t="s">
        <v>8614</v>
      </c>
      <c r="AU552">
        <v>2023</v>
      </c>
      <c r="AV552">
        <v>56</v>
      </c>
      <c r="AW552">
        <v>7</v>
      </c>
      <c r="AX552" t="s">
        <v>74</v>
      </c>
      <c r="AY552" t="s">
        <v>74</v>
      </c>
      <c r="AZ552" t="s">
        <v>74</v>
      </c>
      <c r="BA552" t="s">
        <v>74</v>
      </c>
      <c r="BB552" t="s">
        <v>74</v>
      </c>
      <c r="BC552" t="s">
        <v>74</v>
      </c>
      <c r="BD552">
        <v>133</v>
      </c>
      <c r="BE552" t="s">
        <v>10473</v>
      </c>
      <c r="BF552" t="str">
        <f>HYPERLINK("http://dx.doi.org/10.1617/s11527-023-02223-8","http://dx.doi.org/10.1617/s11527-023-02223-8")</f>
        <v>http://dx.doi.org/10.1617/s11527-023-02223-8</v>
      </c>
      <c r="BG552" t="s">
        <v>74</v>
      </c>
      <c r="BH552" t="s">
        <v>74</v>
      </c>
      <c r="BI552">
        <v>18</v>
      </c>
      <c r="BJ552" t="s">
        <v>9758</v>
      </c>
      <c r="BK552" t="s">
        <v>126</v>
      </c>
      <c r="BL552" t="s">
        <v>9759</v>
      </c>
      <c r="BM552" t="s">
        <v>10474</v>
      </c>
      <c r="BN552" t="s">
        <v>74</v>
      </c>
      <c r="BO552" t="s">
        <v>74</v>
      </c>
      <c r="BP552" t="s">
        <v>74</v>
      </c>
      <c r="BQ552" t="s">
        <v>74</v>
      </c>
      <c r="BR552" t="s">
        <v>99</v>
      </c>
      <c r="BS552" t="s">
        <v>10475</v>
      </c>
      <c r="BT552" t="str">
        <f>HYPERLINK("https%3A%2F%2Fwww.webofscience.com%2Fwos%2Fwoscc%2Ffull-record%2FWOS:001052805900001","View Full Record in Web of Science")</f>
        <v>View Full Record in Web of Science</v>
      </c>
    </row>
    <row r="553" spans="1:72" x14ac:dyDescent="0.15">
      <c r="A553" t="s">
        <v>72</v>
      </c>
      <c r="B553" t="s">
        <v>10476</v>
      </c>
      <c r="C553" t="s">
        <v>74</v>
      </c>
      <c r="D553" t="s">
        <v>74</v>
      </c>
      <c r="E553" t="s">
        <v>74</v>
      </c>
      <c r="F553" t="s">
        <v>10477</v>
      </c>
      <c r="G553" t="s">
        <v>74</v>
      </c>
      <c r="H553" t="s">
        <v>74</v>
      </c>
      <c r="I553" t="s">
        <v>10478</v>
      </c>
      <c r="J553" t="s">
        <v>1737</v>
      </c>
      <c r="K553" t="s">
        <v>74</v>
      </c>
      <c r="L553" t="s">
        <v>74</v>
      </c>
      <c r="M553" t="s">
        <v>78</v>
      </c>
      <c r="N553" t="s">
        <v>105</v>
      </c>
      <c r="O553" t="s">
        <v>74</v>
      </c>
      <c r="P553" t="s">
        <v>74</v>
      </c>
      <c r="Q553" t="s">
        <v>74</v>
      </c>
      <c r="R553" t="s">
        <v>74</v>
      </c>
      <c r="S553" t="s">
        <v>74</v>
      </c>
      <c r="T553" t="s">
        <v>10479</v>
      </c>
      <c r="U553" t="s">
        <v>10480</v>
      </c>
      <c r="V553" t="s">
        <v>10481</v>
      </c>
      <c r="W553" t="s">
        <v>10482</v>
      </c>
      <c r="X553" t="s">
        <v>10483</v>
      </c>
      <c r="Y553" t="s">
        <v>10484</v>
      </c>
      <c r="Z553" t="s">
        <v>10485</v>
      </c>
      <c r="AA553" t="s">
        <v>74</v>
      </c>
      <c r="AB553" t="s">
        <v>74</v>
      </c>
      <c r="AC553" t="s">
        <v>10486</v>
      </c>
      <c r="AD553" t="s">
        <v>10487</v>
      </c>
      <c r="AE553" t="s">
        <v>10488</v>
      </c>
      <c r="AF553" t="s">
        <v>74</v>
      </c>
      <c r="AG553">
        <v>33</v>
      </c>
      <c r="AH553">
        <v>0</v>
      </c>
      <c r="AI553">
        <v>0</v>
      </c>
      <c r="AJ553">
        <v>1</v>
      </c>
      <c r="AK553">
        <v>1</v>
      </c>
      <c r="AL553" t="s">
        <v>117</v>
      </c>
      <c r="AM553" t="s">
        <v>118</v>
      </c>
      <c r="AN553" t="s">
        <v>119</v>
      </c>
      <c r="AO553" t="s">
        <v>1749</v>
      </c>
      <c r="AP553" t="s">
        <v>1750</v>
      </c>
      <c r="AQ553" t="s">
        <v>74</v>
      </c>
      <c r="AR553" t="s">
        <v>1751</v>
      </c>
      <c r="AS553" t="s">
        <v>1752</v>
      </c>
      <c r="AT553" t="s">
        <v>8614</v>
      </c>
      <c r="AU553">
        <v>2023</v>
      </c>
      <c r="AV553">
        <v>31</v>
      </c>
      <c r="AW553">
        <v>9</v>
      </c>
      <c r="AX553" t="s">
        <v>74</v>
      </c>
      <c r="AY553" t="s">
        <v>74</v>
      </c>
      <c r="AZ553" t="s">
        <v>74</v>
      </c>
      <c r="BA553" t="s">
        <v>74</v>
      </c>
      <c r="BB553" t="s">
        <v>74</v>
      </c>
      <c r="BC553" t="s">
        <v>74</v>
      </c>
      <c r="BD553">
        <v>510</v>
      </c>
      <c r="BE553" t="s">
        <v>10489</v>
      </c>
      <c r="BF553" t="str">
        <f>HYPERLINK("http://dx.doi.org/10.1007/s00520-023-07976-0","http://dx.doi.org/10.1007/s00520-023-07976-0")</f>
        <v>http://dx.doi.org/10.1007/s00520-023-07976-0</v>
      </c>
      <c r="BG553" t="s">
        <v>74</v>
      </c>
      <c r="BH553" t="s">
        <v>74</v>
      </c>
      <c r="BI553">
        <v>14</v>
      </c>
      <c r="BJ553" t="s">
        <v>1754</v>
      </c>
      <c r="BK553" t="s">
        <v>126</v>
      </c>
      <c r="BL553" t="s">
        <v>1754</v>
      </c>
      <c r="BM553" t="s">
        <v>10490</v>
      </c>
      <c r="BN553">
        <v>37548707</v>
      </c>
      <c r="BO553" t="s">
        <v>74</v>
      </c>
      <c r="BP553" t="s">
        <v>74</v>
      </c>
      <c r="BQ553" t="s">
        <v>74</v>
      </c>
      <c r="BR553" t="s">
        <v>99</v>
      </c>
      <c r="BS553" t="s">
        <v>10491</v>
      </c>
      <c r="BT553" t="str">
        <f>HYPERLINK("https%3A%2F%2Fwww.webofscience.com%2Fwos%2Fwoscc%2Ffull-record%2FWOS:001043731800002","View Full Record in Web of Science")</f>
        <v>View Full Record in Web of Science</v>
      </c>
    </row>
    <row r="554" spans="1:72" x14ac:dyDescent="0.15">
      <c r="A554" t="s">
        <v>72</v>
      </c>
      <c r="B554" t="s">
        <v>10492</v>
      </c>
      <c r="C554" t="s">
        <v>74</v>
      </c>
      <c r="D554" t="s">
        <v>74</v>
      </c>
      <c r="E554" t="s">
        <v>74</v>
      </c>
      <c r="F554" t="s">
        <v>10493</v>
      </c>
      <c r="G554" t="s">
        <v>74</v>
      </c>
      <c r="H554" t="s">
        <v>74</v>
      </c>
      <c r="I554" t="s">
        <v>10494</v>
      </c>
      <c r="J554" t="s">
        <v>2913</v>
      </c>
      <c r="K554" t="s">
        <v>74</v>
      </c>
      <c r="L554" t="s">
        <v>74</v>
      </c>
      <c r="M554" t="s">
        <v>78</v>
      </c>
      <c r="N554" t="s">
        <v>1246</v>
      </c>
      <c r="O554" t="s">
        <v>74</v>
      </c>
      <c r="P554" t="s">
        <v>74</v>
      </c>
      <c r="Q554" t="s">
        <v>74</v>
      </c>
      <c r="R554" t="s">
        <v>74</v>
      </c>
      <c r="S554" t="s">
        <v>74</v>
      </c>
      <c r="T554" t="s">
        <v>10495</v>
      </c>
      <c r="U554" t="s">
        <v>10496</v>
      </c>
      <c r="V554" t="s">
        <v>10497</v>
      </c>
      <c r="W554" t="s">
        <v>10498</v>
      </c>
      <c r="X554" t="s">
        <v>10499</v>
      </c>
      <c r="Y554" t="s">
        <v>10500</v>
      </c>
      <c r="Z554" t="s">
        <v>10501</v>
      </c>
      <c r="AA554" t="s">
        <v>74</v>
      </c>
      <c r="AB554" t="s">
        <v>74</v>
      </c>
      <c r="AC554" t="s">
        <v>10502</v>
      </c>
      <c r="AD554" t="s">
        <v>10503</v>
      </c>
      <c r="AE554" t="s">
        <v>10504</v>
      </c>
      <c r="AF554" t="s">
        <v>74</v>
      </c>
      <c r="AG554">
        <v>57</v>
      </c>
      <c r="AH554">
        <v>0</v>
      </c>
      <c r="AI554">
        <v>0</v>
      </c>
      <c r="AJ554">
        <v>3</v>
      </c>
      <c r="AK554">
        <v>3</v>
      </c>
      <c r="AL554" t="s">
        <v>117</v>
      </c>
      <c r="AM554" t="s">
        <v>627</v>
      </c>
      <c r="AN554" t="s">
        <v>628</v>
      </c>
      <c r="AO554" t="s">
        <v>2921</v>
      </c>
      <c r="AP554" t="s">
        <v>2922</v>
      </c>
      <c r="AQ554" t="s">
        <v>74</v>
      </c>
      <c r="AR554" t="s">
        <v>2923</v>
      </c>
      <c r="AS554" t="s">
        <v>2924</v>
      </c>
      <c r="AT554" t="s">
        <v>8746</v>
      </c>
      <c r="AU554">
        <v>2023</v>
      </c>
      <c r="AV554" t="s">
        <v>74</v>
      </c>
      <c r="AW554" t="s">
        <v>74</v>
      </c>
      <c r="AX554" t="s">
        <v>74</v>
      </c>
      <c r="AY554" t="s">
        <v>74</v>
      </c>
      <c r="AZ554" t="s">
        <v>74</v>
      </c>
      <c r="BA554" t="s">
        <v>74</v>
      </c>
      <c r="BB554" t="s">
        <v>74</v>
      </c>
      <c r="BC554" t="s">
        <v>74</v>
      </c>
      <c r="BD554" t="s">
        <v>74</v>
      </c>
      <c r="BE554" t="s">
        <v>10505</v>
      </c>
      <c r="BF554" t="str">
        <f>HYPERLINK("http://dx.doi.org/10.1007/s11042-023-16650","http://dx.doi.org/10.1007/s11042-023-16650")</f>
        <v>http://dx.doi.org/10.1007/s11042-023-16650</v>
      </c>
      <c r="BG554" t="s">
        <v>74</v>
      </c>
      <c r="BH554" t="s">
        <v>2079</v>
      </c>
      <c r="BI554">
        <v>22</v>
      </c>
      <c r="BJ554" t="s">
        <v>2926</v>
      </c>
      <c r="BK554" t="s">
        <v>126</v>
      </c>
      <c r="BL554" t="s">
        <v>2493</v>
      </c>
      <c r="BM554" t="s">
        <v>10506</v>
      </c>
      <c r="BN554" t="s">
        <v>74</v>
      </c>
      <c r="BO554" t="s">
        <v>74</v>
      </c>
      <c r="BP554" t="s">
        <v>74</v>
      </c>
      <c r="BQ554" t="s">
        <v>74</v>
      </c>
      <c r="BR554" t="s">
        <v>99</v>
      </c>
      <c r="BS554" t="s">
        <v>10507</v>
      </c>
      <c r="BT554" t="str">
        <f>HYPERLINK("https%3A%2F%2Fwww.webofscience.com%2Fwos%2Fwoscc%2Ffull-record%2FWOS:001059921400001","View Full Record in Web of Science")</f>
        <v>View Full Record in Web of Science</v>
      </c>
    </row>
    <row r="555" spans="1:72" x14ac:dyDescent="0.15">
      <c r="A555" t="s">
        <v>72</v>
      </c>
      <c r="B555" t="s">
        <v>10508</v>
      </c>
      <c r="C555" t="s">
        <v>74</v>
      </c>
      <c r="D555" t="s">
        <v>74</v>
      </c>
      <c r="E555" t="s">
        <v>74</v>
      </c>
      <c r="F555" t="s">
        <v>10509</v>
      </c>
      <c r="G555" t="s">
        <v>74</v>
      </c>
      <c r="H555" t="s">
        <v>74</v>
      </c>
      <c r="I555" t="s">
        <v>10510</v>
      </c>
      <c r="J555" t="s">
        <v>6927</v>
      </c>
      <c r="K555" t="s">
        <v>74</v>
      </c>
      <c r="L555" t="s">
        <v>74</v>
      </c>
      <c r="M555" t="s">
        <v>78</v>
      </c>
      <c r="N555" t="s">
        <v>1246</v>
      </c>
      <c r="O555" t="s">
        <v>74</v>
      </c>
      <c r="P555" t="s">
        <v>74</v>
      </c>
      <c r="Q555" t="s">
        <v>74</v>
      </c>
      <c r="R555" t="s">
        <v>74</v>
      </c>
      <c r="S555" t="s">
        <v>74</v>
      </c>
      <c r="T555" t="s">
        <v>10511</v>
      </c>
      <c r="U555" t="s">
        <v>10512</v>
      </c>
      <c r="V555" t="s">
        <v>10513</v>
      </c>
      <c r="W555" t="s">
        <v>10514</v>
      </c>
      <c r="X555" t="s">
        <v>10515</v>
      </c>
      <c r="Y555" t="s">
        <v>10516</v>
      </c>
      <c r="Z555" t="s">
        <v>10517</v>
      </c>
      <c r="AA555" t="s">
        <v>74</v>
      </c>
      <c r="AB555" t="s">
        <v>74</v>
      </c>
      <c r="AC555" t="s">
        <v>10518</v>
      </c>
      <c r="AD555" t="s">
        <v>10519</v>
      </c>
      <c r="AE555" t="s">
        <v>10520</v>
      </c>
      <c r="AF555" t="s">
        <v>74</v>
      </c>
      <c r="AG555">
        <v>43</v>
      </c>
      <c r="AH555">
        <v>0</v>
      </c>
      <c r="AI555">
        <v>0</v>
      </c>
      <c r="AJ555">
        <v>0</v>
      </c>
      <c r="AK555">
        <v>0</v>
      </c>
      <c r="AL555" t="s">
        <v>117</v>
      </c>
      <c r="AM555" t="s">
        <v>118</v>
      </c>
      <c r="AN555" t="s">
        <v>119</v>
      </c>
      <c r="AO555" t="s">
        <v>6933</v>
      </c>
      <c r="AP555" t="s">
        <v>6934</v>
      </c>
      <c r="AQ555" t="s">
        <v>74</v>
      </c>
      <c r="AR555" t="s">
        <v>6935</v>
      </c>
      <c r="AS555" t="s">
        <v>6936</v>
      </c>
      <c r="AT555" t="s">
        <v>8746</v>
      </c>
      <c r="AU555">
        <v>2023</v>
      </c>
      <c r="AV555" t="s">
        <v>74</v>
      </c>
      <c r="AW555" t="s">
        <v>74</v>
      </c>
      <c r="AX555" t="s">
        <v>74</v>
      </c>
      <c r="AY555" t="s">
        <v>74</v>
      </c>
      <c r="AZ555" t="s">
        <v>74</v>
      </c>
      <c r="BA555" t="s">
        <v>74</v>
      </c>
      <c r="BB555" t="s">
        <v>74</v>
      </c>
      <c r="BC555" t="s">
        <v>74</v>
      </c>
      <c r="BD555" t="s">
        <v>74</v>
      </c>
      <c r="BE555" t="s">
        <v>10521</v>
      </c>
      <c r="BF555" t="str">
        <f>HYPERLINK("http://dx.doi.org/10.1245/s10434-023-14009","http://dx.doi.org/10.1245/s10434-023-14009")</f>
        <v>http://dx.doi.org/10.1245/s10434-023-14009</v>
      </c>
      <c r="BG555" t="s">
        <v>74</v>
      </c>
      <c r="BH555" t="s">
        <v>2079</v>
      </c>
      <c r="BI555">
        <v>12</v>
      </c>
      <c r="BJ555" t="s">
        <v>6938</v>
      </c>
      <c r="BK555" t="s">
        <v>126</v>
      </c>
      <c r="BL555" t="s">
        <v>6938</v>
      </c>
      <c r="BM555" t="s">
        <v>10522</v>
      </c>
      <c r="BN555" t="s">
        <v>74</v>
      </c>
      <c r="BO555" t="s">
        <v>74</v>
      </c>
      <c r="BP555" t="s">
        <v>74</v>
      </c>
      <c r="BQ555" t="s">
        <v>74</v>
      </c>
      <c r="BR555" t="s">
        <v>99</v>
      </c>
      <c r="BS555" t="s">
        <v>10523</v>
      </c>
      <c r="BT555" t="str">
        <f>HYPERLINK("https%3A%2F%2Fwww.webofscience.com%2Fwos%2Fwoscc%2Ffull-record%2FWOS:001060201900005","View Full Record in Web of Science")</f>
        <v>View Full Record in Web of Science</v>
      </c>
    </row>
    <row r="556" spans="1:72" x14ac:dyDescent="0.15">
      <c r="A556" t="s">
        <v>72</v>
      </c>
      <c r="B556" t="s">
        <v>10524</v>
      </c>
      <c r="C556" t="s">
        <v>74</v>
      </c>
      <c r="D556" t="s">
        <v>74</v>
      </c>
      <c r="E556" t="s">
        <v>74</v>
      </c>
      <c r="F556" t="s">
        <v>10525</v>
      </c>
      <c r="G556" t="s">
        <v>74</v>
      </c>
      <c r="H556" t="s">
        <v>74</v>
      </c>
      <c r="I556" t="s">
        <v>10526</v>
      </c>
      <c r="J556" t="s">
        <v>6851</v>
      </c>
      <c r="K556" t="s">
        <v>74</v>
      </c>
      <c r="L556" t="s">
        <v>74</v>
      </c>
      <c r="M556" t="s">
        <v>78</v>
      </c>
      <c r="N556" t="s">
        <v>1246</v>
      </c>
      <c r="O556" t="s">
        <v>74</v>
      </c>
      <c r="P556" t="s">
        <v>74</v>
      </c>
      <c r="Q556" t="s">
        <v>74</v>
      </c>
      <c r="R556" t="s">
        <v>74</v>
      </c>
      <c r="S556" t="s">
        <v>74</v>
      </c>
      <c r="T556" t="s">
        <v>10527</v>
      </c>
      <c r="U556" t="s">
        <v>10528</v>
      </c>
      <c r="V556" t="s">
        <v>10529</v>
      </c>
      <c r="W556" t="s">
        <v>10530</v>
      </c>
      <c r="X556" t="s">
        <v>10531</v>
      </c>
      <c r="Y556" t="s">
        <v>10532</v>
      </c>
      <c r="Z556" t="s">
        <v>10533</v>
      </c>
      <c r="AA556" t="s">
        <v>10534</v>
      </c>
      <c r="AB556" t="s">
        <v>10535</v>
      </c>
      <c r="AC556" t="s">
        <v>10536</v>
      </c>
      <c r="AD556" t="s">
        <v>10536</v>
      </c>
      <c r="AE556" t="s">
        <v>10536</v>
      </c>
      <c r="AF556" t="s">
        <v>74</v>
      </c>
      <c r="AG556">
        <v>67</v>
      </c>
      <c r="AH556">
        <v>0</v>
      </c>
      <c r="AI556">
        <v>0</v>
      </c>
      <c r="AJ556">
        <v>5</v>
      </c>
      <c r="AK556">
        <v>5</v>
      </c>
      <c r="AL556" t="s">
        <v>117</v>
      </c>
      <c r="AM556" t="s">
        <v>118</v>
      </c>
      <c r="AN556" t="s">
        <v>119</v>
      </c>
      <c r="AO556" t="s">
        <v>6862</v>
      </c>
      <c r="AP556" t="s">
        <v>6863</v>
      </c>
      <c r="AQ556" t="s">
        <v>74</v>
      </c>
      <c r="AR556" t="s">
        <v>6864</v>
      </c>
      <c r="AS556" t="s">
        <v>6865</v>
      </c>
      <c r="AT556" t="s">
        <v>8746</v>
      </c>
      <c r="AU556">
        <v>2023</v>
      </c>
      <c r="AV556" t="s">
        <v>74</v>
      </c>
      <c r="AW556" t="s">
        <v>74</v>
      </c>
      <c r="AX556" t="s">
        <v>74</v>
      </c>
      <c r="AY556" t="s">
        <v>74</v>
      </c>
      <c r="AZ556" t="s">
        <v>74</v>
      </c>
      <c r="BA556" t="s">
        <v>74</v>
      </c>
      <c r="BB556" t="s">
        <v>74</v>
      </c>
      <c r="BC556" t="s">
        <v>74</v>
      </c>
      <c r="BD556" t="s">
        <v>74</v>
      </c>
      <c r="BE556" t="s">
        <v>10537</v>
      </c>
      <c r="BF556" t="str">
        <f>HYPERLINK("http://dx.doi.org/10.1007/s00432-023-05304","http://dx.doi.org/10.1007/s00432-023-05304")</f>
        <v>http://dx.doi.org/10.1007/s00432-023-05304</v>
      </c>
      <c r="BG556" t="s">
        <v>74</v>
      </c>
      <c r="BH556" t="s">
        <v>2079</v>
      </c>
      <c r="BI556">
        <v>18</v>
      </c>
      <c r="BJ556" t="s">
        <v>1951</v>
      </c>
      <c r="BK556" t="s">
        <v>126</v>
      </c>
      <c r="BL556" t="s">
        <v>1951</v>
      </c>
      <c r="BM556" t="s">
        <v>10538</v>
      </c>
      <c r="BN556" t="s">
        <v>74</v>
      </c>
      <c r="BO556" t="s">
        <v>74</v>
      </c>
      <c r="BP556" t="s">
        <v>74</v>
      </c>
      <c r="BQ556" t="s">
        <v>74</v>
      </c>
      <c r="BR556" t="s">
        <v>99</v>
      </c>
      <c r="BS556" t="s">
        <v>10539</v>
      </c>
      <c r="BT556" t="str">
        <f>HYPERLINK("https%3A%2F%2Fwww.webofscience.com%2Fwos%2Fwoscc%2Ffull-record%2FWOS:001060191100001","View Full Record in Web of Science")</f>
        <v>View Full Record in Web of Science</v>
      </c>
    </row>
    <row r="557" spans="1:72" x14ac:dyDescent="0.15">
      <c r="A557" t="s">
        <v>72</v>
      </c>
      <c r="B557" t="s">
        <v>10540</v>
      </c>
      <c r="C557" t="s">
        <v>74</v>
      </c>
      <c r="D557" t="s">
        <v>74</v>
      </c>
      <c r="E557" t="s">
        <v>74</v>
      </c>
      <c r="F557" t="s">
        <v>10541</v>
      </c>
      <c r="G557" t="s">
        <v>74</v>
      </c>
      <c r="H557" t="s">
        <v>74</v>
      </c>
      <c r="I557" t="s">
        <v>10542</v>
      </c>
      <c r="J557" t="s">
        <v>9468</v>
      </c>
      <c r="K557" t="s">
        <v>74</v>
      </c>
      <c r="L557" t="s">
        <v>74</v>
      </c>
      <c r="M557" t="s">
        <v>78</v>
      </c>
      <c r="N557" t="s">
        <v>79</v>
      </c>
      <c r="O557" t="s">
        <v>74</v>
      </c>
      <c r="P557" t="s">
        <v>74</v>
      </c>
      <c r="Q557" t="s">
        <v>74</v>
      </c>
      <c r="R557" t="s">
        <v>74</v>
      </c>
      <c r="S557" t="s">
        <v>74</v>
      </c>
      <c r="T557" t="s">
        <v>10543</v>
      </c>
      <c r="U557" t="s">
        <v>10544</v>
      </c>
      <c r="V557" t="s">
        <v>10545</v>
      </c>
      <c r="W557" t="s">
        <v>10546</v>
      </c>
      <c r="X557" t="s">
        <v>10547</v>
      </c>
      <c r="Y557" t="s">
        <v>10548</v>
      </c>
      <c r="Z557" t="s">
        <v>10549</v>
      </c>
      <c r="AA557" t="s">
        <v>74</v>
      </c>
      <c r="AB557" t="s">
        <v>74</v>
      </c>
      <c r="AC557" t="s">
        <v>10550</v>
      </c>
      <c r="AD557" t="s">
        <v>10551</v>
      </c>
      <c r="AE557" t="s">
        <v>10552</v>
      </c>
      <c r="AF557" t="s">
        <v>74</v>
      </c>
      <c r="AG557">
        <v>52</v>
      </c>
      <c r="AH557">
        <v>0</v>
      </c>
      <c r="AI557">
        <v>0</v>
      </c>
      <c r="AJ557">
        <v>0</v>
      </c>
      <c r="AK557">
        <v>0</v>
      </c>
      <c r="AL557" t="s">
        <v>117</v>
      </c>
      <c r="AM557" t="s">
        <v>118</v>
      </c>
      <c r="AN557" t="s">
        <v>119</v>
      </c>
      <c r="AO557" t="s">
        <v>9479</v>
      </c>
      <c r="AP557" t="s">
        <v>9480</v>
      </c>
      <c r="AQ557" t="s">
        <v>74</v>
      </c>
      <c r="AR557" t="s">
        <v>9481</v>
      </c>
      <c r="AS557" t="s">
        <v>9482</v>
      </c>
      <c r="AT557" t="s">
        <v>8614</v>
      </c>
      <c r="AU557">
        <v>2023</v>
      </c>
      <c r="AV557">
        <v>205</v>
      </c>
      <c r="AW557">
        <v>9</v>
      </c>
      <c r="AX557" t="s">
        <v>74</v>
      </c>
      <c r="AY557" t="s">
        <v>74</v>
      </c>
      <c r="AZ557" t="s">
        <v>74</v>
      </c>
      <c r="BA557" t="s">
        <v>74</v>
      </c>
      <c r="BB557" t="s">
        <v>74</v>
      </c>
      <c r="BC557" t="s">
        <v>74</v>
      </c>
      <c r="BD557">
        <v>320</v>
      </c>
      <c r="BE557" t="s">
        <v>10553</v>
      </c>
      <c r="BF557" t="str">
        <f>HYPERLINK("http://dx.doi.org/10.1007/s00203-023-03659-w","http://dx.doi.org/10.1007/s00203-023-03659-w")</f>
        <v>http://dx.doi.org/10.1007/s00203-023-03659-w</v>
      </c>
      <c r="BG557" t="s">
        <v>74</v>
      </c>
      <c r="BH557" t="s">
        <v>74</v>
      </c>
      <c r="BI557">
        <v>16</v>
      </c>
      <c r="BJ557" t="s">
        <v>1967</v>
      </c>
      <c r="BK557" t="s">
        <v>126</v>
      </c>
      <c r="BL557" t="s">
        <v>1967</v>
      </c>
      <c r="BM557" t="s">
        <v>10554</v>
      </c>
      <c r="BN557">
        <v>37640972</v>
      </c>
      <c r="BO557" t="s">
        <v>74</v>
      </c>
      <c r="BP557" t="s">
        <v>74</v>
      </c>
      <c r="BQ557" t="s">
        <v>74</v>
      </c>
      <c r="BR557" t="s">
        <v>99</v>
      </c>
      <c r="BS557" t="s">
        <v>10555</v>
      </c>
      <c r="BT557" t="str">
        <f>HYPERLINK("https%3A%2F%2Fwww.webofscience.com%2Fwos%2Fwoscc%2Ffull-record%2FWOS:001056792200001","View Full Record in Web of Science")</f>
        <v>View Full Record in Web of Science</v>
      </c>
    </row>
    <row r="558" spans="1:72" x14ac:dyDescent="0.15">
      <c r="A558" t="s">
        <v>72</v>
      </c>
      <c r="B558" t="s">
        <v>10556</v>
      </c>
      <c r="C558" t="s">
        <v>74</v>
      </c>
      <c r="D558" t="s">
        <v>74</v>
      </c>
      <c r="E558" t="s">
        <v>74</v>
      </c>
      <c r="F558" t="s">
        <v>10557</v>
      </c>
      <c r="G558" t="s">
        <v>74</v>
      </c>
      <c r="H558" t="s">
        <v>74</v>
      </c>
      <c r="I558" t="s">
        <v>10558</v>
      </c>
      <c r="J558" t="s">
        <v>1642</v>
      </c>
      <c r="K558" t="s">
        <v>74</v>
      </c>
      <c r="L558" t="s">
        <v>74</v>
      </c>
      <c r="M558" t="s">
        <v>78</v>
      </c>
      <c r="N558" t="s">
        <v>79</v>
      </c>
      <c r="O558" t="s">
        <v>74</v>
      </c>
      <c r="P558" t="s">
        <v>74</v>
      </c>
      <c r="Q558" t="s">
        <v>74</v>
      </c>
      <c r="R558" t="s">
        <v>74</v>
      </c>
      <c r="S558" t="s">
        <v>74</v>
      </c>
      <c r="T558" t="s">
        <v>10559</v>
      </c>
      <c r="U558" t="s">
        <v>10560</v>
      </c>
      <c r="V558" t="s">
        <v>10561</v>
      </c>
      <c r="W558" t="s">
        <v>10562</v>
      </c>
      <c r="X558" t="s">
        <v>10563</v>
      </c>
      <c r="Y558" t="s">
        <v>10564</v>
      </c>
      <c r="Z558" t="s">
        <v>10565</v>
      </c>
      <c r="AA558" t="s">
        <v>10566</v>
      </c>
      <c r="AB558" t="s">
        <v>10567</v>
      </c>
      <c r="AC558" t="s">
        <v>10568</v>
      </c>
      <c r="AD558" t="s">
        <v>4976</v>
      </c>
      <c r="AE558" t="s">
        <v>10569</v>
      </c>
      <c r="AF558" t="s">
        <v>74</v>
      </c>
      <c r="AG558">
        <v>37</v>
      </c>
      <c r="AH558">
        <v>1</v>
      </c>
      <c r="AI558">
        <v>1</v>
      </c>
      <c r="AJ558">
        <v>13</v>
      </c>
      <c r="AK558">
        <v>13</v>
      </c>
      <c r="AL558" t="s">
        <v>172</v>
      </c>
      <c r="AM558" t="s">
        <v>173</v>
      </c>
      <c r="AN558" t="s">
        <v>174</v>
      </c>
      <c r="AO558" t="s">
        <v>1651</v>
      </c>
      <c r="AP558" t="s">
        <v>1652</v>
      </c>
      <c r="AQ558" t="s">
        <v>74</v>
      </c>
      <c r="AR558" t="s">
        <v>1653</v>
      </c>
      <c r="AS558" t="s">
        <v>1654</v>
      </c>
      <c r="AT558" t="s">
        <v>8614</v>
      </c>
      <c r="AU558">
        <v>2023</v>
      </c>
      <c r="AV558">
        <v>82</v>
      </c>
      <c r="AW558">
        <v>9</v>
      </c>
      <c r="AX558" t="s">
        <v>74</v>
      </c>
      <c r="AY558" t="s">
        <v>74</v>
      </c>
      <c r="AZ558" t="s">
        <v>74</v>
      </c>
      <c r="BA558" t="s">
        <v>74</v>
      </c>
      <c r="BB558" t="s">
        <v>74</v>
      </c>
      <c r="BC558" t="s">
        <v>74</v>
      </c>
      <c r="BD558">
        <v>343</v>
      </c>
      <c r="BE558" t="s">
        <v>10570</v>
      </c>
      <c r="BF558" t="str">
        <f>HYPERLINK("http://dx.doi.org/10.1007/s10064-023-03375-1","http://dx.doi.org/10.1007/s10064-023-03375-1")</f>
        <v>http://dx.doi.org/10.1007/s10064-023-03375-1</v>
      </c>
      <c r="BG558" t="s">
        <v>74</v>
      </c>
      <c r="BH558" t="s">
        <v>74</v>
      </c>
      <c r="BI558">
        <v>19</v>
      </c>
      <c r="BJ558" t="s">
        <v>1656</v>
      </c>
      <c r="BK558" t="s">
        <v>126</v>
      </c>
      <c r="BL558" t="s">
        <v>1657</v>
      </c>
      <c r="BM558" t="s">
        <v>10571</v>
      </c>
      <c r="BN558" t="s">
        <v>74</v>
      </c>
      <c r="BO558" t="s">
        <v>74</v>
      </c>
      <c r="BP558" t="s">
        <v>74</v>
      </c>
      <c r="BQ558" t="s">
        <v>74</v>
      </c>
      <c r="BR558" t="s">
        <v>99</v>
      </c>
      <c r="BS558" t="s">
        <v>10572</v>
      </c>
      <c r="BT558" t="str">
        <f>HYPERLINK("https%3A%2F%2Fwww.webofscience.com%2Fwos%2Fwoscc%2Ffull-record%2FWOS:001042766500003","View Full Record in Web of Science")</f>
        <v>View Full Record in Web of Science</v>
      </c>
    </row>
    <row r="559" spans="1:72" x14ac:dyDescent="0.15">
      <c r="A559" t="s">
        <v>72</v>
      </c>
      <c r="B559" t="s">
        <v>10573</v>
      </c>
      <c r="C559" t="s">
        <v>74</v>
      </c>
      <c r="D559" t="s">
        <v>74</v>
      </c>
      <c r="E559" t="s">
        <v>74</v>
      </c>
      <c r="F559" t="s">
        <v>10574</v>
      </c>
      <c r="G559" t="s">
        <v>74</v>
      </c>
      <c r="H559" t="s">
        <v>74</v>
      </c>
      <c r="I559" t="s">
        <v>10575</v>
      </c>
      <c r="J559" t="s">
        <v>9402</v>
      </c>
      <c r="K559" t="s">
        <v>74</v>
      </c>
      <c r="L559" t="s">
        <v>74</v>
      </c>
      <c r="M559" t="s">
        <v>78</v>
      </c>
      <c r="N559" t="s">
        <v>79</v>
      </c>
      <c r="O559" t="s">
        <v>74</v>
      </c>
      <c r="P559" t="s">
        <v>74</v>
      </c>
      <c r="Q559" t="s">
        <v>74</v>
      </c>
      <c r="R559" t="s">
        <v>74</v>
      </c>
      <c r="S559" t="s">
        <v>74</v>
      </c>
      <c r="T559" t="s">
        <v>10576</v>
      </c>
      <c r="U559" t="s">
        <v>10577</v>
      </c>
      <c r="V559" t="s">
        <v>10578</v>
      </c>
      <c r="W559" t="s">
        <v>10579</v>
      </c>
      <c r="X559" t="s">
        <v>7951</v>
      </c>
      <c r="Y559" t="s">
        <v>10580</v>
      </c>
      <c r="Z559" t="s">
        <v>10581</v>
      </c>
      <c r="AA559" t="s">
        <v>74</v>
      </c>
      <c r="AB559" t="s">
        <v>74</v>
      </c>
      <c r="AC559" t="s">
        <v>10582</v>
      </c>
      <c r="AD559" t="s">
        <v>10583</v>
      </c>
      <c r="AE559" t="s">
        <v>10584</v>
      </c>
      <c r="AF559" t="s">
        <v>74</v>
      </c>
      <c r="AG559">
        <v>38</v>
      </c>
      <c r="AH559">
        <v>0</v>
      </c>
      <c r="AI559">
        <v>0</v>
      </c>
      <c r="AJ559">
        <v>1</v>
      </c>
      <c r="AK559">
        <v>1</v>
      </c>
      <c r="AL559" t="s">
        <v>117</v>
      </c>
      <c r="AM559" t="s">
        <v>118</v>
      </c>
      <c r="AN559" t="s">
        <v>119</v>
      </c>
      <c r="AO559" t="s">
        <v>9413</v>
      </c>
      <c r="AP559" t="s">
        <v>9414</v>
      </c>
      <c r="AQ559" t="s">
        <v>74</v>
      </c>
      <c r="AR559" t="s">
        <v>9415</v>
      </c>
      <c r="AS559" t="s">
        <v>9416</v>
      </c>
      <c r="AT559" t="s">
        <v>8614</v>
      </c>
      <c r="AU559">
        <v>2023</v>
      </c>
      <c r="AV559">
        <v>30</v>
      </c>
      <c r="AW559">
        <v>9</v>
      </c>
      <c r="AX559" t="s">
        <v>74</v>
      </c>
      <c r="AY559" t="s">
        <v>74</v>
      </c>
      <c r="AZ559" t="s">
        <v>74</v>
      </c>
      <c r="BA559" t="s">
        <v>74</v>
      </c>
      <c r="BB559">
        <v>1705</v>
      </c>
      <c r="BC559">
        <v>1715</v>
      </c>
      <c r="BD559" t="s">
        <v>74</v>
      </c>
      <c r="BE559" t="s">
        <v>10585</v>
      </c>
      <c r="BF559" t="str">
        <f>HYPERLINK("http://dx.doi.org/10.1007/s12613-023-2628-3","http://dx.doi.org/10.1007/s12613-023-2628-3")</f>
        <v>http://dx.doi.org/10.1007/s12613-023-2628-3</v>
      </c>
      <c r="BG559" t="s">
        <v>74</v>
      </c>
      <c r="BH559" t="s">
        <v>74</v>
      </c>
      <c r="BI559">
        <v>11</v>
      </c>
      <c r="BJ559" t="s">
        <v>9418</v>
      </c>
      <c r="BK559" t="s">
        <v>126</v>
      </c>
      <c r="BL559" t="s">
        <v>9419</v>
      </c>
      <c r="BM559" t="s">
        <v>9420</v>
      </c>
      <c r="BN559" t="s">
        <v>74</v>
      </c>
      <c r="BO559" t="s">
        <v>74</v>
      </c>
      <c r="BP559" t="s">
        <v>74</v>
      </c>
      <c r="BQ559" t="s">
        <v>74</v>
      </c>
      <c r="BR559" t="s">
        <v>99</v>
      </c>
      <c r="BS559" t="s">
        <v>10586</v>
      </c>
      <c r="BT559" t="str">
        <f>HYPERLINK("https%3A%2F%2Fwww.webofscience.com%2Fwos%2Fwoscc%2Ffull-record%2FWOS:001054759000007","View Full Record in Web of Science")</f>
        <v>View Full Record in Web of Science</v>
      </c>
    </row>
    <row r="560" spans="1:72" x14ac:dyDescent="0.15">
      <c r="A560" t="s">
        <v>72</v>
      </c>
      <c r="B560" t="s">
        <v>10587</v>
      </c>
      <c r="C560" t="s">
        <v>74</v>
      </c>
      <c r="D560" t="s">
        <v>74</v>
      </c>
      <c r="E560" t="s">
        <v>74</v>
      </c>
      <c r="F560" t="s">
        <v>10588</v>
      </c>
      <c r="G560" t="s">
        <v>74</v>
      </c>
      <c r="H560" t="s">
        <v>74</v>
      </c>
      <c r="I560" t="s">
        <v>10589</v>
      </c>
      <c r="J560" t="s">
        <v>10590</v>
      </c>
      <c r="K560" t="s">
        <v>74</v>
      </c>
      <c r="L560" t="s">
        <v>74</v>
      </c>
      <c r="M560" t="s">
        <v>78</v>
      </c>
      <c r="N560" t="s">
        <v>79</v>
      </c>
      <c r="O560" t="s">
        <v>74</v>
      </c>
      <c r="P560" t="s">
        <v>74</v>
      </c>
      <c r="Q560" t="s">
        <v>74</v>
      </c>
      <c r="R560" t="s">
        <v>74</v>
      </c>
      <c r="S560" t="s">
        <v>74</v>
      </c>
      <c r="T560" t="s">
        <v>10591</v>
      </c>
      <c r="U560" t="s">
        <v>10592</v>
      </c>
      <c r="V560" t="s">
        <v>10593</v>
      </c>
      <c r="W560" t="s">
        <v>10594</v>
      </c>
      <c r="X560" t="s">
        <v>10595</v>
      </c>
      <c r="Y560" t="s">
        <v>10596</v>
      </c>
      <c r="Z560" t="s">
        <v>10597</v>
      </c>
      <c r="AA560" t="s">
        <v>74</v>
      </c>
      <c r="AB560" t="s">
        <v>74</v>
      </c>
      <c r="AC560" t="s">
        <v>10598</v>
      </c>
      <c r="AD560" t="s">
        <v>10599</v>
      </c>
      <c r="AE560" t="s">
        <v>10600</v>
      </c>
      <c r="AF560" t="s">
        <v>74</v>
      </c>
      <c r="AG560">
        <v>37</v>
      </c>
      <c r="AH560">
        <v>0</v>
      </c>
      <c r="AI560">
        <v>0</v>
      </c>
      <c r="AJ560">
        <v>6</v>
      </c>
      <c r="AK560">
        <v>6</v>
      </c>
      <c r="AL560" t="s">
        <v>172</v>
      </c>
      <c r="AM560" t="s">
        <v>173</v>
      </c>
      <c r="AN560" t="s">
        <v>174</v>
      </c>
      <c r="AO560" t="s">
        <v>10601</v>
      </c>
      <c r="AP560" t="s">
        <v>10602</v>
      </c>
      <c r="AQ560" t="s">
        <v>74</v>
      </c>
      <c r="AR560" t="s">
        <v>10603</v>
      </c>
      <c r="AS560" t="s">
        <v>10604</v>
      </c>
      <c r="AT560" t="s">
        <v>8614</v>
      </c>
      <c r="AU560">
        <v>2023</v>
      </c>
      <c r="AV560">
        <v>39</v>
      </c>
      <c r="AW560">
        <v>9</v>
      </c>
      <c r="AX560" t="s">
        <v>74</v>
      </c>
      <c r="AY560" t="s">
        <v>74</v>
      </c>
      <c r="AZ560" t="s">
        <v>74</v>
      </c>
      <c r="BA560" t="s">
        <v>74</v>
      </c>
      <c r="BB560" t="s">
        <v>74</v>
      </c>
      <c r="BC560" t="s">
        <v>74</v>
      </c>
      <c r="BD560">
        <v>322495</v>
      </c>
      <c r="BE560" t="s">
        <v>10605</v>
      </c>
      <c r="BF560" t="str">
        <f>HYPERLINK("http://dx.doi.org/10.1007/s10409-023-22495-x","http://dx.doi.org/10.1007/s10409-023-22495-x")</f>
        <v>http://dx.doi.org/10.1007/s10409-023-22495-x</v>
      </c>
      <c r="BG560" t="s">
        <v>74</v>
      </c>
      <c r="BH560" t="s">
        <v>74</v>
      </c>
      <c r="BI560">
        <v>14</v>
      </c>
      <c r="BJ560" t="s">
        <v>4018</v>
      </c>
      <c r="BK560" t="s">
        <v>126</v>
      </c>
      <c r="BL560" t="s">
        <v>4019</v>
      </c>
      <c r="BM560" t="s">
        <v>10606</v>
      </c>
      <c r="BN560" t="s">
        <v>74</v>
      </c>
      <c r="BO560" t="s">
        <v>74</v>
      </c>
      <c r="BP560" t="s">
        <v>74</v>
      </c>
      <c r="BQ560" t="s">
        <v>74</v>
      </c>
      <c r="BR560" t="s">
        <v>99</v>
      </c>
      <c r="BS560" t="s">
        <v>10607</v>
      </c>
      <c r="BT560" t="str">
        <f>HYPERLINK("https%3A%2F%2Fwww.webofscience.com%2Fwos%2Fwoscc%2Ffull-record%2FWOS:001004816600004","View Full Record in Web of Science")</f>
        <v>View Full Record in Web of Science</v>
      </c>
    </row>
    <row r="561" spans="1:72" x14ac:dyDescent="0.15">
      <c r="A561" t="s">
        <v>72</v>
      </c>
      <c r="B561" t="s">
        <v>10608</v>
      </c>
      <c r="C561" t="s">
        <v>74</v>
      </c>
      <c r="D561" t="s">
        <v>74</v>
      </c>
      <c r="E561" t="s">
        <v>74</v>
      </c>
      <c r="F561" t="s">
        <v>10609</v>
      </c>
      <c r="G561" t="s">
        <v>74</v>
      </c>
      <c r="H561" t="s">
        <v>74</v>
      </c>
      <c r="I561" t="s">
        <v>10610</v>
      </c>
      <c r="J561" t="s">
        <v>10611</v>
      </c>
      <c r="K561" t="s">
        <v>74</v>
      </c>
      <c r="L561" t="s">
        <v>74</v>
      </c>
      <c r="M561" t="s">
        <v>78</v>
      </c>
      <c r="N561" t="s">
        <v>79</v>
      </c>
      <c r="O561" t="s">
        <v>74</v>
      </c>
      <c r="P561" t="s">
        <v>74</v>
      </c>
      <c r="Q561" t="s">
        <v>74</v>
      </c>
      <c r="R561" t="s">
        <v>74</v>
      </c>
      <c r="S561" t="s">
        <v>74</v>
      </c>
      <c r="T561" t="s">
        <v>10612</v>
      </c>
      <c r="U561" t="s">
        <v>10613</v>
      </c>
      <c r="V561" t="s">
        <v>10614</v>
      </c>
      <c r="W561" t="s">
        <v>10615</v>
      </c>
      <c r="X561" t="s">
        <v>10616</v>
      </c>
      <c r="Y561" t="s">
        <v>10617</v>
      </c>
      <c r="Z561" t="s">
        <v>10618</v>
      </c>
      <c r="AA561" t="s">
        <v>74</v>
      </c>
      <c r="AB561" t="s">
        <v>74</v>
      </c>
      <c r="AC561" t="s">
        <v>10619</v>
      </c>
      <c r="AD561" t="s">
        <v>10620</v>
      </c>
      <c r="AE561" t="s">
        <v>10621</v>
      </c>
      <c r="AF561" t="s">
        <v>74</v>
      </c>
      <c r="AG561">
        <v>87</v>
      </c>
      <c r="AH561">
        <v>0</v>
      </c>
      <c r="AI561">
        <v>0</v>
      </c>
      <c r="AJ561">
        <v>1</v>
      </c>
      <c r="AK561">
        <v>1</v>
      </c>
      <c r="AL561" t="s">
        <v>844</v>
      </c>
      <c r="AM561" t="s">
        <v>845</v>
      </c>
      <c r="AN561" t="s">
        <v>933</v>
      </c>
      <c r="AO561" t="s">
        <v>10622</v>
      </c>
      <c r="AP561" t="s">
        <v>10623</v>
      </c>
      <c r="AQ561" t="s">
        <v>74</v>
      </c>
      <c r="AR561" t="s">
        <v>10624</v>
      </c>
      <c r="AS561" t="s">
        <v>10625</v>
      </c>
      <c r="AT561" t="s">
        <v>8614</v>
      </c>
      <c r="AU561">
        <v>2023</v>
      </c>
      <c r="AV561">
        <v>34</v>
      </c>
      <c r="AW561">
        <v>9</v>
      </c>
      <c r="AX561" t="s">
        <v>74</v>
      </c>
      <c r="AY561" t="s">
        <v>74</v>
      </c>
      <c r="AZ561" t="s">
        <v>74</v>
      </c>
      <c r="BA561" t="s">
        <v>74</v>
      </c>
      <c r="BB561" t="s">
        <v>74</v>
      </c>
      <c r="BC561" t="s">
        <v>74</v>
      </c>
      <c r="BD561">
        <v>130</v>
      </c>
      <c r="BE561" t="s">
        <v>10626</v>
      </c>
      <c r="BF561" t="str">
        <f>HYPERLINK("http://dx.doi.org/10.1007/s41365-023-01268-2","http://dx.doi.org/10.1007/s41365-023-01268-2")</f>
        <v>http://dx.doi.org/10.1007/s41365-023-01268-2</v>
      </c>
      <c r="BG561" t="s">
        <v>74</v>
      </c>
      <c r="BH561" t="s">
        <v>74</v>
      </c>
      <c r="BI561">
        <v>7</v>
      </c>
      <c r="BJ561" t="s">
        <v>10627</v>
      </c>
      <c r="BK561" t="s">
        <v>126</v>
      </c>
      <c r="BL561" t="s">
        <v>10628</v>
      </c>
      <c r="BM561" t="s">
        <v>10629</v>
      </c>
      <c r="BN561" t="s">
        <v>74</v>
      </c>
      <c r="BO561" t="s">
        <v>74</v>
      </c>
      <c r="BP561" t="s">
        <v>74</v>
      </c>
      <c r="BQ561" t="s">
        <v>74</v>
      </c>
      <c r="BR561" t="s">
        <v>99</v>
      </c>
      <c r="BS561" t="s">
        <v>10630</v>
      </c>
      <c r="BT561" t="str">
        <f>HYPERLINK("https%3A%2F%2Fwww.webofscience.com%2Fwos%2Fwoscc%2Ffull-record%2FWOS:001061592500001","View Full Record in Web of Science")</f>
        <v>View Full Record in Web of Science</v>
      </c>
    </row>
    <row r="562" spans="1:72" x14ac:dyDescent="0.15">
      <c r="A562" t="s">
        <v>72</v>
      </c>
      <c r="B562" t="s">
        <v>10631</v>
      </c>
      <c r="C562" t="s">
        <v>74</v>
      </c>
      <c r="D562" t="s">
        <v>74</v>
      </c>
      <c r="E562" t="s">
        <v>74</v>
      </c>
      <c r="F562" t="s">
        <v>10632</v>
      </c>
      <c r="G562" t="s">
        <v>74</v>
      </c>
      <c r="H562" t="s">
        <v>74</v>
      </c>
      <c r="I562" t="s">
        <v>10633</v>
      </c>
      <c r="J562" t="s">
        <v>10634</v>
      </c>
      <c r="K562" t="s">
        <v>74</v>
      </c>
      <c r="L562" t="s">
        <v>74</v>
      </c>
      <c r="M562" t="s">
        <v>78</v>
      </c>
      <c r="N562" t="s">
        <v>2174</v>
      </c>
      <c r="O562" t="s">
        <v>74</v>
      </c>
      <c r="P562" t="s">
        <v>74</v>
      </c>
      <c r="Q562" t="s">
        <v>74</v>
      </c>
      <c r="R562" t="s">
        <v>74</v>
      </c>
      <c r="S562" t="s">
        <v>74</v>
      </c>
      <c r="T562" t="s">
        <v>10635</v>
      </c>
      <c r="U562" t="s">
        <v>10636</v>
      </c>
      <c r="V562" t="s">
        <v>10637</v>
      </c>
      <c r="W562" t="s">
        <v>10638</v>
      </c>
      <c r="X562" t="s">
        <v>10639</v>
      </c>
      <c r="Y562" t="s">
        <v>10640</v>
      </c>
      <c r="Z562" t="s">
        <v>10641</v>
      </c>
      <c r="AA562" t="s">
        <v>74</v>
      </c>
      <c r="AB562" t="s">
        <v>74</v>
      </c>
      <c r="AC562" t="s">
        <v>10642</v>
      </c>
      <c r="AD562" t="s">
        <v>10642</v>
      </c>
      <c r="AE562" t="s">
        <v>10643</v>
      </c>
      <c r="AF562" t="s">
        <v>74</v>
      </c>
      <c r="AG562">
        <v>92</v>
      </c>
      <c r="AH562">
        <v>0</v>
      </c>
      <c r="AI562">
        <v>0</v>
      </c>
      <c r="AJ562">
        <v>0</v>
      </c>
      <c r="AK562">
        <v>0</v>
      </c>
      <c r="AL562" t="s">
        <v>317</v>
      </c>
      <c r="AM562" t="s">
        <v>245</v>
      </c>
      <c r="AN562" t="s">
        <v>318</v>
      </c>
      <c r="AO562" t="s">
        <v>10644</v>
      </c>
      <c r="AP562" t="s">
        <v>10645</v>
      </c>
      <c r="AQ562" t="s">
        <v>74</v>
      </c>
      <c r="AR562" t="s">
        <v>10646</v>
      </c>
      <c r="AS562" t="s">
        <v>10647</v>
      </c>
      <c r="AT562" t="s">
        <v>10648</v>
      </c>
      <c r="AU562">
        <v>2023</v>
      </c>
      <c r="AV562" t="s">
        <v>74</v>
      </c>
      <c r="AW562" t="s">
        <v>74</v>
      </c>
      <c r="AX562" t="s">
        <v>74</v>
      </c>
      <c r="AY562" t="s">
        <v>74</v>
      </c>
      <c r="AZ562" t="s">
        <v>74</v>
      </c>
      <c r="BA562" t="s">
        <v>74</v>
      </c>
      <c r="BB562" t="s">
        <v>74</v>
      </c>
      <c r="BC562" t="s">
        <v>74</v>
      </c>
      <c r="BD562" t="s">
        <v>74</v>
      </c>
      <c r="BE562" t="s">
        <v>10649</v>
      </c>
      <c r="BF562" t="str">
        <f>HYPERLINK("http://dx.doi.org/10.1007/s43450-023-00450-2","http://dx.doi.org/10.1007/s43450-023-00450-2")</f>
        <v>http://dx.doi.org/10.1007/s43450-023-00450-2</v>
      </c>
      <c r="BG562" t="s">
        <v>74</v>
      </c>
      <c r="BH562" t="s">
        <v>10650</v>
      </c>
      <c r="BI562">
        <v>15</v>
      </c>
      <c r="BJ562" t="s">
        <v>10651</v>
      </c>
      <c r="BK562" t="s">
        <v>126</v>
      </c>
      <c r="BL562" t="s">
        <v>1038</v>
      </c>
      <c r="BM562" t="s">
        <v>10652</v>
      </c>
      <c r="BN562" t="s">
        <v>74</v>
      </c>
      <c r="BO562" t="s">
        <v>74</v>
      </c>
      <c r="BP562" t="s">
        <v>74</v>
      </c>
      <c r="BQ562" t="s">
        <v>74</v>
      </c>
      <c r="BR562" t="s">
        <v>99</v>
      </c>
      <c r="BS562" t="s">
        <v>10653</v>
      </c>
      <c r="BT562" t="str">
        <f>HYPERLINK("https%3A%2F%2Fwww.webofscience.com%2Fwos%2Fwoscc%2Ffull-record%2FWOS:001061894600001","View Full Record in Web of Science")</f>
        <v>View Full Record in Web of Science</v>
      </c>
    </row>
    <row r="563" spans="1:72" x14ac:dyDescent="0.15">
      <c r="A563" t="s">
        <v>72</v>
      </c>
      <c r="B563" t="s">
        <v>10654</v>
      </c>
      <c r="C563" t="s">
        <v>74</v>
      </c>
      <c r="D563" t="s">
        <v>74</v>
      </c>
      <c r="E563" t="s">
        <v>74</v>
      </c>
      <c r="F563" t="s">
        <v>10655</v>
      </c>
      <c r="G563" t="s">
        <v>74</v>
      </c>
      <c r="H563" t="s">
        <v>74</v>
      </c>
      <c r="I563" t="s">
        <v>10656</v>
      </c>
      <c r="J563" t="s">
        <v>2173</v>
      </c>
      <c r="K563" t="s">
        <v>74</v>
      </c>
      <c r="L563" t="s">
        <v>74</v>
      </c>
      <c r="M563" t="s">
        <v>78</v>
      </c>
      <c r="N563" t="s">
        <v>1246</v>
      </c>
      <c r="O563" t="s">
        <v>74</v>
      </c>
      <c r="P563" t="s">
        <v>74</v>
      </c>
      <c r="Q563" t="s">
        <v>74</v>
      </c>
      <c r="R563" t="s">
        <v>74</v>
      </c>
      <c r="S563" t="s">
        <v>74</v>
      </c>
      <c r="T563" t="s">
        <v>10657</v>
      </c>
      <c r="U563" t="s">
        <v>10658</v>
      </c>
      <c r="V563" t="s">
        <v>10659</v>
      </c>
      <c r="W563" t="s">
        <v>10660</v>
      </c>
      <c r="X563" t="s">
        <v>2814</v>
      </c>
      <c r="Y563" t="s">
        <v>10661</v>
      </c>
      <c r="Z563" t="s">
        <v>10662</v>
      </c>
      <c r="AA563" t="s">
        <v>74</v>
      </c>
      <c r="AB563" t="s">
        <v>74</v>
      </c>
      <c r="AC563" t="s">
        <v>74</v>
      </c>
      <c r="AD563" t="s">
        <v>74</v>
      </c>
      <c r="AE563" t="s">
        <v>74</v>
      </c>
      <c r="AF563" t="s">
        <v>74</v>
      </c>
      <c r="AG563">
        <v>58</v>
      </c>
      <c r="AH563">
        <v>0</v>
      </c>
      <c r="AI563">
        <v>0</v>
      </c>
      <c r="AJ563">
        <v>1</v>
      </c>
      <c r="AK563">
        <v>1</v>
      </c>
      <c r="AL563" t="s">
        <v>172</v>
      </c>
      <c r="AM563" t="s">
        <v>173</v>
      </c>
      <c r="AN563" t="s">
        <v>174</v>
      </c>
      <c r="AO563" t="s">
        <v>2185</v>
      </c>
      <c r="AP563" t="s">
        <v>2186</v>
      </c>
      <c r="AQ563" t="s">
        <v>74</v>
      </c>
      <c r="AR563" t="s">
        <v>2187</v>
      </c>
      <c r="AS563" t="s">
        <v>2188</v>
      </c>
      <c r="AT563" t="s">
        <v>10648</v>
      </c>
      <c r="AU563">
        <v>2023</v>
      </c>
      <c r="AV563" t="s">
        <v>74</v>
      </c>
      <c r="AW563" t="s">
        <v>74</v>
      </c>
      <c r="AX563" t="s">
        <v>74</v>
      </c>
      <c r="AY563" t="s">
        <v>74</v>
      </c>
      <c r="AZ563" t="s">
        <v>74</v>
      </c>
      <c r="BA563" t="s">
        <v>74</v>
      </c>
      <c r="BB563" t="s">
        <v>74</v>
      </c>
      <c r="BC563" t="s">
        <v>74</v>
      </c>
      <c r="BD563" t="s">
        <v>10663</v>
      </c>
      <c r="BE563" t="s">
        <v>10664</v>
      </c>
      <c r="BF563" t="str">
        <f>HYPERLINK("http://dx.doi.org/10.1007/s12145-023-01052-1","http://dx.doi.org/10.1007/s12145-023-01052-1")</f>
        <v>http://dx.doi.org/10.1007/s12145-023-01052-1</v>
      </c>
      <c r="BG563" t="s">
        <v>74</v>
      </c>
      <c r="BH563" t="s">
        <v>10650</v>
      </c>
      <c r="BI563">
        <v>15</v>
      </c>
      <c r="BJ563" t="s">
        <v>2190</v>
      </c>
      <c r="BK563" t="s">
        <v>126</v>
      </c>
      <c r="BL563" t="s">
        <v>2191</v>
      </c>
      <c r="BM563" t="s">
        <v>10665</v>
      </c>
      <c r="BN563" t="s">
        <v>74</v>
      </c>
      <c r="BO563" t="s">
        <v>74</v>
      </c>
      <c r="BP563" t="s">
        <v>74</v>
      </c>
      <c r="BQ563" t="s">
        <v>74</v>
      </c>
      <c r="BR563" t="s">
        <v>99</v>
      </c>
      <c r="BS563" t="s">
        <v>10666</v>
      </c>
      <c r="BT563" t="str">
        <f>HYPERLINK("https%3A%2F%2Fwww.webofscience.com%2Fwos%2Fwoscc%2Ffull-record%2FWOS:001062555000001","View Full Record in Web of Science")</f>
        <v>View Full Record in Web of Science</v>
      </c>
    </row>
    <row r="564" spans="1:72" x14ac:dyDescent="0.15">
      <c r="A564" t="s">
        <v>72</v>
      </c>
      <c r="B564" t="s">
        <v>10667</v>
      </c>
      <c r="C564" t="s">
        <v>74</v>
      </c>
      <c r="D564" t="s">
        <v>74</v>
      </c>
      <c r="E564" t="s">
        <v>74</v>
      </c>
      <c r="F564" t="s">
        <v>10668</v>
      </c>
      <c r="G564" t="s">
        <v>74</v>
      </c>
      <c r="H564" t="s">
        <v>74</v>
      </c>
      <c r="I564" t="s">
        <v>10669</v>
      </c>
      <c r="J564" t="s">
        <v>10670</v>
      </c>
      <c r="K564" t="s">
        <v>74</v>
      </c>
      <c r="L564" t="s">
        <v>74</v>
      </c>
      <c r="M564" t="s">
        <v>78</v>
      </c>
      <c r="N564" t="s">
        <v>79</v>
      </c>
      <c r="O564" t="s">
        <v>74</v>
      </c>
      <c r="P564" t="s">
        <v>74</v>
      </c>
      <c r="Q564" t="s">
        <v>74</v>
      </c>
      <c r="R564" t="s">
        <v>74</v>
      </c>
      <c r="S564" t="s">
        <v>74</v>
      </c>
      <c r="T564" t="s">
        <v>10671</v>
      </c>
      <c r="U564" t="s">
        <v>10672</v>
      </c>
      <c r="V564" t="s">
        <v>10673</v>
      </c>
      <c r="W564" t="s">
        <v>10674</v>
      </c>
      <c r="X564" t="s">
        <v>10675</v>
      </c>
      <c r="Y564" t="s">
        <v>10676</v>
      </c>
      <c r="Z564" t="s">
        <v>10677</v>
      </c>
      <c r="AA564" t="s">
        <v>74</v>
      </c>
      <c r="AB564" t="s">
        <v>74</v>
      </c>
      <c r="AC564" t="s">
        <v>932</v>
      </c>
      <c r="AD564" t="s">
        <v>932</v>
      </c>
      <c r="AE564" t="s">
        <v>932</v>
      </c>
      <c r="AF564" t="s">
        <v>74</v>
      </c>
      <c r="AG564">
        <v>53</v>
      </c>
      <c r="AH564">
        <v>0</v>
      </c>
      <c r="AI564">
        <v>0</v>
      </c>
      <c r="AJ564">
        <v>2</v>
      </c>
      <c r="AK564">
        <v>2</v>
      </c>
      <c r="AL564" t="s">
        <v>443</v>
      </c>
      <c r="AM564" t="s">
        <v>245</v>
      </c>
      <c r="AN564" t="s">
        <v>444</v>
      </c>
      <c r="AO564" t="s">
        <v>74</v>
      </c>
      <c r="AP564" t="s">
        <v>10678</v>
      </c>
      <c r="AQ564" t="s">
        <v>74</v>
      </c>
      <c r="AR564" t="s">
        <v>10679</v>
      </c>
      <c r="AS564" t="s">
        <v>10680</v>
      </c>
      <c r="AT564" t="s">
        <v>10681</v>
      </c>
      <c r="AU564">
        <v>2023</v>
      </c>
      <c r="AV564">
        <v>23</v>
      </c>
      <c r="AW564">
        <v>1</v>
      </c>
      <c r="AX564" t="s">
        <v>74</v>
      </c>
      <c r="AY564" t="s">
        <v>74</v>
      </c>
      <c r="AZ564" t="s">
        <v>74</v>
      </c>
      <c r="BA564" t="s">
        <v>74</v>
      </c>
      <c r="BB564" t="s">
        <v>74</v>
      </c>
      <c r="BC564" t="s">
        <v>74</v>
      </c>
      <c r="BD564">
        <v>627</v>
      </c>
      <c r="BE564" t="s">
        <v>10682</v>
      </c>
      <c r="BF564" t="str">
        <f>HYPERLINK("http://dx.doi.org/10.1186/s12884-023-05938-2","http://dx.doi.org/10.1186/s12884-023-05938-2")</f>
        <v>http://dx.doi.org/10.1186/s12884-023-05938-2</v>
      </c>
      <c r="BG564" t="s">
        <v>74</v>
      </c>
      <c r="BH564" t="s">
        <v>74</v>
      </c>
      <c r="BI564">
        <v>7</v>
      </c>
      <c r="BJ564" t="s">
        <v>96</v>
      </c>
      <c r="BK564" t="s">
        <v>126</v>
      </c>
      <c r="BL564" t="s">
        <v>96</v>
      </c>
      <c r="BM564" t="s">
        <v>10683</v>
      </c>
      <c r="BN564">
        <v>37653488</v>
      </c>
      <c r="BO564" t="s">
        <v>302</v>
      </c>
      <c r="BP564" t="s">
        <v>74</v>
      </c>
      <c r="BQ564" t="s">
        <v>74</v>
      </c>
      <c r="BR564" t="s">
        <v>99</v>
      </c>
      <c r="BS564" t="s">
        <v>10684</v>
      </c>
      <c r="BT564" t="str">
        <f>HYPERLINK("https%3A%2F%2Fwww.webofscience.com%2Fwos%2Fwoscc%2Ffull-record%2FWOS:001059559100001","View Full Record in Web of Science")</f>
        <v>View Full Record in Web of Science</v>
      </c>
    </row>
    <row r="565" spans="1:72" x14ac:dyDescent="0.15">
      <c r="A565" t="s">
        <v>72</v>
      </c>
      <c r="B565" t="s">
        <v>10685</v>
      </c>
      <c r="C565" t="s">
        <v>74</v>
      </c>
      <c r="D565" t="s">
        <v>74</v>
      </c>
      <c r="E565" t="s">
        <v>74</v>
      </c>
      <c r="F565" t="s">
        <v>10686</v>
      </c>
      <c r="G565" t="s">
        <v>74</v>
      </c>
      <c r="H565" t="s">
        <v>74</v>
      </c>
      <c r="I565" t="s">
        <v>10687</v>
      </c>
      <c r="J565" t="s">
        <v>6175</v>
      </c>
      <c r="K565" t="s">
        <v>74</v>
      </c>
      <c r="L565" t="s">
        <v>74</v>
      </c>
      <c r="M565" t="s">
        <v>78</v>
      </c>
      <c r="N565" t="s">
        <v>1246</v>
      </c>
      <c r="O565" t="s">
        <v>74</v>
      </c>
      <c r="P565" t="s">
        <v>74</v>
      </c>
      <c r="Q565" t="s">
        <v>74</v>
      </c>
      <c r="R565" t="s">
        <v>74</v>
      </c>
      <c r="S565" t="s">
        <v>74</v>
      </c>
      <c r="T565" t="s">
        <v>74</v>
      </c>
      <c r="U565" t="s">
        <v>10688</v>
      </c>
      <c r="V565" t="s">
        <v>74</v>
      </c>
      <c r="W565" t="s">
        <v>10689</v>
      </c>
      <c r="X565" t="s">
        <v>10690</v>
      </c>
      <c r="Y565" t="s">
        <v>10691</v>
      </c>
      <c r="Z565" t="s">
        <v>10692</v>
      </c>
      <c r="AA565" t="s">
        <v>74</v>
      </c>
      <c r="AB565" t="s">
        <v>10693</v>
      </c>
      <c r="AC565" t="s">
        <v>10694</v>
      </c>
      <c r="AD565" t="s">
        <v>10694</v>
      </c>
      <c r="AE565" t="s">
        <v>10695</v>
      </c>
      <c r="AF565" t="s">
        <v>74</v>
      </c>
      <c r="AG565">
        <v>8</v>
      </c>
      <c r="AH565">
        <v>0</v>
      </c>
      <c r="AI565">
        <v>0</v>
      </c>
      <c r="AJ565">
        <v>0</v>
      </c>
      <c r="AK565">
        <v>0</v>
      </c>
      <c r="AL565" t="s">
        <v>317</v>
      </c>
      <c r="AM565" t="s">
        <v>245</v>
      </c>
      <c r="AN565" t="s">
        <v>318</v>
      </c>
      <c r="AO565" t="s">
        <v>6183</v>
      </c>
      <c r="AP565" t="s">
        <v>6184</v>
      </c>
      <c r="AQ565" t="s">
        <v>74</v>
      </c>
      <c r="AR565" t="s">
        <v>6185</v>
      </c>
      <c r="AS565" t="s">
        <v>6186</v>
      </c>
      <c r="AT565" t="s">
        <v>10648</v>
      </c>
      <c r="AU565">
        <v>2023</v>
      </c>
      <c r="AV565" t="s">
        <v>74</v>
      </c>
      <c r="AW565" t="s">
        <v>74</v>
      </c>
      <c r="AX565" t="s">
        <v>74</v>
      </c>
      <c r="AY565" t="s">
        <v>74</v>
      </c>
      <c r="AZ565" t="s">
        <v>74</v>
      </c>
      <c r="BA565" t="s">
        <v>74</v>
      </c>
      <c r="BB565" t="s">
        <v>74</v>
      </c>
      <c r="BC565" t="s">
        <v>74</v>
      </c>
      <c r="BD565" t="s">
        <v>74</v>
      </c>
      <c r="BE565" t="s">
        <v>10696</v>
      </c>
      <c r="BF565" t="str">
        <f>HYPERLINK("http://dx.doi.org/10.1038/s41372-023-01764-8","http://dx.doi.org/10.1038/s41372-023-01764-8")</f>
        <v>http://dx.doi.org/10.1038/s41372-023-01764-8</v>
      </c>
      <c r="BG565" t="s">
        <v>74</v>
      </c>
      <c r="BH565" t="s">
        <v>10650</v>
      </c>
      <c r="BI565">
        <v>3</v>
      </c>
      <c r="BJ565" t="s">
        <v>6188</v>
      </c>
      <c r="BK565" t="s">
        <v>126</v>
      </c>
      <c r="BL565" t="s">
        <v>6188</v>
      </c>
      <c r="BM565" t="s">
        <v>10697</v>
      </c>
      <c r="BN565">
        <v>37653077</v>
      </c>
      <c r="BO565" t="s">
        <v>74</v>
      </c>
      <c r="BP565" t="s">
        <v>74</v>
      </c>
      <c r="BQ565" t="s">
        <v>74</v>
      </c>
      <c r="BR565" t="s">
        <v>99</v>
      </c>
      <c r="BS565" t="s">
        <v>10698</v>
      </c>
      <c r="BT565" t="str">
        <f>HYPERLINK("https%3A%2F%2Fwww.webofscience.com%2Fwos%2Fwoscc%2Ffull-record%2FWOS:001065172000001","View Full Record in Web of Science")</f>
        <v>View Full Record in Web of Science</v>
      </c>
    </row>
    <row r="566" spans="1:72" x14ac:dyDescent="0.15">
      <c r="A566" t="s">
        <v>72</v>
      </c>
      <c r="B566" t="s">
        <v>10699</v>
      </c>
      <c r="C566" t="s">
        <v>74</v>
      </c>
      <c r="D566" t="s">
        <v>74</v>
      </c>
      <c r="E566" t="s">
        <v>74</v>
      </c>
      <c r="F566" t="s">
        <v>10700</v>
      </c>
      <c r="G566" t="s">
        <v>74</v>
      </c>
      <c r="H566" t="s">
        <v>74</v>
      </c>
      <c r="I566" t="s">
        <v>10701</v>
      </c>
      <c r="J566" t="s">
        <v>10702</v>
      </c>
      <c r="K566" t="s">
        <v>74</v>
      </c>
      <c r="L566" t="s">
        <v>74</v>
      </c>
      <c r="M566" t="s">
        <v>78</v>
      </c>
      <c r="N566" t="s">
        <v>1246</v>
      </c>
      <c r="O566" t="s">
        <v>74</v>
      </c>
      <c r="P566" t="s">
        <v>74</v>
      </c>
      <c r="Q566" t="s">
        <v>74</v>
      </c>
      <c r="R566" t="s">
        <v>74</v>
      </c>
      <c r="S566" t="s">
        <v>74</v>
      </c>
      <c r="T566" t="s">
        <v>10703</v>
      </c>
      <c r="U566" t="s">
        <v>10704</v>
      </c>
      <c r="V566" t="s">
        <v>10705</v>
      </c>
      <c r="W566" t="s">
        <v>10706</v>
      </c>
      <c r="X566" t="s">
        <v>10707</v>
      </c>
      <c r="Y566" t="s">
        <v>10708</v>
      </c>
      <c r="Z566" t="s">
        <v>10709</v>
      </c>
      <c r="AA566" t="s">
        <v>74</v>
      </c>
      <c r="AB566" t="s">
        <v>74</v>
      </c>
      <c r="AC566" t="s">
        <v>10710</v>
      </c>
      <c r="AD566" t="s">
        <v>10711</v>
      </c>
      <c r="AE566" t="s">
        <v>10712</v>
      </c>
      <c r="AF566" t="s">
        <v>74</v>
      </c>
      <c r="AG566">
        <v>38</v>
      </c>
      <c r="AH566">
        <v>0</v>
      </c>
      <c r="AI566">
        <v>0</v>
      </c>
      <c r="AJ566">
        <v>0</v>
      </c>
      <c r="AK566">
        <v>0</v>
      </c>
      <c r="AL566" t="s">
        <v>117</v>
      </c>
      <c r="AM566" t="s">
        <v>627</v>
      </c>
      <c r="AN566" t="s">
        <v>628</v>
      </c>
      <c r="AO566" t="s">
        <v>10713</v>
      </c>
      <c r="AP566" t="s">
        <v>10714</v>
      </c>
      <c r="AQ566" t="s">
        <v>74</v>
      </c>
      <c r="AR566" t="s">
        <v>10715</v>
      </c>
      <c r="AS566" t="s">
        <v>10716</v>
      </c>
      <c r="AT566" t="s">
        <v>10648</v>
      </c>
      <c r="AU566">
        <v>2023</v>
      </c>
      <c r="AV566" t="s">
        <v>74</v>
      </c>
      <c r="AW566" t="s">
        <v>74</v>
      </c>
      <c r="AX566" t="s">
        <v>74</v>
      </c>
      <c r="AY566" t="s">
        <v>74</v>
      </c>
      <c r="AZ566" t="s">
        <v>74</v>
      </c>
      <c r="BA566" t="s">
        <v>74</v>
      </c>
      <c r="BB566" t="s">
        <v>74</v>
      </c>
      <c r="BC566" t="s">
        <v>74</v>
      </c>
      <c r="BD566" t="s">
        <v>74</v>
      </c>
      <c r="BE566" t="s">
        <v>10717</v>
      </c>
      <c r="BF566" t="str">
        <f>HYPERLINK("http://dx.doi.org/10.1007/s11047-023-09957","http://dx.doi.org/10.1007/s11047-023-09957")</f>
        <v>http://dx.doi.org/10.1007/s11047-023-09957</v>
      </c>
      <c r="BG566" t="s">
        <v>74</v>
      </c>
      <c r="BH566" t="s">
        <v>10650</v>
      </c>
      <c r="BI566">
        <v>13</v>
      </c>
      <c r="BJ566" t="s">
        <v>10718</v>
      </c>
      <c r="BK566" t="s">
        <v>126</v>
      </c>
      <c r="BL566" t="s">
        <v>1139</v>
      </c>
      <c r="BM566" t="s">
        <v>10719</v>
      </c>
      <c r="BN566" t="s">
        <v>74</v>
      </c>
      <c r="BO566" t="s">
        <v>74</v>
      </c>
      <c r="BP566" t="s">
        <v>74</v>
      </c>
      <c r="BQ566" t="s">
        <v>74</v>
      </c>
      <c r="BR566" t="s">
        <v>99</v>
      </c>
      <c r="BS566" t="s">
        <v>10720</v>
      </c>
      <c r="BT566" t="str">
        <f>HYPERLINK("https%3A%2F%2Fwww.webofscience.com%2Fwos%2Fwoscc%2Ffull-record%2FWOS:001062562600001","View Full Record in Web of Science")</f>
        <v>View Full Record in Web of Science</v>
      </c>
    </row>
    <row r="567" spans="1:72" x14ac:dyDescent="0.15">
      <c r="A567" t="s">
        <v>72</v>
      </c>
      <c r="B567" t="s">
        <v>10721</v>
      </c>
      <c r="C567" t="s">
        <v>74</v>
      </c>
      <c r="D567" t="s">
        <v>74</v>
      </c>
      <c r="E567" t="s">
        <v>74</v>
      </c>
      <c r="F567" t="s">
        <v>10722</v>
      </c>
      <c r="G567" t="s">
        <v>74</v>
      </c>
      <c r="H567" t="s">
        <v>74</v>
      </c>
      <c r="I567" t="s">
        <v>10723</v>
      </c>
      <c r="J567" t="s">
        <v>10724</v>
      </c>
      <c r="K567" t="s">
        <v>74</v>
      </c>
      <c r="L567" t="s">
        <v>74</v>
      </c>
      <c r="M567" t="s">
        <v>78</v>
      </c>
      <c r="N567" t="s">
        <v>105</v>
      </c>
      <c r="O567" t="s">
        <v>74</v>
      </c>
      <c r="P567" t="s">
        <v>74</v>
      </c>
      <c r="Q567" t="s">
        <v>74</v>
      </c>
      <c r="R567" t="s">
        <v>74</v>
      </c>
      <c r="S567" t="s">
        <v>74</v>
      </c>
      <c r="T567" t="s">
        <v>10725</v>
      </c>
      <c r="U567" t="s">
        <v>10726</v>
      </c>
      <c r="V567" t="s">
        <v>10727</v>
      </c>
      <c r="W567" t="s">
        <v>10728</v>
      </c>
      <c r="X567" t="s">
        <v>10729</v>
      </c>
      <c r="Y567" t="s">
        <v>10730</v>
      </c>
      <c r="Z567" t="s">
        <v>10731</v>
      </c>
      <c r="AA567" t="s">
        <v>74</v>
      </c>
      <c r="AB567" t="s">
        <v>74</v>
      </c>
      <c r="AC567" t="s">
        <v>74</v>
      </c>
      <c r="AD567" t="s">
        <v>74</v>
      </c>
      <c r="AE567" t="s">
        <v>74</v>
      </c>
      <c r="AF567" t="s">
        <v>74</v>
      </c>
      <c r="AG567">
        <v>116</v>
      </c>
      <c r="AH567">
        <v>0</v>
      </c>
      <c r="AI567">
        <v>0</v>
      </c>
      <c r="AJ567">
        <v>0</v>
      </c>
      <c r="AK567">
        <v>0</v>
      </c>
      <c r="AL567" t="s">
        <v>146</v>
      </c>
      <c r="AM567" t="s">
        <v>147</v>
      </c>
      <c r="AN567" t="s">
        <v>148</v>
      </c>
      <c r="AO567" t="s">
        <v>10732</v>
      </c>
      <c r="AP567" t="s">
        <v>10733</v>
      </c>
      <c r="AQ567" t="s">
        <v>74</v>
      </c>
      <c r="AR567" t="s">
        <v>10734</v>
      </c>
      <c r="AS567" t="s">
        <v>10735</v>
      </c>
      <c r="AT567" t="s">
        <v>10681</v>
      </c>
      <c r="AU567">
        <v>2023</v>
      </c>
      <c r="AV567">
        <v>12</v>
      </c>
      <c r="AW567">
        <v>1</v>
      </c>
      <c r="AX567" t="s">
        <v>74</v>
      </c>
      <c r="AY567" t="s">
        <v>74</v>
      </c>
      <c r="AZ567" t="s">
        <v>74</v>
      </c>
      <c r="BA567" t="s">
        <v>74</v>
      </c>
      <c r="BB567" t="s">
        <v>74</v>
      </c>
      <c r="BC567" t="s">
        <v>74</v>
      </c>
      <c r="BD567">
        <v>31</v>
      </c>
      <c r="BE567" t="s">
        <v>10736</v>
      </c>
      <c r="BF567" t="str">
        <f>HYPERLINK("http://dx.doi.org/10.1007/s13721-023-00427-0","http://dx.doi.org/10.1007/s13721-023-00427-0")</f>
        <v>http://dx.doi.org/10.1007/s13721-023-00427-0</v>
      </c>
      <c r="BG567" t="s">
        <v>74</v>
      </c>
      <c r="BH567" t="s">
        <v>74</v>
      </c>
      <c r="BI567">
        <v>21</v>
      </c>
      <c r="BJ567" t="s">
        <v>10737</v>
      </c>
      <c r="BK567" t="s">
        <v>97</v>
      </c>
      <c r="BL567" t="s">
        <v>10737</v>
      </c>
      <c r="BM567" t="s">
        <v>10738</v>
      </c>
      <c r="BN567" t="s">
        <v>74</v>
      </c>
      <c r="BO567" t="s">
        <v>74</v>
      </c>
      <c r="BP567" t="s">
        <v>74</v>
      </c>
      <c r="BQ567" t="s">
        <v>74</v>
      </c>
      <c r="BR567" t="s">
        <v>99</v>
      </c>
      <c r="BS567" t="s">
        <v>10739</v>
      </c>
      <c r="BT567" t="str">
        <f>HYPERLINK("https%3A%2F%2Fwww.webofscience.com%2Fwos%2Fwoscc%2Ffull-record%2FWOS:001058455400001","View Full Record in Web of Science")</f>
        <v>View Full Record in Web of Science</v>
      </c>
    </row>
    <row r="568" spans="1:72" x14ac:dyDescent="0.15">
      <c r="A568" t="s">
        <v>72</v>
      </c>
      <c r="B568" t="s">
        <v>10740</v>
      </c>
      <c r="C568" t="s">
        <v>74</v>
      </c>
      <c r="D568" t="s">
        <v>74</v>
      </c>
      <c r="E568" t="s">
        <v>74</v>
      </c>
      <c r="F568" t="s">
        <v>10741</v>
      </c>
      <c r="G568" t="s">
        <v>74</v>
      </c>
      <c r="H568" t="s">
        <v>74</v>
      </c>
      <c r="I568" t="s">
        <v>10742</v>
      </c>
      <c r="J568" t="s">
        <v>5396</v>
      </c>
      <c r="K568" t="s">
        <v>74</v>
      </c>
      <c r="L568" t="s">
        <v>74</v>
      </c>
      <c r="M568" t="s">
        <v>78</v>
      </c>
      <c r="N568" t="s">
        <v>79</v>
      </c>
      <c r="O568" t="s">
        <v>74</v>
      </c>
      <c r="P568" t="s">
        <v>74</v>
      </c>
      <c r="Q568" t="s">
        <v>74</v>
      </c>
      <c r="R568" t="s">
        <v>74</v>
      </c>
      <c r="S568" t="s">
        <v>74</v>
      </c>
      <c r="T568" t="s">
        <v>74</v>
      </c>
      <c r="U568" t="s">
        <v>10743</v>
      </c>
      <c r="V568" t="s">
        <v>10744</v>
      </c>
      <c r="W568" t="s">
        <v>10745</v>
      </c>
      <c r="X568" t="s">
        <v>10746</v>
      </c>
      <c r="Y568" t="s">
        <v>10747</v>
      </c>
      <c r="Z568" t="s">
        <v>10748</v>
      </c>
      <c r="AA568" t="s">
        <v>10749</v>
      </c>
      <c r="AB568" t="s">
        <v>10750</v>
      </c>
      <c r="AC568" t="s">
        <v>74</v>
      </c>
      <c r="AD568" t="s">
        <v>74</v>
      </c>
      <c r="AE568" t="s">
        <v>74</v>
      </c>
      <c r="AF568" t="s">
        <v>74</v>
      </c>
      <c r="AG568">
        <v>56</v>
      </c>
      <c r="AH568">
        <v>0</v>
      </c>
      <c r="AI568">
        <v>0</v>
      </c>
      <c r="AJ568">
        <v>1</v>
      </c>
      <c r="AK568">
        <v>1</v>
      </c>
      <c r="AL568" t="s">
        <v>172</v>
      </c>
      <c r="AM568" t="s">
        <v>173</v>
      </c>
      <c r="AN568" t="s">
        <v>174</v>
      </c>
      <c r="AO568" t="s">
        <v>5404</v>
      </c>
      <c r="AP568" t="s">
        <v>74</v>
      </c>
      <c r="AQ568" t="s">
        <v>74</v>
      </c>
      <c r="AR568" t="s">
        <v>5405</v>
      </c>
      <c r="AS568" t="s">
        <v>5406</v>
      </c>
      <c r="AT568" t="s">
        <v>10681</v>
      </c>
      <c r="AU568">
        <v>2023</v>
      </c>
      <c r="AV568">
        <v>138</v>
      </c>
      <c r="AW568">
        <v>8</v>
      </c>
      <c r="AX568" t="s">
        <v>74</v>
      </c>
      <c r="AY568" t="s">
        <v>74</v>
      </c>
      <c r="AZ568" t="s">
        <v>74</v>
      </c>
      <c r="BA568" t="s">
        <v>74</v>
      </c>
      <c r="BB568" t="s">
        <v>74</v>
      </c>
      <c r="BC568" t="s">
        <v>74</v>
      </c>
      <c r="BD568">
        <v>774</v>
      </c>
      <c r="BE568" t="s">
        <v>10751</v>
      </c>
      <c r="BF568" t="str">
        <f>HYPERLINK("http://dx.doi.org/10.1140/epjp/s13360-023-04281-x","http://dx.doi.org/10.1140/epjp/s13360-023-04281-x")</f>
        <v>http://dx.doi.org/10.1140/epjp/s13360-023-04281-x</v>
      </c>
      <c r="BG568" t="s">
        <v>74</v>
      </c>
      <c r="BH568" t="s">
        <v>74</v>
      </c>
      <c r="BI568">
        <v>14</v>
      </c>
      <c r="BJ568" t="s">
        <v>386</v>
      </c>
      <c r="BK568" t="s">
        <v>126</v>
      </c>
      <c r="BL568" t="s">
        <v>387</v>
      </c>
      <c r="BM568" t="s">
        <v>10752</v>
      </c>
      <c r="BN568" t="s">
        <v>74</v>
      </c>
      <c r="BO568" t="s">
        <v>74</v>
      </c>
      <c r="BP568" t="s">
        <v>74</v>
      </c>
      <c r="BQ568" t="s">
        <v>74</v>
      </c>
      <c r="BR568" t="s">
        <v>99</v>
      </c>
      <c r="BS568" t="s">
        <v>10753</v>
      </c>
      <c r="BT568" t="str">
        <f>HYPERLINK("https%3A%2F%2Fwww.webofscience.com%2Fwos%2Fwoscc%2Ffull-record%2FWOS:001059580900003","View Full Record in Web of Science")</f>
        <v>View Full Record in Web of Science</v>
      </c>
    </row>
    <row r="569" spans="1:72" x14ac:dyDescent="0.15">
      <c r="A569" t="s">
        <v>72</v>
      </c>
      <c r="B569" t="s">
        <v>10754</v>
      </c>
      <c r="C569" t="s">
        <v>74</v>
      </c>
      <c r="D569" t="s">
        <v>74</v>
      </c>
      <c r="E569" t="s">
        <v>74</v>
      </c>
      <c r="F569" t="s">
        <v>10755</v>
      </c>
      <c r="G569" t="s">
        <v>74</v>
      </c>
      <c r="H569" t="s">
        <v>74</v>
      </c>
      <c r="I569" t="s">
        <v>10756</v>
      </c>
      <c r="J569" t="s">
        <v>10757</v>
      </c>
      <c r="K569" t="s">
        <v>74</v>
      </c>
      <c r="L569" t="s">
        <v>74</v>
      </c>
      <c r="M569" t="s">
        <v>78</v>
      </c>
      <c r="N569" t="s">
        <v>1246</v>
      </c>
      <c r="O569" t="s">
        <v>74</v>
      </c>
      <c r="P569" t="s">
        <v>74</v>
      </c>
      <c r="Q569" t="s">
        <v>74</v>
      </c>
      <c r="R569" t="s">
        <v>74</v>
      </c>
      <c r="S569" t="s">
        <v>74</v>
      </c>
      <c r="T569" t="s">
        <v>74</v>
      </c>
      <c r="U569" t="s">
        <v>10758</v>
      </c>
      <c r="V569" t="s">
        <v>10759</v>
      </c>
      <c r="W569" t="s">
        <v>10760</v>
      </c>
      <c r="X569" t="s">
        <v>10761</v>
      </c>
      <c r="Y569" t="s">
        <v>10762</v>
      </c>
      <c r="Z569" t="s">
        <v>10763</v>
      </c>
      <c r="AA569" t="s">
        <v>74</v>
      </c>
      <c r="AB569" t="s">
        <v>10764</v>
      </c>
      <c r="AC569" t="s">
        <v>10765</v>
      </c>
      <c r="AD569" t="s">
        <v>10766</v>
      </c>
      <c r="AE569" t="s">
        <v>10767</v>
      </c>
      <c r="AF569" t="s">
        <v>74</v>
      </c>
      <c r="AG569">
        <v>37</v>
      </c>
      <c r="AH569">
        <v>0</v>
      </c>
      <c r="AI569">
        <v>0</v>
      </c>
      <c r="AJ569">
        <v>19</v>
      </c>
      <c r="AK569">
        <v>19</v>
      </c>
      <c r="AL569" t="s">
        <v>317</v>
      </c>
      <c r="AM569" t="s">
        <v>245</v>
      </c>
      <c r="AN569" t="s">
        <v>318</v>
      </c>
      <c r="AO569" t="s">
        <v>74</v>
      </c>
      <c r="AP569" t="s">
        <v>10768</v>
      </c>
      <c r="AQ569" t="s">
        <v>74</v>
      </c>
      <c r="AR569" t="s">
        <v>10757</v>
      </c>
      <c r="AS569" t="s">
        <v>10769</v>
      </c>
      <c r="AT569" t="s">
        <v>10648</v>
      </c>
      <c r="AU569">
        <v>2023</v>
      </c>
      <c r="AV569" t="s">
        <v>74</v>
      </c>
      <c r="AW569" t="s">
        <v>74</v>
      </c>
      <c r="AX569" t="s">
        <v>74</v>
      </c>
      <c r="AY569" t="s">
        <v>74</v>
      </c>
      <c r="AZ569" t="s">
        <v>74</v>
      </c>
      <c r="BA569" t="s">
        <v>74</v>
      </c>
      <c r="BB569" t="s">
        <v>74</v>
      </c>
      <c r="BC569" t="s">
        <v>74</v>
      </c>
      <c r="BD569" t="s">
        <v>74</v>
      </c>
      <c r="BE569" t="s">
        <v>10770</v>
      </c>
      <c r="BF569" t="str">
        <f>HYPERLINK("http://dx.doi.org/10.1038/s43587-023-00473-3","http://dx.doi.org/10.1038/s43587-023-00473-3")</f>
        <v>http://dx.doi.org/10.1038/s43587-023-00473-3</v>
      </c>
      <c r="BG569" t="s">
        <v>74</v>
      </c>
      <c r="BH569" t="s">
        <v>10650</v>
      </c>
      <c r="BI569">
        <v>23</v>
      </c>
      <c r="BJ569" t="s">
        <v>10771</v>
      </c>
      <c r="BK569" t="s">
        <v>97</v>
      </c>
      <c r="BL569" t="s">
        <v>10772</v>
      </c>
      <c r="BM569" t="s">
        <v>10773</v>
      </c>
      <c r="BN569">
        <v>37653255</v>
      </c>
      <c r="BO569" t="s">
        <v>74</v>
      </c>
      <c r="BP569" t="s">
        <v>74</v>
      </c>
      <c r="BQ569" t="s">
        <v>74</v>
      </c>
      <c r="BR569" t="s">
        <v>99</v>
      </c>
      <c r="BS569" t="s">
        <v>10774</v>
      </c>
      <c r="BT569" t="str">
        <f>HYPERLINK("https%3A%2F%2Fwww.webofscience.com%2Fwos%2Fwoscc%2Ffull-record%2FWOS:001062604600001","View Full Record in Web of Science")</f>
        <v>View Full Record in Web of Science</v>
      </c>
    </row>
    <row r="570" spans="1:72" x14ac:dyDescent="0.15">
      <c r="A570" t="s">
        <v>72</v>
      </c>
      <c r="B570" t="s">
        <v>10775</v>
      </c>
      <c r="C570" t="s">
        <v>74</v>
      </c>
      <c r="D570" t="s">
        <v>74</v>
      </c>
      <c r="E570" t="s">
        <v>74</v>
      </c>
      <c r="F570" t="s">
        <v>10776</v>
      </c>
      <c r="G570" t="s">
        <v>74</v>
      </c>
      <c r="H570" t="s">
        <v>74</v>
      </c>
      <c r="I570" t="s">
        <v>10777</v>
      </c>
      <c r="J570" t="s">
        <v>2890</v>
      </c>
      <c r="K570" t="s">
        <v>74</v>
      </c>
      <c r="L570" t="s">
        <v>74</v>
      </c>
      <c r="M570" t="s">
        <v>78</v>
      </c>
      <c r="N570" t="s">
        <v>1246</v>
      </c>
      <c r="O570" t="s">
        <v>74</v>
      </c>
      <c r="P570" t="s">
        <v>74</v>
      </c>
      <c r="Q570" t="s">
        <v>74</v>
      </c>
      <c r="R570" t="s">
        <v>74</v>
      </c>
      <c r="S570" t="s">
        <v>74</v>
      </c>
      <c r="T570" t="s">
        <v>10778</v>
      </c>
      <c r="U570" t="s">
        <v>10779</v>
      </c>
      <c r="V570" t="s">
        <v>10780</v>
      </c>
      <c r="W570" t="s">
        <v>10781</v>
      </c>
      <c r="X570" t="s">
        <v>662</v>
      </c>
      <c r="Y570" t="s">
        <v>10782</v>
      </c>
      <c r="Z570" t="s">
        <v>10783</v>
      </c>
      <c r="AA570" t="s">
        <v>74</v>
      </c>
      <c r="AB570" t="s">
        <v>74</v>
      </c>
      <c r="AC570" t="s">
        <v>74</v>
      </c>
      <c r="AD570" t="s">
        <v>74</v>
      </c>
      <c r="AE570" t="s">
        <v>74</v>
      </c>
      <c r="AF570" t="s">
        <v>74</v>
      </c>
      <c r="AG570">
        <v>31</v>
      </c>
      <c r="AH570">
        <v>0</v>
      </c>
      <c r="AI570">
        <v>0</v>
      </c>
      <c r="AJ570">
        <v>2</v>
      </c>
      <c r="AK570">
        <v>2</v>
      </c>
      <c r="AL570" t="s">
        <v>117</v>
      </c>
      <c r="AM570" t="s">
        <v>118</v>
      </c>
      <c r="AN570" t="s">
        <v>119</v>
      </c>
      <c r="AO570" t="s">
        <v>2901</v>
      </c>
      <c r="AP570" t="s">
        <v>2902</v>
      </c>
      <c r="AQ570" t="s">
        <v>74</v>
      </c>
      <c r="AR570" t="s">
        <v>2903</v>
      </c>
      <c r="AS570" t="s">
        <v>2904</v>
      </c>
      <c r="AT570" t="s">
        <v>10648</v>
      </c>
      <c r="AU570">
        <v>2023</v>
      </c>
      <c r="AV570" t="s">
        <v>74</v>
      </c>
      <c r="AW570" t="s">
        <v>74</v>
      </c>
      <c r="AX570" t="s">
        <v>74</v>
      </c>
      <c r="AY570" t="s">
        <v>74</v>
      </c>
      <c r="AZ570" t="s">
        <v>74</v>
      </c>
      <c r="BA570" t="s">
        <v>74</v>
      </c>
      <c r="BB570" t="s">
        <v>74</v>
      </c>
      <c r="BC570" t="s">
        <v>74</v>
      </c>
      <c r="BD570" t="s">
        <v>74</v>
      </c>
      <c r="BE570" t="s">
        <v>10784</v>
      </c>
      <c r="BF570" t="str">
        <f>HYPERLINK("http://dx.doi.org/10.1007/s12144-023-05174","http://dx.doi.org/10.1007/s12144-023-05174")</f>
        <v>http://dx.doi.org/10.1007/s12144-023-05174</v>
      </c>
      <c r="BG570" t="s">
        <v>74</v>
      </c>
      <c r="BH570" t="s">
        <v>10650</v>
      </c>
      <c r="BI570">
        <v>5</v>
      </c>
      <c r="BJ570" t="s">
        <v>2906</v>
      </c>
      <c r="BK570" t="s">
        <v>425</v>
      </c>
      <c r="BL570" t="s">
        <v>2907</v>
      </c>
      <c r="BM570" t="s">
        <v>10785</v>
      </c>
      <c r="BN570" t="s">
        <v>74</v>
      </c>
      <c r="BO570" t="s">
        <v>74</v>
      </c>
      <c r="BP570" t="s">
        <v>74</v>
      </c>
      <c r="BQ570" t="s">
        <v>74</v>
      </c>
      <c r="BR570" t="s">
        <v>99</v>
      </c>
      <c r="BS570" t="s">
        <v>10786</v>
      </c>
      <c r="BT570" t="str">
        <f>HYPERLINK("https%3A%2F%2Fwww.webofscience.com%2Fwos%2Fwoscc%2Ffull-record%2FWOS:001062546200001","View Full Record in Web of Science")</f>
        <v>View Full Record in Web of Science</v>
      </c>
    </row>
    <row r="571" spans="1:72" x14ac:dyDescent="0.15">
      <c r="A571" t="s">
        <v>72</v>
      </c>
      <c r="B571" t="s">
        <v>10787</v>
      </c>
      <c r="C571" t="s">
        <v>74</v>
      </c>
      <c r="D571" t="s">
        <v>74</v>
      </c>
      <c r="E571" t="s">
        <v>74</v>
      </c>
      <c r="F571" t="s">
        <v>10788</v>
      </c>
      <c r="G571" t="s">
        <v>74</v>
      </c>
      <c r="H571" t="s">
        <v>74</v>
      </c>
      <c r="I571" t="s">
        <v>10789</v>
      </c>
      <c r="J571" t="s">
        <v>2415</v>
      </c>
      <c r="K571" t="s">
        <v>74</v>
      </c>
      <c r="L571" t="s">
        <v>74</v>
      </c>
      <c r="M571" t="s">
        <v>78</v>
      </c>
      <c r="N571" t="s">
        <v>79</v>
      </c>
      <c r="O571" t="s">
        <v>74</v>
      </c>
      <c r="P571" t="s">
        <v>74</v>
      </c>
      <c r="Q571" t="s">
        <v>74</v>
      </c>
      <c r="R571" t="s">
        <v>74</v>
      </c>
      <c r="S571" t="s">
        <v>74</v>
      </c>
      <c r="T571" t="s">
        <v>10790</v>
      </c>
      <c r="U571" t="s">
        <v>10791</v>
      </c>
      <c r="V571" t="s">
        <v>10792</v>
      </c>
      <c r="W571" t="s">
        <v>10793</v>
      </c>
      <c r="X571" t="s">
        <v>10794</v>
      </c>
      <c r="Y571" t="s">
        <v>10795</v>
      </c>
      <c r="Z571" t="s">
        <v>10796</v>
      </c>
      <c r="AA571" t="s">
        <v>74</v>
      </c>
      <c r="AB571" t="s">
        <v>74</v>
      </c>
      <c r="AC571" t="s">
        <v>10797</v>
      </c>
      <c r="AD571" t="s">
        <v>10798</v>
      </c>
      <c r="AE571" t="s">
        <v>10799</v>
      </c>
      <c r="AF571" t="s">
        <v>74</v>
      </c>
      <c r="AG571">
        <v>150</v>
      </c>
      <c r="AH571">
        <v>0</v>
      </c>
      <c r="AI571">
        <v>0</v>
      </c>
      <c r="AJ571">
        <v>0</v>
      </c>
      <c r="AK571">
        <v>0</v>
      </c>
      <c r="AL571" t="s">
        <v>443</v>
      </c>
      <c r="AM571" t="s">
        <v>245</v>
      </c>
      <c r="AN571" t="s">
        <v>444</v>
      </c>
      <c r="AO571" t="s">
        <v>74</v>
      </c>
      <c r="AP571" t="s">
        <v>2425</v>
      </c>
      <c r="AQ571" t="s">
        <v>74</v>
      </c>
      <c r="AR571" t="s">
        <v>2426</v>
      </c>
      <c r="AS571" t="s">
        <v>2427</v>
      </c>
      <c r="AT571" t="s">
        <v>10681</v>
      </c>
      <c r="AU571">
        <v>2023</v>
      </c>
      <c r="AV571">
        <v>23</v>
      </c>
      <c r="AW571">
        <v>1</v>
      </c>
      <c r="AX571" t="s">
        <v>74</v>
      </c>
      <c r="AY571" t="s">
        <v>74</v>
      </c>
      <c r="AZ571" t="s">
        <v>74</v>
      </c>
      <c r="BA571" t="s">
        <v>74</v>
      </c>
      <c r="BB571" t="s">
        <v>74</v>
      </c>
      <c r="BC571" t="s">
        <v>74</v>
      </c>
      <c r="BD571">
        <v>531</v>
      </c>
      <c r="BE571" t="s">
        <v>10800</v>
      </c>
      <c r="BF571" t="str">
        <f>HYPERLINK("http://dx.doi.org/10.1186/s12877-023-04190-9","http://dx.doi.org/10.1186/s12877-023-04190-9")</f>
        <v>http://dx.doi.org/10.1186/s12877-023-04190-9</v>
      </c>
      <c r="BG571" t="s">
        <v>74</v>
      </c>
      <c r="BH571" t="s">
        <v>74</v>
      </c>
      <c r="BI571">
        <v>15</v>
      </c>
      <c r="BJ571" t="s">
        <v>2430</v>
      </c>
      <c r="BK571" t="s">
        <v>2431</v>
      </c>
      <c r="BL571" t="s">
        <v>672</v>
      </c>
      <c r="BM571" t="s">
        <v>10801</v>
      </c>
      <c r="BN571">
        <v>37653368</v>
      </c>
      <c r="BO571" t="s">
        <v>302</v>
      </c>
      <c r="BP571" t="s">
        <v>74</v>
      </c>
      <c r="BQ571" t="s">
        <v>74</v>
      </c>
      <c r="BR571" t="s">
        <v>99</v>
      </c>
      <c r="BS571" t="s">
        <v>10802</v>
      </c>
      <c r="BT571" t="str">
        <f>HYPERLINK("https%3A%2F%2Fwww.webofscience.com%2Fwos%2Fwoscc%2Ffull-record%2FWOS:001055593900001","View Full Record in Web of Science")</f>
        <v>View Full Record in Web of Science</v>
      </c>
    </row>
    <row r="572" spans="1:72" x14ac:dyDescent="0.15">
      <c r="A572" t="s">
        <v>72</v>
      </c>
      <c r="B572" t="s">
        <v>10803</v>
      </c>
      <c r="C572" t="s">
        <v>74</v>
      </c>
      <c r="D572" t="s">
        <v>74</v>
      </c>
      <c r="E572" t="s">
        <v>74</v>
      </c>
      <c r="F572" t="s">
        <v>10804</v>
      </c>
      <c r="G572" t="s">
        <v>74</v>
      </c>
      <c r="H572" t="s">
        <v>74</v>
      </c>
      <c r="I572" t="s">
        <v>10805</v>
      </c>
      <c r="J572" t="s">
        <v>8211</v>
      </c>
      <c r="K572" t="s">
        <v>74</v>
      </c>
      <c r="L572" t="s">
        <v>74</v>
      </c>
      <c r="M572" t="s">
        <v>78</v>
      </c>
      <c r="N572" t="s">
        <v>1246</v>
      </c>
      <c r="O572" t="s">
        <v>74</v>
      </c>
      <c r="P572" t="s">
        <v>74</v>
      </c>
      <c r="Q572" t="s">
        <v>74</v>
      </c>
      <c r="R572" t="s">
        <v>74</v>
      </c>
      <c r="S572" t="s">
        <v>74</v>
      </c>
      <c r="T572" t="s">
        <v>10806</v>
      </c>
      <c r="U572" t="s">
        <v>10807</v>
      </c>
      <c r="V572" t="s">
        <v>10808</v>
      </c>
      <c r="W572" t="s">
        <v>10809</v>
      </c>
      <c r="X572" t="s">
        <v>10810</v>
      </c>
      <c r="Y572" t="s">
        <v>10811</v>
      </c>
      <c r="Z572" t="s">
        <v>10812</v>
      </c>
      <c r="AA572" t="s">
        <v>74</v>
      </c>
      <c r="AB572" t="s">
        <v>74</v>
      </c>
      <c r="AC572" t="s">
        <v>74</v>
      </c>
      <c r="AD572" t="s">
        <v>74</v>
      </c>
      <c r="AE572" t="s">
        <v>74</v>
      </c>
      <c r="AF572" t="s">
        <v>74</v>
      </c>
      <c r="AG572">
        <v>18</v>
      </c>
      <c r="AH572">
        <v>0</v>
      </c>
      <c r="AI572">
        <v>0</v>
      </c>
      <c r="AJ572">
        <v>0</v>
      </c>
      <c r="AK572">
        <v>0</v>
      </c>
      <c r="AL572" t="s">
        <v>117</v>
      </c>
      <c r="AM572" t="s">
        <v>627</v>
      </c>
      <c r="AN572" t="s">
        <v>628</v>
      </c>
      <c r="AO572" t="s">
        <v>8221</v>
      </c>
      <c r="AP572" t="s">
        <v>8222</v>
      </c>
      <c r="AQ572" t="s">
        <v>74</v>
      </c>
      <c r="AR572" t="s">
        <v>8223</v>
      </c>
      <c r="AS572" t="s">
        <v>8224</v>
      </c>
      <c r="AT572" t="s">
        <v>10648</v>
      </c>
      <c r="AU572">
        <v>2023</v>
      </c>
      <c r="AV572" t="s">
        <v>74</v>
      </c>
      <c r="AW572" t="s">
        <v>74</v>
      </c>
      <c r="AX572" t="s">
        <v>74</v>
      </c>
      <c r="AY572" t="s">
        <v>74</v>
      </c>
      <c r="AZ572" t="s">
        <v>74</v>
      </c>
      <c r="BA572" t="s">
        <v>74</v>
      </c>
      <c r="BB572" t="s">
        <v>74</v>
      </c>
      <c r="BC572" t="s">
        <v>74</v>
      </c>
      <c r="BD572" t="s">
        <v>74</v>
      </c>
      <c r="BE572" t="s">
        <v>10813</v>
      </c>
      <c r="BF572" t="str">
        <f>HYPERLINK("http://dx.doi.org/10.1007/s10706-023-02604-4","http://dx.doi.org/10.1007/s10706-023-02604-4")</f>
        <v>http://dx.doi.org/10.1007/s10706-023-02604-4</v>
      </c>
      <c r="BG572" t="s">
        <v>74</v>
      </c>
      <c r="BH572" t="s">
        <v>10650</v>
      </c>
      <c r="BI572">
        <v>14</v>
      </c>
      <c r="BJ572" t="s">
        <v>8227</v>
      </c>
      <c r="BK572" t="s">
        <v>97</v>
      </c>
      <c r="BL572" t="s">
        <v>277</v>
      </c>
      <c r="BM572" t="s">
        <v>10814</v>
      </c>
      <c r="BN572" t="s">
        <v>74</v>
      </c>
      <c r="BO572" t="s">
        <v>74</v>
      </c>
      <c r="BP572" t="s">
        <v>74</v>
      </c>
      <c r="BQ572" t="s">
        <v>74</v>
      </c>
      <c r="BR572" t="s">
        <v>99</v>
      </c>
      <c r="BS572" t="s">
        <v>10815</v>
      </c>
      <c r="BT572" t="str">
        <f>HYPERLINK("https%3A%2F%2Fwww.webofscience.com%2Fwos%2Fwoscc%2Ffull-record%2FWOS:001062548100002","View Full Record in Web of Science")</f>
        <v>View Full Record in Web of Science</v>
      </c>
    </row>
    <row r="573" spans="1:72" x14ac:dyDescent="0.15">
      <c r="A573" t="s">
        <v>72</v>
      </c>
      <c r="B573" t="s">
        <v>10816</v>
      </c>
      <c r="C573" t="s">
        <v>74</v>
      </c>
      <c r="D573" t="s">
        <v>74</v>
      </c>
      <c r="E573" t="s">
        <v>74</v>
      </c>
      <c r="F573" t="s">
        <v>10817</v>
      </c>
      <c r="G573" t="s">
        <v>74</v>
      </c>
      <c r="H573" t="s">
        <v>74</v>
      </c>
      <c r="I573" t="s">
        <v>10818</v>
      </c>
      <c r="J573" t="s">
        <v>10819</v>
      </c>
      <c r="K573" t="s">
        <v>74</v>
      </c>
      <c r="L573" t="s">
        <v>74</v>
      </c>
      <c r="M573" t="s">
        <v>78</v>
      </c>
      <c r="N573" t="s">
        <v>79</v>
      </c>
      <c r="O573" t="s">
        <v>74</v>
      </c>
      <c r="P573" t="s">
        <v>74</v>
      </c>
      <c r="Q573" t="s">
        <v>74</v>
      </c>
      <c r="R573" t="s">
        <v>74</v>
      </c>
      <c r="S573" t="s">
        <v>74</v>
      </c>
      <c r="T573" t="s">
        <v>10820</v>
      </c>
      <c r="U573" t="s">
        <v>10821</v>
      </c>
      <c r="V573" t="s">
        <v>10822</v>
      </c>
      <c r="W573" t="s">
        <v>10823</v>
      </c>
      <c r="X573" t="s">
        <v>10824</v>
      </c>
      <c r="Y573" t="s">
        <v>10825</v>
      </c>
      <c r="Z573" t="s">
        <v>10826</v>
      </c>
      <c r="AA573" t="s">
        <v>74</v>
      </c>
      <c r="AB573" t="s">
        <v>74</v>
      </c>
      <c r="AC573" t="s">
        <v>10827</v>
      </c>
      <c r="AD573" t="s">
        <v>10827</v>
      </c>
      <c r="AE573" t="s">
        <v>10827</v>
      </c>
      <c r="AF573" t="s">
        <v>74</v>
      </c>
      <c r="AG573">
        <v>30</v>
      </c>
      <c r="AH573">
        <v>0</v>
      </c>
      <c r="AI573">
        <v>0</v>
      </c>
      <c r="AJ573">
        <v>0</v>
      </c>
      <c r="AK573">
        <v>0</v>
      </c>
      <c r="AL573" t="s">
        <v>443</v>
      </c>
      <c r="AM573" t="s">
        <v>245</v>
      </c>
      <c r="AN573" t="s">
        <v>444</v>
      </c>
      <c r="AO573" t="s">
        <v>74</v>
      </c>
      <c r="AP573" t="s">
        <v>10828</v>
      </c>
      <c r="AQ573" t="s">
        <v>74</v>
      </c>
      <c r="AR573" t="s">
        <v>10829</v>
      </c>
      <c r="AS573" t="s">
        <v>10830</v>
      </c>
      <c r="AT573" t="s">
        <v>10681</v>
      </c>
      <c r="AU573">
        <v>2023</v>
      </c>
      <c r="AV573">
        <v>23</v>
      </c>
      <c r="AW573">
        <v>1</v>
      </c>
      <c r="AX573" t="s">
        <v>74</v>
      </c>
      <c r="AY573" t="s">
        <v>74</v>
      </c>
      <c r="AZ573" t="s">
        <v>74</v>
      </c>
      <c r="BA573" t="s">
        <v>74</v>
      </c>
      <c r="BB573" t="s">
        <v>74</v>
      </c>
      <c r="BC573" t="s">
        <v>74</v>
      </c>
      <c r="BD573">
        <v>293</v>
      </c>
      <c r="BE573" t="s">
        <v>10831</v>
      </c>
      <c r="BF573" t="str">
        <f>HYPERLINK("http://dx.doi.org/10.1186/s12876-023-02933-x","http://dx.doi.org/10.1186/s12876-023-02933-x")</f>
        <v>http://dx.doi.org/10.1186/s12876-023-02933-x</v>
      </c>
      <c r="BG573" t="s">
        <v>74</v>
      </c>
      <c r="BH573" t="s">
        <v>74</v>
      </c>
      <c r="BI573">
        <v>7</v>
      </c>
      <c r="BJ573" t="s">
        <v>10832</v>
      </c>
      <c r="BK573" t="s">
        <v>126</v>
      </c>
      <c r="BL573" t="s">
        <v>10832</v>
      </c>
      <c r="BM573" t="s">
        <v>10833</v>
      </c>
      <c r="BN573">
        <v>37653473</v>
      </c>
      <c r="BO573" t="s">
        <v>3356</v>
      </c>
      <c r="BP573" t="s">
        <v>74</v>
      </c>
      <c r="BQ573" t="s">
        <v>74</v>
      </c>
      <c r="BR573" t="s">
        <v>99</v>
      </c>
      <c r="BS573" t="s">
        <v>10834</v>
      </c>
      <c r="BT573" t="str">
        <f>HYPERLINK("https%3A%2F%2Fwww.webofscience.com%2Fwos%2Fwoscc%2Ffull-record%2FWOS:001061540700002","View Full Record in Web of Science")</f>
        <v>View Full Record in Web of Science</v>
      </c>
    </row>
    <row r="574" spans="1:72" x14ac:dyDescent="0.15">
      <c r="A574" t="s">
        <v>72</v>
      </c>
      <c r="B574" t="s">
        <v>10835</v>
      </c>
      <c r="C574" t="s">
        <v>74</v>
      </c>
      <c r="D574" t="s">
        <v>74</v>
      </c>
      <c r="E574" t="s">
        <v>74</v>
      </c>
      <c r="F574" t="s">
        <v>10836</v>
      </c>
      <c r="G574" t="s">
        <v>74</v>
      </c>
      <c r="H574" t="s">
        <v>74</v>
      </c>
      <c r="I574" t="s">
        <v>10837</v>
      </c>
      <c r="J574" t="s">
        <v>4750</v>
      </c>
      <c r="K574" t="s">
        <v>74</v>
      </c>
      <c r="L574" t="s">
        <v>74</v>
      </c>
      <c r="M574" t="s">
        <v>78</v>
      </c>
      <c r="N574" t="s">
        <v>105</v>
      </c>
      <c r="O574" t="s">
        <v>74</v>
      </c>
      <c r="P574" t="s">
        <v>74</v>
      </c>
      <c r="Q574" t="s">
        <v>74</v>
      </c>
      <c r="R574" t="s">
        <v>74</v>
      </c>
      <c r="S574" t="s">
        <v>74</v>
      </c>
      <c r="T574" t="s">
        <v>74</v>
      </c>
      <c r="U574" t="s">
        <v>10838</v>
      </c>
      <c r="V574" t="s">
        <v>10839</v>
      </c>
      <c r="W574" t="s">
        <v>10840</v>
      </c>
      <c r="X574" t="s">
        <v>10841</v>
      </c>
      <c r="Y574" t="s">
        <v>10842</v>
      </c>
      <c r="Z574" t="s">
        <v>10843</v>
      </c>
      <c r="AA574" t="s">
        <v>10844</v>
      </c>
      <c r="AB574" t="s">
        <v>10845</v>
      </c>
      <c r="AC574" t="s">
        <v>10846</v>
      </c>
      <c r="AD574" t="s">
        <v>10847</v>
      </c>
      <c r="AE574" t="s">
        <v>10848</v>
      </c>
      <c r="AF574" t="s">
        <v>74</v>
      </c>
      <c r="AG574">
        <v>135</v>
      </c>
      <c r="AH574">
        <v>0</v>
      </c>
      <c r="AI574">
        <v>0</v>
      </c>
      <c r="AJ574">
        <v>6</v>
      </c>
      <c r="AK574">
        <v>6</v>
      </c>
      <c r="AL574" t="s">
        <v>317</v>
      </c>
      <c r="AM574" t="s">
        <v>245</v>
      </c>
      <c r="AN574" t="s">
        <v>318</v>
      </c>
      <c r="AO574" t="s">
        <v>4756</v>
      </c>
      <c r="AP574" t="s">
        <v>4757</v>
      </c>
      <c r="AQ574" t="s">
        <v>74</v>
      </c>
      <c r="AR574" t="s">
        <v>4758</v>
      </c>
      <c r="AS574" t="s">
        <v>4759</v>
      </c>
      <c r="AT574" t="s">
        <v>10681</v>
      </c>
      <c r="AU574">
        <v>2023</v>
      </c>
      <c r="AV574">
        <v>12</v>
      </c>
      <c r="AW574">
        <v>1</v>
      </c>
      <c r="AX574" t="s">
        <v>74</v>
      </c>
      <c r="AY574" t="s">
        <v>74</v>
      </c>
      <c r="AZ574" t="s">
        <v>74</v>
      </c>
      <c r="BA574" t="s">
        <v>74</v>
      </c>
      <c r="BB574" t="s">
        <v>74</v>
      </c>
      <c r="BC574" t="s">
        <v>74</v>
      </c>
      <c r="BD574">
        <v>212</v>
      </c>
      <c r="BE574" t="s">
        <v>10849</v>
      </c>
      <c r="BF574" t="str">
        <f>HYPERLINK("http://dx.doi.org/10.1038/s41377-023-01259-3","http://dx.doi.org/10.1038/s41377-023-01259-3")</f>
        <v>http://dx.doi.org/10.1038/s41377-023-01259-3</v>
      </c>
      <c r="BG574" t="s">
        <v>74</v>
      </c>
      <c r="BH574" t="s">
        <v>74</v>
      </c>
      <c r="BI574">
        <v>26</v>
      </c>
      <c r="BJ574" t="s">
        <v>3048</v>
      </c>
      <c r="BK574" t="s">
        <v>126</v>
      </c>
      <c r="BL574" t="s">
        <v>3048</v>
      </c>
      <c r="BM574" t="s">
        <v>10850</v>
      </c>
      <c r="BN574">
        <v>37652900</v>
      </c>
      <c r="BO574" t="s">
        <v>302</v>
      </c>
      <c r="BP574" t="s">
        <v>74</v>
      </c>
      <c r="BQ574" t="s">
        <v>74</v>
      </c>
      <c r="BR574" t="s">
        <v>99</v>
      </c>
      <c r="BS574" t="s">
        <v>10851</v>
      </c>
      <c r="BT574" t="str">
        <f>HYPERLINK("https%3A%2F%2Fwww.webofscience.com%2Fwos%2Fwoscc%2Ffull-record%2FWOS:001059602500003","View Full Record in Web of Science")</f>
        <v>View Full Record in Web of Science</v>
      </c>
    </row>
    <row r="575" spans="1:72" x14ac:dyDescent="0.15">
      <c r="A575" t="s">
        <v>72</v>
      </c>
      <c r="B575" t="s">
        <v>10852</v>
      </c>
      <c r="C575" t="s">
        <v>74</v>
      </c>
      <c r="D575" t="s">
        <v>74</v>
      </c>
      <c r="E575" t="s">
        <v>74</v>
      </c>
      <c r="F575" t="s">
        <v>10853</v>
      </c>
      <c r="G575" t="s">
        <v>74</v>
      </c>
      <c r="H575" t="s">
        <v>74</v>
      </c>
      <c r="I575" t="s">
        <v>10854</v>
      </c>
      <c r="J575" t="s">
        <v>10855</v>
      </c>
      <c r="K575" t="s">
        <v>74</v>
      </c>
      <c r="L575" t="s">
        <v>74</v>
      </c>
      <c r="M575" t="s">
        <v>78</v>
      </c>
      <c r="N575" t="s">
        <v>1246</v>
      </c>
      <c r="O575" t="s">
        <v>74</v>
      </c>
      <c r="P575" t="s">
        <v>74</v>
      </c>
      <c r="Q575" t="s">
        <v>74</v>
      </c>
      <c r="R575" t="s">
        <v>74</v>
      </c>
      <c r="S575" t="s">
        <v>74</v>
      </c>
      <c r="T575" t="s">
        <v>10856</v>
      </c>
      <c r="U575" t="s">
        <v>74</v>
      </c>
      <c r="V575" t="s">
        <v>10857</v>
      </c>
      <c r="W575" t="s">
        <v>10858</v>
      </c>
      <c r="X575" t="s">
        <v>10859</v>
      </c>
      <c r="Y575" t="s">
        <v>10860</v>
      </c>
      <c r="Z575" t="s">
        <v>10861</v>
      </c>
      <c r="AA575" t="s">
        <v>74</v>
      </c>
      <c r="AB575" t="s">
        <v>10862</v>
      </c>
      <c r="AC575" t="s">
        <v>10863</v>
      </c>
      <c r="AD575" t="s">
        <v>10864</v>
      </c>
      <c r="AE575" t="s">
        <v>10865</v>
      </c>
      <c r="AF575" t="s">
        <v>74</v>
      </c>
      <c r="AG575">
        <v>75</v>
      </c>
      <c r="AH575">
        <v>0</v>
      </c>
      <c r="AI575">
        <v>0</v>
      </c>
      <c r="AJ575">
        <v>1</v>
      </c>
      <c r="AK575">
        <v>1</v>
      </c>
      <c r="AL575" t="s">
        <v>117</v>
      </c>
      <c r="AM575" t="s">
        <v>627</v>
      </c>
      <c r="AN575" t="s">
        <v>628</v>
      </c>
      <c r="AO575" t="s">
        <v>10866</v>
      </c>
      <c r="AP575" t="s">
        <v>10867</v>
      </c>
      <c r="AQ575" t="s">
        <v>74</v>
      </c>
      <c r="AR575" t="s">
        <v>10868</v>
      </c>
      <c r="AS575" t="s">
        <v>10869</v>
      </c>
      <c r="AT575" t="s">
        <v>10648</v>
      </c>
      <c r="AU575">
        <v>2023</v>
      </c>
      <c r="AV575" t="s">
        <v>74</v>
      </c>
      <c r="AW575" t="s">
        <v>74</v>
      </c>
      <c r="AX575" t="s">
        <v>74</v>
      </c>
      <c r="AY575" t="s">
        <v>74</v>
      </c>
      <c r="AZ575" t="s">
        <v>74</v>
      </c>
      <c r="BA575" t="s">
        <v>74</v>
      </c>
      <c r="BB575" t="s">
        <v>74</v>
      </c>
      <c r="BC575" t="s">
        <v>74</v>
      </c>
      <c r="BD575" t="s">
        <v>10870</v>
      </c>
      <c r="BE575" t="s">
        <v>10871</v>
      </c>
      <c r="BF575" t="str">
        <f>HYPERLINK("http://dx.doi.org/10.1007/s10994-023-06389-8","http://dx.doi.org/10.1007/s10994-023-06389-8")</f>
        <v>http://dx.doi.org/10.1007/s10994-023-06389-8</v>
      </c>
      <c r="BG575" t="s">
        <v>74</v>
      </c>
      <c r="BH575" t="s">
        <v>10650</v>
      </c>
      <c r="BI575">
        <v>26</v>
      </c>
      <c r="BJ575" t="s">
        <v>5390</v>
      </c>
      <c r="BK575" t="s">
        <v>126</v>
      </c>
      <c r="BL575" t="s">
        <v>1139</v>
      </c>
      <c r="BM575" t="s">
        <v>10872</v>
      </c>
      <c r="BN575" t="s">
        <v>74</v>
      </c>
      <c r="BO575" t="s">
        <v>183</v>
      </c>
      <c r="BP575" t="s">
        <v>74</v>
      </c>
      <c r="BQ575" t="s">
        <v>74</v>
      </c>
      <c r="BR575" t="s">
        <v>99</v>
      </c>
      <c r="BS575" t="s">
        <v>10873</v>
      </c>
      <c r="BT575" t="str">
        <f>HYPERLINK("https%3A%2F%2Fwww.webofscience.com%2Fwos%2Fwoscc%2Ffull-record%2FWOS:001061968400001","View Full Record in Web of Science")</f>
        <v>View Full Record in Web of Science</v>
      </c>
    </row>
    <row r="576" spans="1:72" x14ac:dyDescent="0.15">
      <c r="A576" t="s">
        <v>72</v>
      </c>
      <c r="B576" t="s">
        <v>10874</v>
      </c>
      <c r="C576" t="s">
        <v>74</v>
      </c>
      <c r="D576" t="s">
        <v>74</v>
      </c>
      <c r="E576" t="s">
        <v>74</v>
      </c>
      <c r="F576" t="s">
        <v>10875</v>
      </c>
      <c r="G576" t="s">
        <v>74</v>
      </c>
      <c r="H576" t="s">
        <v>74</v>
      </c>
      <c r="I576" t="s">
        <v>10876</v>
      </c>
      <c r="J576" t="s">
        <v>10877</v>
      </c>
      <c r="K576" t="s">
        <v>74</v>
      </c>
      <c r="L576" t="s">
        <v>74</v>
      </c>
      <c r="M576" t="s">
        <v>78</v>
      </c>
      <c r="N576" t="s">
        <v>79</v>
      </c>
      <c r="O576" t="s">
        <v>74</v>
      </c>
      <c r="P576" t="s">
        <v>74</v>
      </c>
      <c r="Q576" t="s">
        <v>74</v>
      </c>
      <c r="R576" t="s">
        <v>74</v>
      </c>
      <c r="S576" t="s">
        <v>74</v>
      </c>
      <c r="T576" t="s">
        <v>10878</v>
      </c>
      <c r="U576" t="s">
        <v>10879</v>
      </c>
      <c r="V576" t="s">
        <v>10880</v>
      </c>
      <c r="W576" t="s">
        <v>10881</v>
      </c>
      <c r="X576" t="s">
        <v>6705</v>
      </c>
      <c r="Y576" t="s">
        <v>10882</v>
      </c>
      <c r="Z576" t="s">
        <v>10883</v>
      </c>
      <c r="AA576" t="s">
        <v>74</v>
      </c>
      <c r="AB576" t="s">
        <v>74</v>
      </c>
      <c r="AC576" t="s">
        <v>10884</v>
      </c>
      <c r="AD576" t="s">
        <v>10884</v>
      </c>
      <c r="AE576" t="s">
        <v>10885</v>
      </c>
      <c r="AF576" t="s">
        <v>74</v>
      </c>
      <c r="AG576">
        <v>44</v>
      </c>
      <c r="AH576">
        <v>0</v>
      </c>
      <c r="AI576">
        <v>0</v>
      </c>
      <c r="AJ576">
        <v>0</v>
      </c>
      <c r="AK576">
        <v>0</v>
      </c>
      <c r="AL576" t="s">
        <v>317</v>
      </c>
      <c r="AM576" t="s">
        <v>245</v>
      </c>
      <c r="AN576" t="s">
        <v>318</v>
      </c>
      <c r="AO576" t="s">
        <v>74</v>
      </c>
      <c r="AP576" t="s">
        <v>10886</v>
      </c>
      <c r="AQ576" t="s">
        <v>74</v>
      </c>
      <c r="AR576" t="s">
        <v>10887</v>
      </c>
      <c r="AS576" t="s">
        <v>10888</v>
      </c>
      <c r="AT576" t="s">
        <v>10681</v>
      </c>
      <c r="AU576">
        <v>2023</v>
      </c>
      <c r="AV576">
        <v>11</v>
      </c>
      <c r="AW576">
        <v>1</v>
      </c>
      <c r="AX576" t="s">
        <v>74</v>
      </c>
      <c r="AY576" t="s">
        <v>74</v>
      </c>
      <c r="AZ576" t="s">
        <v>74</v>
      </c>
      <c r="BA576" t="s">
        <v>74</v>
      </c>
      <c r="BB576" t="s">
        <v>74</v>
      </c>
      <c r="BC576" t="s">
        <v>74</v>
      </c>
      <c r="BD576">
        <v>33</v>
      </c>
      <c r="BE576" t="s">
        <v>10889</v>
      </c>
      <c r="BF576" t="str">
        <f>HYPERLINK("http://dx.doi.org/10.1186/s40317-023-00344-z","http://dx.doi.org/10.1186/s40317-023-00344-z")</f>
        <v>http://dx.doi.org/10.1186/s40317-023-00344-z</v>
      </c>
      <c r="BG576" t="s">
        <v>74</v>
      </c>
      <c r="BH576" t="s">
        <v>74</v>
      </c>
      <c r="BI576">
        <v>11</v>
      </c>
      <c r="BJ576" t="s">
        <v>10890</v>
      </c>
      <c r="BK576" t="s">
        <v>126</v>
      </c>
      <c r="BL576" t="s">
        <v>10891</v>
      </c>
      <c r="BM576" t="s">
        <v>10892</v>
      </c>
      <c r="BN576" t="s">
        <v>74</v>
      </c>
      <c r="BO576" t="s">
        <v>302</v>
      </c>
      <c r="BP576" t="s">
        <v>74</v>
      </c>
      <c r="BQ576" t="s">
        <v>74</v>
      </c>
      <c r="BR576" t="s">
        <v>99</v>
      </c>
      <c r="BS576" t="s">
        <v>10893</v>
      </c>
      <c r="BT576" t="str">
        <f>HYPERLINK("https%3A%2F%2Fwww.webofscience.com%2Fwos%2Fwoscc%2Ffull-record%2FWOS:001061649100002","View Full Record in Web of Science")</f>
        <v>View Full Record in Web of Science</v>
      </c>
    </row>
    <row r="577" spans="1:72" x14ac:dyDescent="0.15">
      <c r="A577" t="s">
        <v>72</v>
      </c>
      <c r="B577" t="s">
        <v>10894</v>
      </c>
      <c r="C577" t="s">
        <v>74</v>
      </c>
      <c r="D577" t="s">
        <v>74</v>
      </c>
      <c r="E577" t="s">
        <v>74</v>
      </c>
      <c r="F577" t="s">
        <v>10895</v>
      </c>
      <c r="G577" t="s">
        <v>74</v>
      </c>
      <c r="H577" t="s">
        <v>74</v>
      </c>
      <c r="I577" t="s">
        <v>10896</v>
      </c>
      <c r="J577" t="s">
        <v>2197</v>
      </c>
      <c r="K577" t="s">
        <v>74</v>
      </c>
      <c r="L577" t="s">
        <v>74</v>
      </c>
      <c r="M577" t="s">
        <v>78</v>
      </c>
      <c r="N577" t="s">
        <v>1246</v>
      </c>
      <c r="O577" t="s">
        <v>74</v>
      </c>
      <c r="P577" t="s">
        <v>74</v>
      </c>
      <c r="Q577" t="s">
        <v>74</v>
      </c>
      <c r="R577" t="s">
        <v>74</v>
      </c>
      <c r="S577" t="s">
        <v>74</v>
      </c>
      <c r="T577" t="s">
        <v>10897</v>
      </c>
      <c r="U577" t="s">
        <v>74</v>
      </c>
      <c r="V577" t="s">
        <v>10898</v>
      </c>
      <c r="W577" t="s">
        <v>10899</v>
      </c>
      <c r="X577" t="s">
        <v>10900</v>
      </c>
      <c r="Y577" t="s">
        <v>10901</v>
      </c>
      <c r="Z577" t="s">
        <v>10902</v>
      </c>
      <c r="AA577" t="s">
        <v>74</v>
      </c>
      <c r="AB577" t="s">
        <v>74</v>
      </c>
      <c r="AC577" t="s">
        <v>74</v>
      </c>
      <c r="AD577" t="s">
        <v>74</v>
      </c>
      <c r="AE577" t="s">
        <v>74</v>
      </c>
      <c r="AF577" t="s">
        <v>74</v>
      </c>
      <c r="AG577">
        <v>31</v>
      </c>
      <c r="AH577">
        <v>0</v>
      </c>
      <c r="AI577">
        <v>0</v>
      </c>
      <c r="AJ577">
        <v>0</v>
      </c>
      <c r="AK577">
        <v>0</v>
      </c>
      <c r="AL577" t="s">
        <v>172</v>
      </c>
      <c r="AM577" t="s">
        <v>173</v>
      </c>
      <c r="AN577" t="s">
        <v>174</v>
      </c>
      <c r="AO577" t="s">
        <v>2204</v>
      </c>
      <c r="AP577" t="s">
        <v>2205</v>
      </c>
      <c r="AQ577" t="s">
        <v>74</v>
      </c>
      <c r="AR577" t="s">
        <v>2206</v>
      </c>
      <c r="AS577" t="s">
        <v>2207</v>
      </c>
      <c r="AT577" t="s">
        <v>10648</v>
      </c>
      <c r="AU577">
        <v>2023</v>
      </c>
      <c r="AV577" t="s">
        <v>74</v>
      </c>
      <c r="AW577" t="s">
        <v>74</v>
      </c>
      <c r="AX577" t="s">
        <v>74</v>
      </c>
      <c r="AY577" t="s">
        <v>74</v>
      </c>
      <c r="AZ577" t="s">
        <v>74</v>
      </c>
      <c r="BA577" t="s">
        <v>74</v>
      </c>
      <c r="BB577" t="s">
        <v>74</v>
      </c>
      <c r="BC577" t="s">
        <v>74</v>
      </c>
      <c r="BD577" t="s">
        <v>74</v>
      </c>
      <c r="BE577" t="s">
        <v>10903</v>
      </c>
      <c r="BF577" t="str">
        <f>HYPERLINK("http://dx.doi.org/10.1007/s43441-023-00572-8","http://dx.doi.org/10.1007/s43441-023-00572-8")</f>
        <v>http://dx.doi.org/10.1007/s43441-023-00572-8</v>
      </c>
      <c r="BG577" t="s">
        <v>74</v>
      </c>
      <c r="BH577" t="s">
        <v>10650</v>
      </c>
      <c r="BI577">
        <v>8</v>
      </c>
      <c r="BJ577" t="s">
        <v>2209</v>
      </c>
      <c r="BK577" t="s">
        <v>126</v>
      </c>
      <c r="BL577" t="s">
        <v>2209</v>
      </c>
      <c r="BM577" t="s">
        <v>10904</v>
      </c>
      <c r="BN577">
        <v>37651044</v>
      </c>
      <c r="BO577" t="s">
        <v>74</v>
      </c>
      <c r="BP577" t="s">
        <v>74</v>
      </c>
      <c r="BQ577" t="s">
        <v>74</v>
      </c>
      <c r="BR577" t="s">
        <v>99</v>
      </c>
      <c r="BS577" t="s">
        <v>10905</v>
      </c>
      <c r="BT577" t="str">
        <f>HYPERLINK("https%3A%2F%2Fwww.webofscience.com%2Fwos%2Fwoscc%2Ffull-record%2FWOS:001062521700001","View Full Record in Web of Science")</f>
        <v>View Full Record in Web of Science</v>
      </c>
    </row>
    <row r="578" spans="1:72" x14ac:dyDescent="0.15">
      <c r="A578" t="s">
        <v>72</v>
      </c>
      <c r="B578" t="s">
        <v>10906</v>
      </c>
      <c r="C578" t="s">
        <v>74</v>
      </c>
      <c r="D578" t="s">
        <v>74</v>
      </c>
      <c r="E578" t="s">
        <v>74</v>
      </c>
      <c r="F578" t="s">
        <v>10907</v>
      </c>
      <c r="G578" t="s">
        <v>74</v>
      </c>
      <c r="H578" t="s">
        <v>74</v>
      </c>
      <c r="I578" t="s">
        <v>10908</v>
      </c>
      <c r="J578" t="s">
        <v>2913</v>
      </c>
      <c r="K578" t="s">
        <v>74</v>
      </c>
      <c r="L578" t="s">
        <v>74</v>
      </c>
      <c r="M578" t="s">
        <v>78</v>
      </c>
      <c r="N578" t="s">
        <v>1246</v>
      </c>
      <c r="O578" t="s">
        <v>74</v>
      </c>
      <c r="P578" t="s">
        <v>74</v>
      </c>
      <c r="Q578" t="s">
        <v>74</v>
      </c>
      <c r="R578" t="s">
        <v>74</v>
      </c>
      <c r="S578" t="s">
        <v>74</v>
      </c>
      <c r="T578" t="s">
        <v>10909</v>
      </c>
      <c r="U578" t="s">
        <v>74</v>
      </c>
      <c r="V578" t="s">
        <v>10910</v>
      </c>
      <c r="W578" t="s">
        <v>10911</v>
      </c>
      <c r="X578" t="s">
        <v>10912</v>
      </c>
      <c r="Y578" t="s">
        <v>10913</v>
      </c>
      <c r="Z578" t="s">
        <v>10914</v>
      </c>
      <c r="AA578" t="s">
        <v>74</v>
      </c>
      <c r="AB578" t="s">
        <v>74</v>
      </c>
      <c r="AC578" t="s">
        <v>10915</v>
      </c>
      <c r="AD578" t="s">
        <v>10916</v>
      </c>
      <c r="AE578" t="s">
        <v>10917</v>
      </c>
      <c r="AF578" t="s">
        <v>74</v>
      </c>
      <c r="AG578">
        <v>51</v>
      </c>
      <c r="AH578">
        <v>0</v>
      </c>
      <c r="AI578">
        <v>0</v>
      </c>
      <c r="AJ578">
        <v>0</v>
      </c>
      <c r="AK578">
        <v>0</v>
      </c>
      <c r="AL578" t="s">
        <v>117</v>
      </c>
      <c r="AM578" t="s">
        <v>627</v>
      </c>
      <c r="AN578" t="s">
        <v>628</v>
      </c>
      <c r="AO578" t="s">
        <v>2921</v>
      </c>
      <c r="AP578" t="s">
        <v>2922</v>
      </c>
      <c r="AQ578" t="s">
        <v>74</v>
      </c>
      <c r="AR578" t="s">
        <v>2923</v>
      </c>
      <c r="AS578" t="s">
        <v>2924</v>
      </c>
      <c r="AT578" t="s">
        <v>10648</v>
      </c>
      <c r="AU578">
        <v>2023</v>
      </c>
      <c r="AV578" t="s">
        <v>74</v>
      </c>
      <c r="AW578" t="s">
        <v>74</v>
      </c>
      <c r="AX578" t="s">
        <v>74</v>
      </c>
      <c r="AY578" t="s">
        <v>74</v>
      </c>
      <c r="AZ578" t="s">
        <v>74</v>
      </c>
      <c r="BA578" t="s">
        <v>74</v>
      </c>
      <c r="BB578" t="s">
        <v>74</v>
      </c>
      <c r="BC578" t="s">
        <v>74</v>
      </c>
      <c r="BD578" t="s">
        <v>74</v>
      </c>
      <c r="BE578" t="s">
        <v>10918</v>
      </c>
      <c r="BF578" t="str">
        <f>HYPERLINK("http://dx.doi.org/10.1007/s11042-023-16532-1","http://dx.doi.org/10.1007/s11042-023-16532-1")</f>
        <v>http://dx.doi.org/10.1007/s11042-023-16532-1</v>
      </c>
      <c r="BG578" t="s">
        <v>74</v>
      </c>
      <c r="BH578" t="s">
        <v>10650</v>
      </c>
      <c r="BI578">
        <v>17</v>
      </c>
      <c r="BJ578" t="s">
        <v>2926</v>
      </c>
      <c r="BK578" t="s">
        <v>126</v>
      </c>
      <c r="BL578" t="s">
        <v>2493</v>
      </c>
      <c r="BM578" t="s">
        <v>10919</v>
      </c>
      <c r="BN578" t="s">
        <v>74</v>
      </c>
      <c r="BO578" t="s">
        <v>74</v>
      </c>
      <c r="BP578" t="s">
        <v>74</v>
      </c>
      <c r="BQ578" t="s">
        <v>74</v>
      </c>
      <c r="BR578" t="s">
        <v>99</v>
      </c>
      <c r="BS578" t="s">
        <v>10920</v>
      </c>
      <c r="BT578" t="str">
        <f>HYPERLINK("https%3A%2F%2Fwww.webofscience.com%2Fwos%2Fwoscc%2Ffull-record%2FWOS:001062556300010","View Full Record in Web of Science")</f>
        <v>View Full Record in Web of Science</v>
      </c>
    </row>
    <row r="579" spans="1:72" x14ac:dyDescent="0.15">
      <c r="A579" t="s">
        <v>72</v>
      </c>
      <c r="B579" t="s">
        <v>10921</v>
      </c>
      <c r="C579" t="s">
        <v>74</v>
      </c>
      <c r="D579" t="s">
        <v>74</v>
      </c>
      <c r="E579" t="s">
        <v>74</v>
      </c>
      <c r="F579" t="s">
        <v>10922</v>
      </c>
      <c r="G579" t="s">
        <v>74</v>
      </c>
      <c r="H579" t="s">
        <v>74</v>
      </c>
      <c r="I579" t="s">
        <v>10923</v>
      </c>
      <c r="J579" t="s">
        <v>6064</v>
      </c>
      <c r="K579" t="s">
        <v>74</v>
      </c>
      <c r="L579" t="s">
        <v>74</v>
      </c>
      <c r="M579" t="s">
        <v>78</v>
      </c>
      <c r="N579" t="s">
        <v>79</v>
      </c>
      <c r="O579" t="s">
        <v>74</v>
      </c>
      <c r="P579" t="s">
        <v>74</v>
      </c>
      <c r="Q579" t="s">
        <v>74</v>
      </c>
      <c r="R579" t="s">
        <v>74</v>
      </c>
      <c r="S579" t="s">
        <v>74</v>
      </c>
      <c r="T579" t="s">
        <v>10924</v>
      </c>
      <c r="U579" t="s">
        <v>10925</v>
      </c>
      <c r="V579" t="s">
        <v>10926</v>
      </c>
      <c r="W579" t="s">
        <v>10927</v>
      </c>
      <c r="X579" t="s">
        <v>10928</v>
      </c>
      <c r="Y579" t="s">
        <v>10929</v>
      </c>
      <c r="Z579" t="s">
        <v>10930</v>
      </c>
      <c r="AA579" t="s">
        <v>74</v>
      </c>
      <c r="AB579" t="s">
        <v>74</v>
      </c>
      <c r="AC579" t="s">
        <v>10931</v>
      </c>
      <c r="AD579" t="s">
        <v>10932</v>
      </c>
      <c r="AE579" t="s">
        <v>10933</v>
      </c>
      <c r="AF579" t="s">
        <v>74</v>
      </c>
      <c r="AG579">
        <v>27</v>
      </c>
      <c r="AH579">
        <v>0</v>
      </c>
      <c r="AI579">
        <v>0</v>
      </c>
      <c r="AJ579">
        <v>0</v>
      </c>
      <c r="AK579">
        <v>0</v>
      </c>
      <c r="AL579" t="s">
        <v>87</v>
      </c>
      <c r="AM579" t="s">
        <v>88</v>
      </c>
      <c r="AN579" t="s">
        <v>89</v>
      </c>
      <c r="AO579" t="s">
        <v>6071</v>
      </c>
      <c r="AP579" t="s">
        <v>6072</v>
      </c>
      <c r="AQ579" t="s">
        <v>74</v>
      </c>
      <c r="AR579" t="s">
        <v>6073</v>
      </c>
      <c r="AS579" t="s">
        <v>6074</v>
      </c>
      <c r="AT579" t="s">
        <v>10681</v>
      </c>
      <c r="AU579">
        <v>2023</v>
      </c>
      <c r="AV579">
        <v>48</v>
      </c>
      <c r="AW579">
        <v>3</v>
      </c>
      <c r="AX579" t="s">
        <v>74</v>
      </c>
      <c r="AY579" t="s">
        <v>74</v>
      </c>
      <c r="AZ579" t="s">
        <v>74</v>
      </c>
      <c r="BA579" t="s">
        <v>74</v>
      </c>
      <c r="BB579" t="s">
        <v>74</v>
      </c>
      <c r="BC579" t="s">
        <v>74</v>
      </c>
      <c r="BD579">
        <v>189</v>
      </c>
      <c r="BE579" t="s">
        <v>10934</v>
      </c>
      <c r="BF579" t="str">
        <f>HYPERLINK("http://dx.doi.org/10.1007/s12046-023-02248-3","http://dx.doi.org/10.1007/s12046-023-02248-3")</f>
        <v>http://dx.doi.org/10.1007/s12046-023-02248-3</v>
      </c>
      <c r="BG579" t="s">
        <v>74</v>
      </c>
      <c r="BH579" t="s">
        <v>74</v>
      </c>
      <c r="BI579">
        <v>13</v>
      </c>
      <c r="BJ579" t="s">
        <v>5647</v>
      </c>
      <c r="BK579" t="s">
        <v>126</v>
      </c>
      <c r="BL579" t="s">
        <v>277</v>
      </c>
      <c r="BM579" t="s">
        <v>10935</v>
      </c>
      <c r="BN579" t="s">
        <v>74</v>
      </c>
      <c r="BO579" t="s">
        <v>74</v>
      </c>
      <c r="BP579" t="s">
        <v>74</v>
      </c>
      <c r="BQ579" t="s">
        <v>74</v>
      </c>
      <c r="BR579" t="s">
        <v>99</v>
      </c>
      <c r="BS579" t="s">
        <v>10936</v>
      </c>
      <c r="BT579" t="str">
        <f>HYPERLINK("https%3A%2F%2Fwww.webofscience.com%2Fwos%2Fwoscc%2Ffull-record%2FWOS:001061541900001","View Full Record in Web of Science")</f>
        <v>View Full Record in Web of Science</v>
      </c>
    </row>
    <row r="580" spans="1:72" x14ac:dyDescent="0.15">
      <c r="A580" t="s">
        <v>72</v>
      </c>
      <c r="B580" t="s">
        <v>10937</v>
      </c>
      <c r="C580" t="s">
        <v>74</v>
      </c>
      <c r="D580" t="s">
        <v>74</v>
      </c>
      <c r="E580" t="s">
        <v>74</v>
      </c>
      <c r="F580" t="s">
        <v>10938</v>
      </c>
      <c r="G580" t="s">
        <v>74</v>
      </c>
      <c r="H580" t="s">
        <v>74</v>
      </c>
      <c r="I580" t="s">
        <v>10939</v>
      </c>
      <c r="J580" t="s">
        <v>10940</v>
      </c>
      <c r="K580" t="s">
        <v>74</v>
      </c>
      <c r="L580" t="s">
        <v>74</v>
      </c>
      <c r="M580" t="s">
        <v>78</v>
      </c>
      <c r="N580" t="s">
        <v>79</v>
      </c>
      <c r="O580" t="s">
        <v>74</v>
      </c>
      <c r="P580" t="s">
        <v>74</v>
      </c>
      <c r="Q580" t="s">
        <v>74</v>
      </c>
      <c r="R580" t="s">
        <v>74</v>
      </c>
      <c r="S580" t="s">
        <v>74</v>
      </c>
      <c r="T580" t="s">
        <v>10941</v>
      </c>
      <c r="U580" t="s">
        <v>10942</v>
      </c>
      <c r="V580" t="s">
        <v>10943</v>
      </c>
      <c r="W580" t="s">
        <v>10944</v>
      </c>
      <c r="X580" t="s">
        <v>74</v>
      </c>
      <c r="Y580" t="s">
        <v>10945</v>
      </c>
      <c r="Z580" t="s">
        <v>10946</v>
      </c>
      <c r="AA580" t="s">
        <v>74</v>
      </c>
      <c r="AB580" t="s">
        <v>74</v>
      </c>
      <c r="AC580" t="s">
        <v>932</v>
      </c>
      <c r="AD580" t="s">
        <v>932</v>
      </c>
      <c r="AE580" t="s">
        <v>932</v>
      </c>
      <c r="AF580" t="s">
        <v>74</v>
      </c>
      <c r="AG580">
        <v>42</v>
      </c>
      <c r="AH580">
        <v>0</v>
      </c>
      <c r="AI580">
        <v>0</v>
      </c>
      <c r="AJ580">
        <v>2</v>
      </c>
      <c r="AK580">
        <v>2</v>
      </c>
      <c r="AL580" t="s">
        <v>443</v>
      </c>
      <c r="AM580" t="s">
        <v>245</v>
      </c>
      <c r="AN580" t="s">
        <v>444</v>
      </c>
      <c r="AO580" t="s">
        <v>10947</v>
      </c>
      <c r="AP580" t="s">
        <v>74</v>
      </c>
      <c r="AQ580" t="s">
        <v>74</v>
      </c>
      <c r="AR580" t="s">
        <v>10948</v>
      </c>
      <c r="AS580" t="s">
        <v>10949</v>
      </c>
      <c r="AT580" t="s">
        <v>10681</v>
      </c>
      <c r="AU580">
        <v>2023</v>
      </c>
      <c r="AV580">
        <v>23</v>
      </c>
      <c r="AW580">
        <v>1</v>
      </c>
      <c r="AX580" t="s">
        <v>74</v>
      </c>
      <c r="AY580" t="s">
        <v>74</v>
      </c>
      <c r="AZ580" t="s">
        <v>74</v>
      </c>
      <c r="BA580" t="s">
        <v>74</v>
      </c>
      <c r="BB580" t="s">
        <v>74</v>
      </c>
      <c r="BC580" t="s">
        <v>74</v>
      </c>
      <c r="BD580">
        <v>316</v>
      </c>
      <c r="BE580" t="s">
        <v>10950</v>
      </c>
      <c r="BF580" t="str">
        <f>HYPERLINK("http://dx.doi.org/10.1186/s12890-023-02607-0","http://dx.doi.org/10.1186/s12890-023-02607-0")</f>
        <v>http://dx.doi.org/10.1186/s12890-023-02607-0</v>
      </c>
      <c r="BG580" t="s">
        <v>74</v>
      </c>
      <c r="BH580" t="s">
        <v>74</v>
      </c>
      <c r="BI580">
        <v>11</v>
      </c>
      <c r="BJ580" t="s">
        <v>3972</v>
      </c>
      <c r="BK580" t="s">
        <v>126</v>
      </c>
      <c r="BL580" t="s">
        <v>3972</v>
      </c>
      <c r="BM580" t="s">
        <v>10951</v>
      </c>
      <c r="BN580">
        <v>37653511</v>
      </c>
      <c r="BO580" t="s">
        <v>3356</v>
      </c>
      <c r="BP580" t="s">
        <v>74</v>
      </c>
      <c r="BQ580" t="s">
        <v>74</v>
      </c>
      <c r="BR580" t="s">
        <v>99</v>
      </c>
      <c r="BS580" t="s">
        <v>10952</v>
      </c>
      <c r="BT580" t="str">
        <f>HYPERLINK("https%3A%2F%2Fwww.webofscience.com%2Fwos%2Fwoscc%2Ffull-record%2FWOS:001059581900002","View Full Record in Web of Science")</f>
        <v>View Full Record in Web of Science</v>
      </c>
    </row>
    <row r="581" spans="1:72" x14ac:dyDescent="0.15">
      <c r="A581" t="s">
        <v>72</v>
      </c>
      <c r="B581" t="s">
        <v>10953</v>
      </c>
      <c r="C581" t="s">
        <v>74</v>
      </c>
      <c r="D581" t="s">
        <v>74</v>
      </c>
      <c r="E581" t="s">
        <v>74</v>
      </c>
      <c r="F581" t="s">
        <v>10954</v>
      </c>
      <c r="G581" t="s">
        <v>74</v>
      </c>
      <c r="H581" t="s">
        <v>74</v>
      </c>
      <c r="I581" t="s">
        <v>10955</v>
      </c>
      <c r="J581" t="s">
        <v>3804</v>
      </c>
      <c r="K581" t="s">
        <v>74</v>
      </c>
      <c r="L581" t="s">
        <v>74</v>
      </c>
      <c r="M581" t="s">
        <v>78</v>
      </c>
      <c r="N581" t="s">
        <v>1246</v>
      </c>
      <c r="O581" t="s">
        <v>74</v>
      </c>
      <c r="P581" t="s">
        <v>74</v>
      </c>
      <c r="Q581" t="s">
        <v>74</v>
      </c>
      <c r="R581" t="s">
        <v>74</v>
      </c>
      <c r="S581" t="s">
        <v>74</v>
      </c>
      <c r="T581" t="s">
        <v>10956</v>
      </c>
      <c r="U581" t="s">
        <v>74</v>
      </c>
      <c r="V581" t="s">
        <v>10957</v>
      </c>
      <c r="W581" t="s">
        <v>10958</v>
      </c>
      <c r="X581" t="s">
        <v>10959</v>
      </c>
      <c r="Y581" t="s">
        <v>10960</v>
      </c>
      <c r="Z581" t="s">
        <v>10961</v>
      </c>
      <c r="AA581" t="s">
        <v>74</v>
      </c>
      <c r="AB581" t="s">
        <v>74</v>
      </c>
      <c r="AC581" t="s">
        <v>10962</v>
      </c>
      <c r="AD581" t="s">
        <v>10963</v>
      </c>
      <c r="AE581" t="s">
        <v>10964</v>
      </c>
      <c r="AF581" t="s">
        <v>74</v>
      </c>
      <c r="AG581">
        <v>37</v>
      </c>
      <c r="AH581">
        <v>0</v>
      </c>
      <c r="AI581">
        <v>0</v>
      </c>
      <c r="AJ581">
        <v>0</v>
      </c>
      <c r="AK581">
        <v>0</v>
      </c>
      <c r="AL581" t="s">
        <v>244</v>
      </c>
      <c r="AM581" t="s">
        <v>245</v>
      </c>
      <c r="AN581" t="s">
        <v>246</v>
      </c>
      <c r="AO581" t="s">
        <v>3812</v>
      </c>
      <c r="AP581" t="s">
        <v>3813</v>
      </c>
      <c r="AQ581" t="s">
        <v>74</v>
      </c>
      <c r="AR581" t="s">
        <v>3814</v>
      </c>
      <c r="AS581" t="s">
        <v>3815</v>
      </c>
      <c r="AT581" t="s">
        <v>10648</v>
      </c>
      <c r="AU581">
        <v>2023</v>
      </c>
      <c r="AV581" t="s">
        <v>74</v>
      </c>
      <c r="AW581" t="s">
        <v>74</v>
      </c>
      <c r="AX581" t="s">
        <v>74</v>
      </c>
      <c r="AY581" t="s">
        <v>74</v>
      </c>
      <c r="AZ581" t="s">
        <v>74</v>
      </c>
      <c r="BA581" t="s">
        <v>74</v>
      </c>
      <c r="BB581" t="s">
        <v>74</v>
      </c>
      <c r="BC581" t="s">
        <v>74</v>
      </c>
      <c r="BD581" t="s">
        <v>74</v>
      </c>
      <c r="BE581" t="s">
        <v>10965</v>
      </c>
      <c r="BF581" t="str">
        <f>HYPERLINK("http://dx.doi.org/10.1007/s10115-023-01962","http://dx.doi.org/10.1007/s10115-023-01962")</f>
        <v>http://dx.doi.org/10.1007/s10115-023-01962</v>
      </c>
      <c r="BG581" t="s">
        <v>74</v>
      </c>
      <c r="BH581" t="s">
        <v>10650</v>
      </c>
      <c r="BI581">
        <v>33</v>
      </c>
      <c r="BJ581" t="s">
        <v>3818</v>
      </c>
      <c r="BK581" t="s">
        <v>126</v>
      </c>
      <c r="BL581" t="s">
        <v>1139</v>
      </c>
      <c r="BM581" t="s">
        <v>10966</v>
      </c>
      <c r="BN581" t="s">
        <v>74</v>
      </c>
      <c r="BO581" t="s">
        <v>74</v>
      </c>
      <c r="BP581" t="s">
        <v>74</v>
      </c>
      <c r="BQ581" t="s">
        <v>74</v>
      </c>
      <c r="BR581" t="s">
        <v>99</v>
      </c>
      <c r="BS581" t="s">
        <v>10967</v>
      </c>
      <c r="BT581" t="str">
        <f>HYPERLINK("https%3A%2F%2Fwww.webofscience.com%2Fwos%2Fwoscc%2Ffull-record%2FWOS:001062547200002","View Full Record in Web of Science")</f>
        <v>View Full Record in Web of Science</v>
      </c>
    </row>
    <row r="582" spans="1:72" x14ac:dyDescent="0.15">
      <c r="A582" t="s">
        <v>72</v>
      </c>
      <c r="B582" t="s">
        <v>10968</v>
      </c>
      <c r="C582" t="s">
        <v>74</v>
      </c>
      <c r="D582" t="s">
        <v>74</v>
      </c>
      <c r="E582" t="s">
        <v>74</v>
      </c>
      <c r="F582" t="s">
        <v>10969</v>
      </c>
      <c r="G582" t="s">
        <v>74</v>
      </c>
      <c r="H582" t="s">
        <v>74</v>
      </c>
      <c r="I582" t="s">
        <v>10970</v>
      </c>
      <c r="J582" t="s">
        <v>10971</v>
      </c>
      <c r="K582" t="s">
        <v>74</v>
      </c>
      <c r="L582" t="s">
        <v>74</v>
      </c>
      <c r="M582" t="s">
        <v>78</v>
      </c>
      <c r="N582" t="s">
        <v>1246</v>
      </c>
      <c r="O582" t="s">
        <v>74</v>
      </c>
      <c r="P582" t="s">
        <v>74</v>
      </c>
      <c r="Q582" t="s">
        <v>74</v>
      </c>
      <c r="R582" t="s">
        <v>74</v>
      </c>
      <c r="S582" t="s">
        <v>74</v>
      </c>
      <c r="T582" t="s">
        <v>10972</v>
      </c>
      <c r="U582" t="s">
        <v>10973</v>
      </c>
      <c r="V582" t="s">
        <v>10974</v>
      </c>
      <c r="W582" t="s">
        <v>10975</v>
      </c>
      <c r="X582" t="s">
        <v>10976</v>
      </c>
      <c r="Y582" t="s">
        <v>10977</v>
      </c>
      <c r="Z582" t="s">
        <v>10978</v>
      </c>
      <c r="AA582" t="s">
        <v>74</v>
      </c>
      <c r="AB582" t="s">
        <v>74</v>
      </c>
      <c r="AC582" t="s">
        <v>10979</v>
      </c>
      <c r="AD582" t="s">
        <v>10980</v>
      </c>
      <c r="AE582" t="s">
        <v>10981</v>
      </c>
      <c r="AF582" t="s">
        <v>74</v>
      </c>
      <c r="AG582">
        <v>148</v>
      </c>
      <c r="AH582">
        <v>0</v>
      </c>
      <c r="AI582">
        <v>0</v>
      </c>
      <c r="AJ582">
        <v>0</v>
      </c>
      <c r="AK582">
        <v>0</v>
      </c>
      <c r="AL582" t="s">
        <v>117</v>
      </c>
      <c r="AM582" t="s">
        <v>118</v>
      </c>
      <c r="AN582" t="s">
        <v>119</v>
      </c>
      <c r="AO582" t="s">
        <v>10982</v>
      </c>
      <c r="AP582" t="s">
        <v>10983</v>
      </c>
      <c r="AQ582" t="s">
        <v>74</v>
      </c>
      <c r="AR582" t="s">
        <v>10984</v>
      </c>
      <c r="AS582" t="s">
        <v>10985</v>
      </c>
      <c r="AT582" t="s">
        <v>10648</v>
      </c>
      <c r="AU582">
        <v>2023</v>
      </c>
      <c r="AV582" t="s">
        <v>74</v>
      </c>
      <c r="AW582" t="s">
        <v>74</v>
      </c>
      <c r="AX582" t="s">
        <v>74</v>
      </c>
      <c r="AY582" t="s">
        <v>74</v>
      </c>
      <c r="AZ582" t="s">
        <v>74</v>
      </c>
      <c r="BA582" t="s">
        <v>74</v>
      </c>
      <c r="BB582" t="s">
        <v>74</v>
      </c>
      <c r="BC582" t="s">
        <v>74</v>
      </c>
      <c r="BD582" t="s">
        <v>74</v>
      </c>
      <c r="BE582" t="s">
        <v>10986</v>
      </c>
      <c r="BF582" t="str">
        <f>HYPERLINK("http://dx.doi.org/10.1007/s12155-023-10661","http://dx.doi.org/10.1007/s12155-023-10661")</f>
        <v>http://dx.doi.org/10.1007/s12155-023-10661</v>
      </c>
      <c r="BG582" t="s">
        <v>74</v>
      </c>
      <c r="BH582" t="s">
        <v>10650</v>
      </c>
      <c r="BI582">
        <v>15</v>
      </c>
      <c r="BJ582" t="s">
        <v>10987</v>
      </c>
      <c r="BK582" t="s">
        <v>126</v>
      </c>
      <c r="BL582" t="s">
        <v>10988</v>
      </c>
      <c r="BM582" t="s">
        <v>10989</v>
      </c>
      <c r="BN582" t="s">
        <v>74</v>
      </c>
      <c r="BO582" t="s">
        <v>74</v>
      </c>
      <c r="BP582" t="s">
        <v>74</v>
      </c>
      <c r="BQ582" t="s">
        <v>74</v>
      </c>
      <c r="BR582" t="s">
        <v>99</v>
      </c>
      <c r="BS582" t="s">
        <v>10990</v>
      </c>
      <c r="BT582" t="str">
        <f>HYPERLINK("https%3A%2F%2Fwww.webofscience.com%2Fwos%2Fwoscc%2Ffull-record%2FWOS:001062523800001","View Full Record in Web of Science")</f>
        <v>View Full Record in Web of Science</v>
      </c>
    </row>
    <row r="583" spans="1:72" x14ac:dyDescent="0.15">
      <c r="A583" t="s">
        <v>72</v>
      </c>
      <c r="B583" t="s">
        <v>10991</v>
      </c>
      <c r="C583" t="s">
        <v>74</v>
      </c>
      <c r="D583" t="s">
        <v>74</v>
      </c>
      <c r="E583" t="s">
        <v>74</v>
      </c>
      <c r="F583" t="s">
        <v>10992</v>
      </c>
      <c r="G583" t="s">
        <v>74</v>
      </c>
      <c r="H583" t="s">
        <v>74</v>
      </c>
      <c r="I583" t="s">
        <v>10993</v>
      </c>
      <c r="J583" t="s">
        <v>4750</v>
      </c>
      <c r="K583" t="s">
        <v>74</v>
      </c>
      <c r="L583" t="s">
        <v>74</v>
      </c>
      <c r="M583" t="s">
        <v>78</v>
      </c>
      <c r="N583" t="s">
        <v>79</v>
      </c>
      <c r="O583" t="s">
        <v>74</v>
      </c>
      <c r="P583" t="s">
        <v>74</v>
      </c>
      <c r="Q583" t="s">
        <v>74</v>
      </c>
      <c r="R583" t="s">
        <v>74</v>
      </c>
      <c r="S583" t="s">
        <v>74</v>
      </c>
      <c r="T583" t="s">
        <v>74</v>
      </c>
      <c r="U583" t="s">
        <v>10994</v>
      </c>
      <c r="V583" t="s">
        <v>10995</v>
      </c>
      <c r="W583" t="s">
        <v>10996</v>
      </c>
      <c r="X583" t="s">
        <v>10997</v>
      </c>
      <c r="Y583" t="s">
        <v>10998</v>
      </c>
      <c r="Z583" t="s">
        <v>10999</v>
      </c>
      <c r="AA583" t="s">
        <v>74</v>
      </c>
      <c r="AB583" t="s">
        <v>74</v>
      </c>
      <c r="AC583" t="s">
        <v>11000</v>
      </c>
      <c r="AD583" t="s">
        <v>11001</v>
      </c>
      <c r="AE583" t="s">
        <v>11002</v>
      </c>
      <c r="AF583" t="s">
        <v>74</v>
      </c>
      <c r="AG583">
        <v>35</v>
      </c>
      <c r="AH583">
        <v>0</v>
      </c>
      <c r="AI583">
        <v>0</v>
      </c>
      <c r="AJ583">
        <v>10</v>
      </c>
      <c r="AK583">
        <v>10</v>
      </c>
      <c r="AL583" t="s">
        <v>317</v>
      </c>
      <c r="AM583" t="s">
        <v>245</v>
      </c>
      <c r="AN583" t="s">
        <v>318</v>
      </c>
      <c r="AO583" t="s">
        <v>4756</v>
      </c>
      <c r="AP583" t="s">
        <v>4757</v>
      </c>
      <c r="AQ583" t="s">
        <v>74</v>
      </c>
      <c r="AR583" t="s">
        <v>4758</v>
      </c>
      <c r="AS583" t="s">
        <v>4759</v>
      </c>
      <c r="AT583" t="s">
        <v>10681</v>
      </c>
      <c r="AU583">
        <v>2023</v>
      </c>
      <c r="AV583">
        <v>12</v>
      </c>
      <c r="AW583">
        <v>1</v>
      </c>
      <c r="AX583" t="s">
        <v>74</v>
      </c>
      <c r="AY583" t="s">
        <v>74</v>
      </c>
      <c r="AZ583" t="s">
        <v>74</v>
      </c>
      <c r="BA583" t="s">
        <v>74</v>
      </c>
      <c r="BB583" t="s">
        <v>74</v>
      </c>
      <c r="BC583" t="s">
        <v>74</v>
      </c>
      <c r="BD583">
        <v>213</v>
      </c>
      <c r="BE583" t="s">
        <v>11003</v>
      </c>
      <c r="BF583" t="str">
        <f>HYPERLINK("http://dx.doi.org/10.1038/s41377-023-01267-3","http://dx.doi.org/10.1038/s41377-023-01267-3")</f>
        <v>http://dx.doi.org/10.1038/s41377-023-01267-3</v>
      </c>
      <c r="BG583" t="s">
        <v>74</v>
      </c>
      <c r="BH583" t="s">
        <v>74</v>
      </c>
      <c r="BI583">
        <v>17</v>
      </c>
      <c r="BJ583" t="s">
        <v>3048</v>
      </c>
      <c r="BK583" t="s">
        <v>126</v>
      </c>
      <c r="BL583" t="s">
        <v>3048</v>
      </c>
      <c r="BM583" t="s">
        <v>10850</v>
      </c>
      <c r="BN583">
        <v>37653022</v>
      </c>
      <c r="BO583" t="s">
        <v>3356</v>
      </c>
      <c r="BP583" t="s">
        <v>74</v>
      </c>
      <c r="BQ583" t="s">
        <v>74</v>
      </c>
      <c r="BR583" t="s">
        <v>99</v>
      </c>
      <c r="BS583" t="s">
        <v>11004</v>
      </c>
      <c r="BT583" t="str">
        <f>HYPERLINK("https%3A%2F%2Fwww.webofscience.com%2Fwos%2Fwoscc%2Ffull-record%2FWOS:001059602500001","View Full Record in Web of Science")</f>
        <v>View Full Record in Web of Science</v>
      </c>
    </row>
    <row r="584" spans="1:72" x14ac:dyDescent="0.15">
      <c r="A584" t="s">
        <v>72</v>
      </c>
      <c r="B584" t="s">
        <v>11005</v>
      </c>
      <c r="C584" t="s">
        <v>74</v>
      </c>
      <c r="D584" t="s">
        <v>74</v>
      </c>
      <c r="E584" t="s">
        <v>74</v>
      </c>
      <c r="F584" t="s">
        <v>11006</v>
      </c>
      <c r="G584" t="s">
        <v>74</v>
      </c>
      <c r="H584" t="s">
        <v>74</v>
      </c>
      <c r="I584" t="s">
        <v>11007</v>
      </c>
      <c r="J584" t="s">
        <v>5396</v>
      </c>
      <c r="K584" t="s">
        <v>74</v>
      </c>
      <c r="L584" t="s">
        <v>74</v>
      </c>
      <c r="M584" t="s">
        <v>78</v>
      </c>
      <c r="N584" t="s">
        <v>79</v>
      </c>
      <c r="O584" t="s">
        <v>74</v>
      </c>
      <c r="P584" t="s">
        <v>74</v>
      </c>
      <c r="Q584" t="s">
        <v>74</v>
      </c>
      <c r="R584" t="s">
        <v>74</v>
      </c>
      <c r="S584" t="s">
        <v>74</v>
      </c>
      <c r="T584" t="s">
        <v>74</v>
      </c>
      <c r="U584" t="s">
        <v>74</v>
      </c>
      <c r="V584" t="s">
        <v>11008</v>
      </c>
      <c r="W584" t="s">
        <v>11009</v>
      </c>
      <c r="X584" t="s">
        <v>11010</v>
      </c>
      <c r="Y584" t="s">
        <v>11011</v>
      </c>
      <c r="Z584" t="s">
        <v>11012</v>
      </c>
      <c r="AA584" t="s">
        <v>74</v>
      </c>
      <c r="AB584" t="s">
        <v>74</v>
      </c>
      <c r="AC584" t="s">
        <v>11013</v>
      </c>
      <c r="AD584" t="s">
        <v>11014</v>
      </c>
      <c r="AE584" t="s">
        <v>11015</v>
      </c>
      <c r="AF584" t="s">
        <v>74</v>
      </c>
      <c r="AG584">
        <v>47</v>
      </c>
      <c r="AH584">
        <v>0</v>
      </c>
      <c r="AI584">
        <v>0</v>
      </c>
      <c r="AJ584">
        <v>0</v>
      </c>
      <c r="AK584">
        <v>0</v>
      </c>
      <c r="AL584" t="s">
        <v>172</v>
      </c>
      <c r="AM584" t="s">
        <v>173</v>
      </c>
      <c r="AN584" t="s">
        <v>174</v>
      </c>
      <c r="AO584" t="s">
        <v>5404</v>
      </c>
      <c r="AP584" t="s">
        <v>74</v>
      </c>
      <c r="AQ584" t="s">
        <v>74</v>
      </c>
      <c r="AR584" t="s">
        <v>5405</v>
      </c>
      <c r="AS584" t="s">
        <v>5406</v>
      </c>
      <c r="AT584" t="s">
        <v>10681</v>
      </c>
      <c r="AU584">
        <v>2023</v>
      </c>
      <c r="AV584">
        <v>138</v>
      </c>
      <c r="AW584">
        <v>8</v>
      </c>
      <c r="AX584" t="s">
        <v>74</v>
      </c>
      <c r="AY584" t="s">
        <v>74</v>
      </c>
      <c r="AZ584" t="s">
        <v>74</v>
      </c>
      <c r="BA584" t="s">
        <v>74</v>
      </c>
      <c r="BB584" t="s">
        <v>74</v>
      </c>
      <c r="BC584" t="s">
        <v>74</v>
      </c>
      <c r="BD584">
        <v>772</v>
      </c>
      <c r="BE584" t="s">
        <v>11016</v>
      </c>
      <c r="BF584" t="str">
        <f>HYPERLINK("http://dx.doi.org/10.1140/epjp/s13360-023-04356-9","http://dx.doi.org/10.1140/epjp/s13360-023-04356-9")</f>
        <v>http://dx.doi.org/10.1140/epjp/s13360-023-04356-9</v>
      </c>
      <c r="BG584" t="s">
        <v>74</v>
      </c>
      <c r="BH584" t="s">
        <v>74</v>
      </c>
      <c r="BI584">
        <v>19</v>
      </c>
      <c r="BJ584" t="s">
        <v>386</v>
      </c>
      <c r="BK584" t="s">
        <v>126</v>
      </c>
      <c r="BL584" t="s">
        <v>387</v>
      </c>
      <c r="BM584" t="s">
        <v>10752</v>
      </c>
      <c r="BN584" t="s">
        <v>74</v>
      </c>
      <c r="BO584" t="s">
        <v>74</v>
      </c>
      <c r="BP584" t="s">
        <v>74</v>
      </c>
      <c r="BQ584" t="s">
        <v>74</v>
      </c>
      <c r="BR584" t="s">
        <v>99</v>
      </c>
      <c r="BS584" t="s">
        <v>11017</v>
      </c>
      <c r="BT584" t="str">
        <f>HYPERLINK("https%3A%2F%2Fwww.webofscience.com%2Fwos%2Fwoscc%2Ffull-record%2FWOS:001059580900004","View Full Record in Web of Science")</f>
        <v>View Full Record in Web of Science</v>
      </c>
    </row>
    <row r="585" spans="1:72" x14ac:dyDescent="0.15">
      <c r="A585" t="s">
        <v>72</v>
      </c>
      <c r="B585" t="s">
        <v>11018</v>
      </c>
      <c r="C585" t="s">
        <v>74</v>
      </c>
      <c r="D585" t="s">
        <v>74</v>
      </c>
      <c r="E585" t="s">
        <v>74</v>
      </c>
      <c r="F585" t="s">
        <v>11019</v>
      </c>
      <c r="G585" t="s">
        <v>74</v>
      </c>
      <c r="H585" t="s">
        <v>74</v>
      </c>
      <c r="I585" t="s">
        <v>11020</v>
      </c>
      <c r="J585" t="s">
        <v>11021</v>
      </c>
      <c r="K585" t="s">
        <v>74</v>
      </c>
      <c r="L585" t="s">
        <v>74</v>
      </c>
      <c r="M585" t="s">
        <v>78</v>
      </c>
      <c r="N585" t="s">
        <v>79</v>
      </c>
      <c r="O585" t="s">
        <v>74</v>
      </c>
      <c r="P585" t="s">
        <v>74</v>
      </c>
      <c r="Q585" t="s">
        <v>74</v>
      </c>
      <c r="R585" t="s">
        <v>74</v>
      </c>
      <c r="S585" t="s">
        <v>74</v>
      </c>
      <c r="T585" t="s">
        <v>11022</v>
      </c>
      <c r="U585" t="s">
        <v>11023</v>
      </c>
      <c r="V585" t="s">
        <v>11024</v>
      </c>
      <c r="W585" t="s">
        <v>11025</v>
      </c>
      <c r="X585" t="s">
        <v>11026</v>
      </c>
      <c r="Y585" t="s">
        <v>11027</v>
      </c>
      <c r="Z585" t="s">
        <v>11028</v>
      </c>
      <c r="AA585" t="s">
        <v>74</v>
      </c>
      <c r="AB585" t="s">
        <v>74</v>
      </c>
      <c r="AC585" t="s">
        <v>11029</v>
      </c>
      <c r="AD585" t="s">
        <v>11030</v>
      </c>
      <c r="AE585" t="s">
        <v>11031</v>
      </c>
      <c r="AF585" t="s">
        <v>74</v>
      </c>
      <c r="AG585">
        <v>87</v>
      </c>
      <c r="AH585">
        <v>0</v>
      </c>
      <c r="AI585">
        <v>0</v>
      </c>
      <c r="AJ585">
        <v>0</v>
      </c>
      <c r="AK585">
        <v>0</v>
      </c>
      <c r="AL585" t="s">
        <v>443</v>
      </c>
      <c r="AM585" t="s">
        <v>245</v>
      </c>
      <c r="AN585" t="s">
        <v>444</v>
      </c>
      <c r="AO585" t="s">
        <v>11032</v>
      </c>
      <c r="AP585" t="s">
        <v>74</v>
      </c>
      <c r="AQ585" t="s">
        <v>74</v>
      </c>
      <c r="AR585" t="s">
        <v>11033</v>
      </c>
      <c r="AS585" t="s">
        <v>11034</v>
      </c>
      <c r="AT585" t="s">
        <v>10681</v>
      </c>
      <c r="AU585">
        <v>2023</v>
      </c>
      <c r="AV585">
        <v>24</v>
      </c>
      <c r="AW585">
        <v>1</v>
      </c>
      <c r="AX585" t="s">
        <v>74</v>
      </c>
      <c r="AY585" t="s">
        <v>74</v>
      </c>
      <c r="AZ585" t="s">
        <v>74</v>
      </c>
      <c r="BA585" t="s">
        <v>74</v>
      </c>
      <c r="BB585" t="s">
        <v>74</v>
      </c>
      <c r="BC585" t="s">
        <v>74</v>
      </c>
      <c r="BD585">
        <v>199</v>
      </c>
      <c r="BE585" t="s">
        <v>11035</v>
      </c>
      <c r="BF585" t="str">
        <f>HYPERLINK("http://dx.doi.org/10.1186/s13059-023-03031-7","http://dx.doi.org/10.1186/s13059-023-03031-7")</f>
        <v>http://dx.doi.org/10.1186/s13059-023-03031-7</v>
      </c>
      <c r="BG585" t="s">
        <v>74</v>
      </c>
      <c r="BH585" t="s">
        <v>74</v>
      </c>
      <c r="BI585">
        <v>41</v>
      </c>
      <c r="BJ585" t="s">
        <v>4881</v>
      </c>
      <c r="BK585" t="s">
        <v>126</v>
      </c>
      <c r="BL585" t="s">
        <v>4881</v>
      </c>
      <c r="BM585" t="s">
        <v>11036</v>
      </c>
      <c r="BN585">
        <v>37653425</v>
      </c>
      <c r="BO585" t="s">
        <v>302</v>
      </c>
      <c r="BP585" t="s">
        <v>74</v>
      </c>
      <c r="BQ585" t="s">
        <v>74</v>
      </c>
      <c r="BR585" t="s">
        <v>99</v>
      </c>
      <c r="BS585" t="s">
        <v>11037</v>
      </c>
      <c r="BT585" t="str">
        <f>HYPERLINK("https%3A%2F%2Fwww.webofscience.com%2Fwos%2Fwoscc%2Ffull-record%2FWOS:001059595200001","View Full Record in Web of Science")</f>
        <v>View Full Record in Web of Science</v>
      </c>
    </row>
    <row r="586" spans="1:72" x14ac:dyDescent="0.15">
      <c r="A586" t="s">
        <v>72</v>
      </c>
      <c r="B586" t="s">
        <v>11038</v>
      </c>
      <c r="C586" t="s">
        <v>74</v>
      </c>
      <c r="D586" t="s">
        <v>74</v>
      </c>
      <c r="E586" t="s">
        <v>74</v>
      </c>
      <c r="F586" t="s">
        <v>11039</v>
      </c>
      <c r="G586" t="s">
        <v>74</v>
      </c>
      <c r="H586" t="s">
        <v>74</v>
      </c>
      <c r="I586" t="s">
        <v>11040</v>
      </c>
      <c r="J586" t="s">
        <v>11041</v>
      </c>
      <c r="K586" t="s">
        <v>74</v>
      </c>
      <c r="L586" t="s">
        <v>74</v>
      </c>
      <c r="M586" t="s">
        <v>78</v>
      </c>
      <c r="N586" t="s">
        <v>1246</v>
      </c>
      <c r="O586" t="s">
        <v>74</v>
      </c>
      <c r="P586" t="s">
        <v>74</v>
      </c>
      <c r="Q586" t="s">
        <v>74</v>
      </c>
      <c r="R586" t="s">
        <v>74</v>
      </c>
      <c r="S586" t="s">
        <v>74</v>
      </c>
      <c r="T586" t="s">
        <v>11042</v>
      </c>
      <c r="U586" t="s">
        <v>11043</v>
      </c>
      <c r="V586" t="s">
        <v>11044</v>
      </c>
      <c r="W586" t="s">
        <v>11045</v>
      </c>
      <c r="X586" t="s">
        <v>11046</v>
      </c>
      <c r="Y586" t="s">
        <v>11047</v>
      </c>
      <c r="Z586" t="s">
        <v>11048</v>
      </c>
      <c r="AA586" t="s">
        <v>74</v>
      </c>
      <c r="AB586" t="s">
        <v>74</v>
      </c>
      <c r="AC586" t="s">
        <v>74</v>
      </c>
      <c r="AD586" t="s">
        <v>74</v>
      </c>
      <c r="AE586" t="s">
        <v>74</v>
      </c>
      <c r="AF586" t="s">
        <v>74</v>
      </c>
      <c r="AG586">
        <v>58</v>
      </c>
      <c r="AH586">
        <v>0</v>
      </c>
      <c r="AI586">
        <v>0</v>
      </c>
      <c r="AJ586">
        <v>1</v>
      </c>
      <c r="AK586">
        <v>1</v>
      </c>
      <c r="AL586" t="s">
        <v>117</v>
      </c>
      <c r="AM586" t="s">
        <v>118</v>
      </c>
      <c r="AN586" t="s">
        <v>119</v>
      </c>
      <c r="AO586" t="s">
        <v>11049</v>
      </c>
      <c r="AP586" t="s">
        <v>11050</v>
      </c>
      <c r="AQ586" t="s">
        <v>74</v>
      </c>
      <c r="AR586" t="s">
        <v>11051</v>
      </c>
      <c r="AS586" t="s">
        <v>11052</v>
      </c>
      <c r="AT586" t="s">
        <v>11053</v>
      </c>
      <c r="AU586">
        <v>2023</v>
      </c>
      <c r="AV586" t="s">
        <v>74</v>
      </c>
      <c r="AW586" t="s">
        <v>74</v>
      </c>
      <c r="AX586" t="s">
        <v>74</v>
      </c>
      <c r="AY586" t="s">
        <v>74</v>
      </c>
      <c r="AZ586" t="s">
        <v>74</v>
      </c>
      <c r="BA586" t="s">
        <v>74</v>
      </c>
      <c r="BB586" t="s">
        <v>74</v>
      </c>
      <c r="BC586" t="s">
        <v>74</v>
      </c>
      <c r="BD586" t="s">
        <v>74</v>
      </c>
      <c r="BE586" t="s">
        <v>11054</v>
      </c>
      <c r="BF586" t="str">
        <f>HYPERLINK("http://dx.doi.org/10.1007/s12064-023-00402-3","http://dx.doi.org/10.1007/s12064-023-00402-3")</f>
        <v>http://dx.doi.org/10.1007/s12064-023-00402-3</v>
      </c>
      <c r="BG586" t="s">
        <v>74</v>
      </c>
      <c r="BH586" t="s">
        <v>10650</v>
      </c>
      <c r="BI586">
        <v>12</v>
      </c>
      <c r="BJ586" t="s">
        <v>11055</v>
      </c>
      <c r="BK586" t="s">
        <v>126</v>
      </c>
      <c r="BL586" t="s">
        <v>11056</v>
      </c>
      <c r="BM586" t="s">
        <v>11057</v>
      </c>
      <c r="BN586">
        <v>37648910</v>
      </c>
      <c r="BO586" t="s">
        <v>1183</v>
      </c>
      <c r="BP586" t="s">
        <v>74</v>
      </c>
      <c r="BQ586" t="s">
        <v>74</v>
      </c>
      <c r="BR586" t="s">
        <v>99</v>
      </c>
      <c r="BS586" t="s">
        <v>11058</v>
      </c>
      <c r="BT586" t="str">
        <f>HYPERLINK("https%3A%2F%2Fwww.webofscience.com%2Fwos%2Fwoscc%2Ffull-record%2FWOS:001062061100001","View Full Record in Web of Science")</f>
        <v>View Full Record in Web of Science</v>
      </c>
    </row>
    <row r="587" spans="1:72" x14ac:dyDescent="0.15">
      <c r="A587" t="s">
        <v>72</v>
      </c>
      <c r="B587" t="s">
        <v>11059</v>
      </c>
      <c r="C587" t="s">
        <v>74</v>
      </c>
      <c r="D587" t="s">
        <v>74</v>
      </c>
      <c r="E587" t="s">
        <v>74</v>
      </c>
      <c r="F587" t="s">
        <v>11060</v>
      </c>
      <c r="G587" t="s">
        <v>74</v>
      </c>
      <c r="H587" t="s">
        <v>74</v>
      </c>
      <c r="I587" t="s">
        <v>11061</v>
      </c>
      <c r="J587" t="s">
        <v>11062</v>
      </c>
      <c r="K587" t="s">
        <v>74</v>
      </c>
      <c r="L587" t="s">
        <v>74</v>
      </c>
      <c r="M587" t="s">
        <v>78</v>
      </c>
      <c r="N587" t="s">
        <v>2174</v>
      </c>
      <c r="O587" t="s">
        <v>74</v>
      </c>
      <c r="P587" t="s">
        <v>74</v>
      </c>
      <c r="Q587" t="s">
        <v>74</v>
      </c>
      <c r="R587" t="s">
        <v>74</v>
      </c>
      <c r="S587" t="s">
        <v>74</v>
      </c>
      <c r="T587" t="s">
        <v>11063</v>
      </c>
      <c r="U587" t="s">
        <v>11064</v>
      </c>
      <c r="V587" t="s">
        <v>11065</v>
      </c>
      <c r="W587" t="s">
        <v>11066</v>
      </c>
      <c r="X587" t="s">
        <v>11067</v>
      </c>
      <c r="Y587" t="s">
        <v>11068</v>
      </c>
      <c r="Z587" t="s">
        <v>11069</v>
      </c>
      <c r="AA587" t="s">
        <v>11070</v>
      </c>
      <c r="AB587" t="s">
        <v>11071</v>
      </c>
      <c r="AC587" t="s">
        <v>11072</v>
      </c>
      <c r="AD587" t="s">
        <v>11073</v>
      </c>
      <c r="AE587" t="s">
        <v>11074</v>
      </c>
      <c r="AF587" t="s">
        <v>74</v>
      </c>
      <c r="AG587">
        <v>72</v>
      </c>
      <c r="AH587">
        <v>0</v>
      </c>
      <c r="AI587">
        <v>0</v>
      </c>
      <c r="AJ587">
        <v>0</v>
      </c>
      <c r="AK587">
        <v>0</v>
      </c>
      <c r="AL587" t="s">
        <v>1295</v>
      </c>
      <c r="AM587" t="s">
        <v>1296</v>
      </c>
      <c r="AN587" t="s">
        <v>1297</v>
      </c>
      <c r="AO587" t="s">
        <v>11075</v>
      </c>
      <c r="AP587" t="s">
        <v>11076</v>
      </c>
      <c r="AQ587" t="s">
        <v>74</v>
      </c>
      <c r="AR587" t="s">
        <v>11077</v>
      </c>
      <c r="AS587" t="s">
        <v>11078</v>
      </c>
      <c r="AT587" t="s">
        <v>11053</v>
      </c>
      <c r="AU587">
        <v>2023</v>
      </c>
      <c r="AV587" t="s">
        <v>74</v>
      </c>
      <c r="AW587" t="s">
        <v>74</v>
      </c>
      <c r="AX587" t="s">
        <v>74</v>
      </c>
      <c r="AY587" t="s">
        <v>74</v>
      </c>
      <c r="AZ587" t="s">
        <v>74</v>
      </c>
      <c r="BA587" t="s">
        <v>74</v>
      </c>
      <c r="BB587" t="s">
        <v>74</v>
      </c>
      <c r="BC587" t="s">
        <v>74</v>
      </c>
      <c r="BD587" t="s">
        <v>74</v>
      </c>
      <c r="BE587" t="s">
        <v>11079</v>
      </c>
      <c r="BF587" t="str">
        <f>HYPERLINK("http://dx.doi.org/10.1007/s40336-023-00582-4","http://dx.doi.org/10.1007/s40336-023-00582-4")</f>
        <v>http://dx.doi.org/10.1007/s40336-023-00582-4</v>
      </c>
      <c r="BG587" t="s">
        <v>74</v>
      </c>
      <c r="BH587" t="s">
        <v>10650</v>
      </c>
      <c r="BI587">
        <v>24</v>
      </c>
      <c r="BJ587" t="s">
        <v>2396</v>
      </c>
      <c r="BK587" t="s">
        <v>126</v>
      </c>
      <c r="BL587" t="s">
        <v>2396</v>
      </c>
      <c r="BM587" t="s">
        <v>11080</v>
      </c>
      <c r="BN587" t="s">
        <v>74</v>
      </c>
      <c r="BO587" t="s">
        <v>74</v>
      </c>
      <c r="BP587" t="s">
        <v>74</v>
      </c>
      <c r="BQ587" t="s">
        <v>74</v>
      </c>
      <c r="BR587" t="s">
        <v>99</v>
      </c>
      <c r="BS587" t="s">
        <v>11081</v>
      </c>
      <c r="BT587" t="str">
        <f>HYPERLINK("https%3A%2F%2Fwww.webofscience.com%2Fwos%2Fwoscc%2Ffull-record%2FWOS:001061478900001","View Full Record in Web of Science")</f>
        <v>View Full Record in Web of Science</v>
      </c>
    </row>
    <row r="588" spans="1:72" x14ac:dyDescent="0.15">
      <c r="A588" t="s">
        <v>72</v>
      </c>
      <c r="B588" t="s">
        <v>11082</v>
      </c>
      <c r="C588" t="s">
        <v>74</v>
      </c>
      <c r="D588" t="s">
        <v>74</v>
      </c>
      <c r="E588" t="s">
        <v>74</v>
      </c>
      <c r="F588" t="s">
        <v>11083</v>
      </c>
      <c r="G588" t="s">
        <v>74</v>
      </c>
      <c r="H588" t="s">
        <v>74</v>
      </c>
      <c r="I588" t="s">
        <v>11084</v>
      </c>
      <c r="J588" t="s">
        <v>11085</v>
      </c>
      <c r="K588" t="s">
        <v>74</v>
      </c>
      <c r="L588" t="s">
        <v>74</v>
      </c>
      <c r="M588" t="s">
        <v>78</v>
      </c>
      <c r="N588" t="s">
        <v>1246</v>
      </c>
      <c r="O588" t="s">
        <v>74</v>
      </c>
      <c r="P588" t="s">
        <v>74</v>
      </c>
      <c r="Q588" t="s">
        <v>74</v>
      </c>
      <c r="R588" t="s">
        <v>74</v>
      </c>
      <c r="S588" t="s">
        <v>74</v>
      </c>
      <c r="T588" t="s">
        <v>11086</v>
      </c>
      <c r="U588" t="s">
        <v>11087</v>
      </c>
      <c r="V588" t="s">
        <v>11088</v>
      </c>
      <c r="W588" t="s">
        <v>11089</v>
      </c>
      <c r="X588" t="s">
        <v>11090</v>
      </c>
      <c r="Y588" t="s">
        <v>11091</v>
      </c>
      <c r="Z588" t="s">
        <v>11092</v>
      </c>
      <c r="AA588" t="s">
        <v>11093</v>
      </c>
      <c r="AB588" t="s">
        <v>11094</v>
      </c>
      <c r="AC588" t="s">
        <v>74</v>
      </c>
      <c r="AD588" t="s">
        <v>74</v>
      </c>
      <c r="AE588" t="s">
        <v>74</v>
      </c>
      <c r="AF588" t="s">
        <v>74</v>
      </c>
      <c r="AG588">
        <v>98</v>
      </c>
      <c r="AH588">
        <v>0</v>
      </c>
      <c r="AI588">
        <v>0</v>
      </c>
      <c r="AJ588">
        <v>1</v>
      </c>
      <c r="AK588">
        <v>1</v>
      </c>
      <c r="AL588" t="s">
        <v>172</v>
      </c>
      <c r="AM588" t="s">
        <v>173</v>
      </c>
      <c r="AN588" t="s">
        <v>174</v>
      </c>
      <c r="AO588" t="s">
        <v>11095</v>
      </c>
      <c r="AP588" t="s">
        <v>11096</v>
      </c>
      <c r="AQ588" t="s">
        <v>74</v>
      </c>
      <c r="AR588" t="s">
        <v>11097</v>
      </c>
      <c r="AS588" t="s">
        <v>11098</v>
      </c>
      <c r="AT588" t="s">
        <v>11053</v>
      </c>
      <c r="AU588">
        <v>2023</v>
      </c>
      <c r="AV588" t="s">
        <v>74</v>
      </c>
      <c r="AW588" t="s">
        <v>74</v>
      </c>
      <c r="AX588" t="s">
        <v>74</v>
      </c>
      <c r="AY588" t="s">
        <v>74</v>
      </c>
      <c r="AZ588" t="s">
        <v>74</v>
      </c>
      <c r="BA588" t="s">
        <v>74</v>
      </c>
      <c r="BB588" t="s">
        <v>74</v>
      </c>
      <c r="BC588" t="s">
        <v>74</v>
      </c>
      <c r="BD588" t="s">
        <v>74</v>
      </c>
      <c r="BE588" t="s">
        <v>11099</v>
      </c>
      <c r="BF588" t="str">
        <f>HYPERLINK("http://dx.doi.org/10.1007/s11740-023-01221-7","http://dx.doi.org/10.1007/s11740-023-01221-7")</f>
        <v>http://dx.doi.org/10.1007/s11740-023-01221-7</v>
      </c>
      <c r="BG588" t="s">
        <v>74</v>
      </c>
      <c r="BH588" t="s">
        <v>10650</v>
      </c>
      <c r="BI588">
        <v>16</v>
      </c>
      <c r="BJ588" t="s">
        <v>5090</v>
      </c>
      <c r="BK588" t="s">
        <v>97</v>
      </c>
      <c r="BL588" t="s">
        <v>277</v>
      </c>
      <c r="BM588" t="s">
        <v>11100</v>
      </c>
      <c r="BN588" t="s">
        <v>74</v>
      </c>
      <c r="BO588" t="s">
        <v>74</v>
      </c>
      <c r="BP588" t="s">
        <v>74</v>
      </c>
      <c r="BQ588" t="s">
        <v>74</v>
      </c>
      <c r="BR588" t="s">
        <v>99</v>
      </c>
      <c r="BS588" t="s">
        <v>11101</v>
      </c>
      <c r="BT588" t="str">
        <f>HYPERLINK("https%3A%2F%2Fwww.webofscience.com%2Fwos%2Fwoscc%2Ffull-record%2FWOS:001062053100001","View Full Record in Web of Science")</f>
        <v>View Full Record in Web of Science</v>
      </c>
    </row>
    <row r="589" spans="1:72" x14ac:dyDescent="0.15">
      <c r="A589" t="s">
        <v>72</v>
      </c>
      <c r="B589" t="s">
        <v>11102</v>
      </c>
      <c r="C589" t="s">
        <v>74</v>
      </c>
      <c r="D589" t="s">
        <v>74</v>
      </c>
      <c r="E589" t="s">
        <v>74</v>
      </c>
      <c r="F589" t="s">
        <v>11103</v>
      </c>
      <c r="G589" t="s">
        <v>74</v>
      </c>
      <c r="H589" t="s">
        <v>74</v>
      </c>
      <c r="I589" t="s">
        <v>11104</v>
      </c>
      <c r="J589" t="s">
        <v>11105</v>
      </c>
      <c r="K589" t="s">
        <v>74</v>
      </c>
      <c r="L589" t="s">
        <v>74</v>
      </c>
      <c r="M589" t="s">
        <v>78</v>
      </c>
      <c r="N589" t="s">
        <v>79</v>
      </c>
      <c r="O589" t="s">
        <v>74</v>
      </c>
      <c r="P589" t="s">
        <v>74</v>
      </c>
      <c r="Q589" t="s">
        <v>74</v>
      </c>
      <c r="R589" t="s">
        <v>74</v>
      </c>
      <c r="S589" t="s">
        <v>74</v>
      </c>
      <c r="T589" t="s">
        <v>74</v>
      </c>
      <c r="U589" t="s">
        <v>11106</v>
      </c>
      <c r="V589" t="s">
        <v>11107</v>
      </c>
      <c r="W589" t="s">
        <v>11108</v>
      </c>
      <c r="X589" t="s">
        <v>11109</v>
      </c>
      <c r="Y589" t="s">
        <v>11110</v>
      </c>
      <c r="Z589" t="s">
        <v>11111</v>
      </c>
      <c r="AA589" t="s">
        <v>74</v>
      </c>
      <c r="AB589" t="s">
        <v>74</v>
      </c>
      <c r="AC589" t="s">
        <v>11112</v>
      </c>
      <c r="AD589" t="s">
        <v>11113</v>
      </c>
      <c r="AE589" t="s">
        <v>11114</v>
      </c>
      <c r="AF589" t="s">
        <v>74</v>
      </c>
      <c r="AG589">
        <v>44</v>
      </c>
      <c r="AH589">
        <v>0</v>
      </c>
      <c r="AI589">
        <v>0</v>
      </c>
      <c r="AJ589">
        <v>0</v>
      </c>
      <c r="AK589">
        <v>0</v>
      </c>
      <c r="AL589" t="s">
        <v>317</v>
      </c>
      <c r="AM589" t="s">
        <v>245</v>
      </c>
      <c r="AN589" t="s">
        <v>318</v>
      </c>
      <c r="AO589" t="s">
        <v>11115</v>
      </c>
      <c r="AP589" t="s">
        <v>74</v>
      </c>
      <c r="AQ589" t="s">
        <v>74</v>
      </c>
      <c r="AR589" t="s">
        <v>11116</v>
      </c>
      <c r="AS589" t="s">
        <v>11117</v>
      </c>
      <c r="AT589" t="s">
        <v>11118</v>
      </c>
      <c r="AU589">
        <v>2023</v>
      </c>
      <c r="AV589">
        <v>14</v>
      </c>
      <c r="AW589">
        <v>8</v>
      </c>
      <c r="AX589" t="s">
        <v>74</v>
      </c>
      <c r="AY589" t="s">
        <v>74</v>
      </c>
      <c r="AZ589" t="s">
        <v>74</v>
      </c>
      <c r="BA589" t="s">
        <v>74</v>
      </c>
      <c r="BB589" t="s">
        <v>74</v>
      </c>
      <c r="BC589" t="s">
        <v>74</v>
      </c>
      <c r="BD589">
        <v>575</v>
      </c>
      <c r="BE589" t="s">
        <v>11119</v>
      </c>
      <c r="BF589" t="str">
        <f>HYPERLINK("http://dx.doi.org/10.1038/s41419-023-06043-0","http://dx.doi.org/10.1038/s41419-023-06043-0")</f>
        <v>http://dx.doi.org/10.1038/s41419-023-06043-0</v>
      </c>
      <c r="BG589" t="s">
        <v>74</v>
      </c>
      <c r="BH589" t="s">
        <v>74</v>
      </c>
      <c r="BI589">
        <v>16</v>
      </c>
      <c r="BJ589" t="s">
        <v>7100</v>
      </c>
      <c r="BK589" t="s">
        <v>126</v>
      </c>
      <c r="BL589" t="s">
        <v>7100</v>
      </c>
      <c r="BM589" t="s">
        <v>11120</v>
      </c>
      <c r="BN589">
        <v>37648688</v>
      </c>
      <c r="BO589" t="s">
        <v>302</v>
      </c>
      <c r="BP589" t="s">
        <v>74</v>
      </c>
      <c r="BQ589" t="s">
        <v>74</v>
      </c>
      <c r="BR589" t="s">
        <v>99</v>
      </c>
      <c r="BS589" t="s">
        <v>11121</v>
      </c>
      <c r="BT589" t="str">
        <f>HYPERLINK("https%3A%2F%2Fwww.webofscience.com%2Fwos%2Fwoscc%2Ffull-record%2FWOS:001058708200003","View Full Record in Web of Science")</f>
        <v>View Full Record in Web of Science</v>
      </c>
    </row>
    <row r="590" spans="1:72" x14ac:dyDescent="0.15">
      <c r="A590" t="s">
        <v>72</v>
      </c>
      <c r="B590" t="s">
        <v>11122</v>
      </c>
      <c r="C590" t="s">
        <v>74</v>
      </c>
      <c r="D590" t="s">
        <v>74</v>
      </c>
      <c r="E590" t="s">
        <v>74</v>
      </c>
      <c r="F590" t="s">
        <v>11123</v>
      </c>
      <c r="G590" t="s">
        <v>74</v>
      </c>
      <c r="H590" t="s">
        <v>74</v>
      </c>
      <c r="I590" t="s">
        <v>11124</v>
      </c>
      <c r="J590" t="s">
        <v>11125</v>
      </c>
      <c r="K590" t="s">
        <v>74</v>
      </c>
      <c r="L590" t="s">
        <v>74</v>
      </c>
      <c r="M590" t="s">
        <v>78</v>
      </c>
      <c r="N590" t="s">
        <v>79</v>
      </c>
      <c r="O590" t="s">
        <v>74</v>
      </c>
      <c r="P590" t="s">
        <v>74</v>
      </c>
      <c r="Q590" t="s">
        <v>74</v>
      </c>
      <c r="R590" t="s">
        <v>74</v>
      </c>
      <c r="S590" t="s">
        <v>74</v>
      </c>
      <c r="T590" t="s">
        <v>11126</v>
      </c>
      <c r="U590" t="s">
        <v>11127</v>
      </c>
      <c r="V590" t="s">
        <v>11128</v>
      </c>
      <c r="W590" t="s">
        <v>11129</v>
      </c>
      <c r="X590" t="s">
        <v>11130</v>
      </c>
      <c r="Y590" t="s">
        <v>11131</v>
      </c>
      <c r="Z590" t="s">
        <v>11132</v>
      </c>
      <c r="AA590" t="s">
        <v>74</v>
      </c>
      <c r="AB590" t="s">
        <v>74</v>
      </c>
      <c r="AC590" t="s">
        <v>11133</v>
      </c>
      <c r="AD590" t="s">
        <v>11133</v>
      </c>
      <c r="AE590" t="s">
        <v>11134</v>
      </c>
      <c r="AF590" t="s">
        <v>74</v>
      </c>
      <c r="AG590">
        <v>36</v>
      </c>
      <c r="AH590">
        <v>0</v>
      </c>
      <c r="AI590">
        <v>0</v>
      </c>
      <c r="AJ590">
        <v>0</v>
      </c>
      <c r="AK590">
        <v>0</v>
      </c>
      <c r="AL590" t="s">
        <v>317</v>
      </c>
      <c r="AM590" t="s">
        <v>245</v>
      </c>
      <c r="AN590" t="s">
        <v>318</v>
      </c>
      <c r="AO590" t="s">
        <v>11135</v>
      </c>
      <c r="AP590" t="s">
        <v>74</v>
      </c>
      <c r="AQ590" t="s">
        <v>74</v>
      </c>
      <c r="AR590" t="s">
        <v>11136</v>
      </c>
      <c r="AS590" t="s">
        <v>11137</v>
      </c>
      <c r="AT590" t="s">
        <v>11118</v>
      </c>
      <c r="AU590">
        <v>2023</v>
      </c>
      <c r="AV590">
        <v>21</v>
      </c>
      <c r="AW590">
        <v>1</v>
      </c>
      <c r="AX590" t="s">
        <v>74</v>
      </c>
      <c r="AY590" t="s">
        <v>74</v>
      </c>
      <c r="AZ590" t="s">
        <v>74</v>
      </c>
      <c r="BA590" t="s">
        <v>74</v>
      </c>
      <c r="BB590" t="s">
        <v>74</v>
      </c>
      <c r="BC590" t="s">
        <v>74</v>
      </c>
      <c r="BD590">
        <v>189</v>
      </c>
      <c r="BE590" t="s">
        <v>11138</v>
      </c>
      <c r="BF590" t="str">
        <f>HYPERLINK("http://dx.doi.org/10.1186/s43141-023-00544-3","http://dx.doi.org/10.1186/s43141-023-00544-3")</f>
        <v>http://dx.doi.org/10.1186/s43141-023-00544-3</v>
      </c>
      <c r="BG590" t="s">
        <v>74</v>
      </c>
      <c r="BH590" t="s">
        <v>74</v>
      </c>
      <c r="BI590">
        <v>8</v>
      </c>
      <c r="BJ590" t="s">
        <v>11139</v>
      </c>
      <c r="BK590" t="s">
        <v>97</v>
      </c>
      <c r="BL590" t="s">
        <v>11140</v>
      </c>
      <c r="BM590" t="s">
        <v>11141</v>
      </c>
      <c r="BN590">
        <v>37646837</v>
      </c>
      <c r="BO590" t="s">
        <v>302</v>
      </c>
      <c r="BP590" t="s">
        <v>74</v>
      </c>
      <c r="BQ590" t="s">
        <v>74</v>
      </c>
      <c r="BR590" t="s">
        <v>99</v>
      </c>
      <c r="BS590" t="s">
        <v>11142</v>
      </c>
      <c r="BT590" t="str">
        <f>HYPERLINK("https%3A%2F%2Fwww.webofscience.com%2Fwos%2Fwoscc%2Ffull-record%2FWOS:001058553800001","View Full Record in Web of Science")</f>
        <v>View Full Record in Web of Science</v>
      </c>
    </row>
    <row r="591" spans="1:72" x14ac:dyDescent="0.15">
      <c r="A591" t="s">
        <v>72</v>
      </c>
      <c r="B591" t="s">
        <v>11143</v>
      </c>
      <c r="C591" t="s">
        <v>74</v>
      </c>
      <c r="D591" t="s">
        <v>74</v>
      </c>
      <c r="E591" t="s">
        <v>74</v>
      </c>
      <c r="F591" t="s">
        <v>11144</v>
      </c>
      <c r="G591" t="s">
        <v>74</v>
      </c>
      <c r="H591" t="s">
        <v>74</v>
      </c>
      <c r="I591" t="s">
        <v>11145</v>
      </c>
      <c r="J591" t="s">
        <v>11146</v>
      </c>
      <c r="K591" t="s">
        <v>74</v>
      </c>
      <c r="L591" t="s">
        <v>74</v>
      </c>
      <c r="M591" t="s">
        <v>78</v>
      </c>
      <c r="N591" t="s">
        <v>79</v>
      </c>
      <c r="O591" t="s">
        <v>74</v>
      </c>
      <c r="P591" t="s">
        <v>74</v>
      </c>
      <c r="Q591" t="s">
        <v>74</v>
      </c>
      <c r="R591" t="s">
        <v>74</v>
      </c>
      <c r="S591" t="s">
        <v>74</v>
      </c>
      <c r="T591" t="s">
        <v>11147</v>
      </c>
      <c r="U591" t="s">
        <v>11148</v>
      </c>
      <c r="V591" t="s">
        <v>11149</v>
      </c>
      <c r="W591" t="s">
        <v>11150</v>
      </c>
      <c r="X591" t="s">
        <v>11151</v>
      </c>
      <c r="Y591" t="s">
        <v>11152</v>
      </c>
      <c r="Z591" t="s">
        <v>11153</v>
      </c>
      <c r="AA591" t="s">
        <v>74</v>
      </c>
      <c r="AB591" t="s">
        <v>74</v>
      </c>
      <c r="AC591" t="s">
        <v>74</v>
      </c>
      <c r="AD591" t="s">
        <v>74</v>
      </c>
      <c r="AE591" t="s">
        <v>74</v>
      </c>
      <c r="AF591" t="s">
        <v>74</v>
      </c>
      <c r="AG591">
        <v>21</v>
      </c>
      <c r="AH591">
        <v>0</v>
      </c>
      <c r="AI591">
        <v>0</v>
      </c>
      <c r="AJ591">
        <v>1</v>
      </c>
      <c r="AK591">
        <v>1</v>
      </c>
      <c r="AL591" t="s">
        <v>117</v>
      </c>
      <c r="AM591" t="s">
        <v>118</v>
      </c>
      <c r="AN591" t="s">
        <v>119</v>
      </c>
      <c r="AO591" t="s">
        <v>11154</v>
      </c>
      <c r="AP591" t="s">
        <v>11155</v>
      </c>
      <c r="AQ591" t="s">
        <v>74</v>
      </c>
      <c r="AR591" t="s">
        <v>11156</v>
      </c>
      <c r="AS591" t="s">
        <v>11157</v>
      </c>
      <c r="AT591" t="s">
        <v>11118</v>
      </c>
      <c r="AU591">
        <v>2023</v>
      </c>
      <c r="AV591">
        <v>38</v>
      </c>
      <c r="AW591">
        <v>1</v>
      </c>
      <c r="AX591" t="s">
        <v>74</v>
      </c>
      <c r="AY591" t="s">
        <v>74</v>
      </c>
      <c r="AZ591" t="s">
        <v>74</v>
      </c>
      <c r="BA591" t="s">
        <v>74</v>
      </c>
      <c r="BB591" t="s">
        <v>74</v>
      </c>
      <c r="BC591" t="s">
        <v>74</v>
      </c>
      <c r="BD591">
        <v>222</v>
      </c>
      <c r="BE591" t="s">
        <v>11158</v>
      </c>
      <c r="BF591" t="str">
        <f>HYPERLINK("http://dx.doi.org/10.1007/s00384-023-04516-4","http://dx.doi.org/10.1007/s00384-023-04516-4")</f>
        <v>http://dx.doi.org/10.1007/s00384-023-04516-4</v>
      </c>
      <c r="BG591" t="s">
        <v>74</v>
      </c>
      <c r="BH591" t="s">
        <v>74</v>
      </c>
      <c r="BI591">
        <v>7</v>
      </c>
      <c r="BJ591" t="s">
        <v>11159</v>
      </c>
      <c r="BK591" t="s">
        <v>126</v>
      </c>
      <c r="BL591" t="s">
        <v>11159</v>
      </c>
      <c r="BM591" t="s">
        <v>11160</v>
      </c>
      <c r="BN591">
        <v>37646885</v>
      </c>
      <c r="BO591" t="s">
        <v>74</v>
      </c>
      <c r="BP591" t="s">
        <v>74</v>
      </c>
      <c r="BQ591" t="s">
        <v>74</v>
      </c>
      <c r="BR591" t="s">
        <v>99</v>
      </c>
      <c r="BS591" t="s">
        <v>11161</v>
      </c>
      <c r="BT591" t="str">
        <f>HYPERLINK("https%3A%2F%2Fwww.webofscience.com%2Fwos%2Fwoscc%2Ffull-record%2FWOS:001058547600001","View Full Record in Web of Science")</f>
        <v>View Full Record in Web of Science</v>
      </c>
    </row>
    <row r="592" spans="1:72" x14ac:dyDescent="0.15">
      <c r="A592" t="s">
        <v>72</v>
      </c>
      <c r="B592" t="s">
        <v>11162</v>
      </c>
      <c r="C592" t="s">
        <v>74</v>
      </c>
      <c r="D592" t="s">
        <v>74</v>
      </c>
      <c r="E592" t="s">
        <v>74</v>
      </c>
      <c r="F592" t="s">
        <v>11163</v>
      </c>
      <c r="G592" t="s">
        <v>74</v>
      </c>
      <c r="H592" t="s">
        <v>74</v>
      </c>
      <c r="I592" t="s">
        <v>11164</v>
      </c>
      <c r="J592" t="s">
        <v>5474</v>
      </c>
      <c r="K592" t="s">
        <v>74</v>
      </c>
      <c r="L592" t="s">
        <v>74</v>
      </c>
      <c r="M592" t="s">
        <v>78</v>
      </c>
      <c r="N592" t="s">
        <v>79</v>
      </c>
      <c r="O592" t="s">
        <v>74</v>
      </c>
      <c r="P592" t="s">
        <v>74</v>
      </c>
      <c r="Q592" t="s">
        <v>74</v>
      </c>
      <c r="R592" t="s">
        <v>74</v>
      </c>
      <c r="S592" t="s">
        <v>74</v>
      </c>
      <c r="T592" t="s">
        <v>11165</v>
      </c>
      <c r="U592" t="s">
        <v>11166</v>
      </c>
      <c r="V592" t="s">
        <v>11167</v>
      </c>
      <c r="W592" t="s">
        <v>11168</v>
      </c>
      <c r="X592" t="s">
        <v>11169</v>
      </c>
      <c r="Y592" t="s">
        <v>11170</v>
      </c>
      <c r="Z592" t="s">
        <v>11171</v>
      </c>
      <c r="AA592" t="s">
        <v>74</v>
      </c>
      <c r="AB592" t="s">
        <v>11172</v>
      </c>
      <c r="AC592" t="s">
        <v>11173</v>
      </c>
      <c r="AD592" t="s">
        <v>11173</v>
      </c>
      <c r="AE592" t="s">
        <v>11173</v>
      </c>
      <c r="AF592" t="s">
        <v>74</v>
      </c>
      <c r="AG592">
        <v>167</v>
      </c>
      <c r="AH592">
        <v>0</v>
      </c>
      <c r="AI592">
        <v>0</v>
      </c>
      <c r="AJ592">
        <v>1</v>
      </c>
      <c r="AK592">
        <v>1</v>
      </c>
      <c r="AL592" t="s">
        <v>443</v>
      </c>
      <c r="AM592" t="s">
        <v>245</v>
      </c>
      <c r="AN592" t="s">
        <v>444</v>
      </c>
      <c r="AO592" t="s">
        <v>74</v>
      </c>
      <c r="AP592" t="s">
        <v>5483</v>
      </c>
      <c r="AQ592" t="s">
        <v>74</v>
      </c>
      <c r="AR592" t="s">
        <v>5474</v>
      </c>
      <c r="AS592" t="s">
        <v>5484</v>
      </c>
      <c r="AT592" t="s">
        <v>11118</v>
      </c>
      <c r="AU592">
        <v>2023</v>
      </c>
      <c r="AV592">
        <v>24</v>
      </c>
      <c r="AW592">
        <v>1</v>
      </c>
      <c r="AX592" t="s">
        <v>74</v>
      </c>
      <c r="AY592" t="s">
        <v>74</v>
      </c>
      <c r="AZ592" t="s">
        <v>74</v>
      </c>
      <c r="BA592" t="s">
        <v>74</v>
      </c>
      <c r="BB592" t="s">
        <v>74</v>
      </c>
      <c r="BC592" t="s">
        <v>74</v>
      </c>
      <c r="BD592">
        <v>562</v>
      </c>
      <c r="BE592" t="s">
        <v>11174</v>
      </c>
      <c r="BF592" t="str">
        <f>HYPERLINK("http://dx.doi.org/10.1186/s13063-023-07596-3","http://dx.doi.org/10.1186/s13063-023-07596-3")</f>
        <v>http://dx.doi.org/10.1186/s13063-023-07596-3</v>
      </c>
      <c r="BG592" t="s">
        <v>74</v>
      </c>
      <c r="BH592" t="s">
        <v>74</v>
      </c>
      <c r="BI592">
        <v>16</v>
      </c>
      <c r="BJ592" t="s">
        <v>3415</v>
      </c>
      <c r="BK592" t="s">
        <v>126</v>
      </c>
      <c r="BL592" t="s">
        <v>3416</v>
      </c>
      <c r="BM592" t="s">
        <v>11175</v>
      </c>
      <c r="BN592">
        <v>37649083</v>
      </c>
      <c r="BO592" t="s">
        <v>302</v>
      </c>
      <c r="BP592" t="s">
        <v>74</v>
      </c>
      <c r="BQ592" t="s">
        <v>74</v>
      </c>
      <c r="BR592" t="s">
        <v>99</v>
      </c>
      <c r="BS592" t="s">
        <v>11176</v>
      </c>
      <c r="BT592" t="str">
        <f>HYPERLINK("https%3A%2F%2Fwww.webofscience.com%2Fwos%2Fwoscc%2Ffull-record%2FWOS:001058568900001","View Full Record in Web of Science")</f>
        <v>View Full Record in Web of Science</v>
      </c>
    </row>
    <row r="593" spans="1:72" x14ac:dyDescent="0.15">
      <c r="A593" t="s">
        <v>72</v>
      </c>
      <c r="B593" t="s">
        <v>11177</v>
      </c>
      <c r="C593" t="s">
        <v>74</v>
      </c>
      <c r="D593" t="s">
        <v>74</v>
      </c>
      <c r="E593" t="s">
        <v>74</v>
      </c>
      <c r="F593" t="s">
        <v>11178</v>
      </c>
      <c r="G593" t="s">
        <v>74</v>
      </c>
      <c r="H593" t="s">
        <v>74</v>
      </c>
      <c r="I593" t="s">
        <v>11179</v>
      </c>
      <c r="J593" t="s">
        <v>2499</v>
      </c>
      <c r="K593" t="s">
        <v>74</v>
      </c>
      <c r="L593" t="s">
        <v>74</v>
      </c>
      <c r="M593" t="s">
        <v>78</v>
      </c>
      <c r="N593" t="s">
        <v>1246</v>
      </c>
      <c r="O593" t="s">
        <v>74</v>
      </c>
      <c r="P593" t="s">
        <v>74</v>
      </c>
      <c r="Q593" t="s">
        <v>74</v>
      </c>
      <c r="R593" t="s">
        <v>74</v>
      </c>
      <c r="S593" t="s">
        <v>74</v>
      </c>
      <c r="T593" t="s">
        <v>11180</v>
      </c>
      <c r="U593" t="s">
        <v>11181</v>
      </c>
      <c r="V593" t="s">
        <v>11182</v>
      </c>
      <c r="W593" t="s">
        <v>11183</v>
      </c>
      <c r="X593" t="s">
        <v>74</v>
      </c>
      <c r="Y593" t="s">
        <v>11184</v>
      </c>
      <c r="Z593" t="s">
        <v>11185</v>
      </c>
      <c r="AA593" t="s">
        <v>74</v>
      </c>
      <c r="AB593" t="s">
        <v>11186</v>
      </c>
      <c r="AC593" t="s">
        <v>74</v>
      </c>
      <c r="AD593" t="s">
        <v>74</v>
      </c>
      <c r="AE593" t="s">
        <v>74</v>
      </c>
      <c r="AF593" t="s">
        <v>74</v>
      </c>
      <c r="AG593">
        <v>10</v>
      </c>
      <c r="AH593">
        <v>0</v>
      </c>
      <c r="AI593">
        <v>0</v>
      </c>
      <c r="AJ593">
        <v>0</v>
      </c>
      <c r="AK593">
        <v>0</v>
      </c>
      <c r="AL593" t="s">
        <v>172</v>
      </c>
      <c r="AM593" t="s">
        <v>173</v>
      </c>
      <c r="AN593" t="s">
        <v>174</v>
      </c>
      <c r="AO593" t="s">
        <v>2507</v>
      </c>
      <c r="AP593" t="s">
        <v>2508</v>
      </c>
      <c r="AQ593" t="s">
        <v>74</v>
      </c>
      <c r="AR593" t="s">
        <v>2509</v>
      </c>
      <c r="AS593" t="s">
        <v>2510</v>
      </c>
      <c r="AT593" t="s">
        <v>11053</v>
      </c>
      <c r="AU593">
        <v>2023</v>
      </c>
      <c r="AV593" t="s">
        <v>74</v>
      </c>
      <c r="AW593" t="s">
        <v>74</v>
      </c>
      <c r="AX593" t="s">
        <v>74</v>
      </c>
      <c r="AY593" t="s">
        <v>74</v>
      </c>
      <c r="AZ593" t="s">
        <v>74</v>
      </c>
      <c r="BA593" t="s">
        <v>74</v>
      </c>
      <c r="BB593" t="s">
        <v>74</v>
      </c>
      <c r="BC593" t="s">
        <v>74</v>
      </c>
      <c r="BD593" t="s">
        <v>74</v>
      </c>
      <c r="BE593" t="s">
        <v>11187</v>
      </c>
      <c r="BF593" t="str">
        <f>HYPERLINK("http://dx.doi.org/10.1007/s43465-023-00985-5","http://dx.doi.org/10.1007/s43465-023-00985-5")</f>
        <v>http://dx.doi.org/10.1007/s43465-023-00985-5</v>
      </c>
      <c r="BG593" t="s">
        <v>74</v>
      </c>
      <c r="BH593" t="s">
        <v>10650</v>
      </c>
      <c r="BI593">
        <v>5</v>
      </c>
      <c r="BJ593" t="s">
        <v>2512</v>
      </c>
      <c r="BK593" t="s">
        <v>126</v>
      </c>
      <c r="BL593" t="s">
        <v>2512</v>
      </c>
      <c r="BM593" t="s">
        <v>11188</v>
      </c>
      <c r="BN593">
        <v>37766952</v>
      </c>
      <c r="BO593" t="s">
        <v>74</v>
      </c>
      <c r="BP593" t="s">
        <v>74</v>
      </c>
      <c r="BQ593" t="s">
        <v>74</v>
      </c>
      <c r="BR593" t="s">
        <v>99</v>
      </c>
      <c r="BS593" t="s">
        <v>11189</v>
      </c>
      <c r="BT593" t="str">
        <f>HYPERLINK("https%3A%2F%2Fwww.webofscience.com%2Fwos%2Fwoscc%2Ffull-record%2FWOS:001060593600001","View Full Record in Web of Science")</f>
        <v>View Full Record in Web of Science</v>
      </c>
    </row>
    <row r="594" spans="1:72" x14ac:dyDescent="0.15">
      <c r="A594" t="s">
        <v>72</v>
      </c>
      <c r="B594" t="s">
        <v>11190</v>
      </c>
      <c r="C594" t="s">
        <v>74</v>
      </c>
      <c r="D594" t="s">
        <v>74</v>
      </c>
      <c r="E594" t="s">
        <v>74</v>
      </c>
      <c r="F594" t="s">
        <v>11191</v>
      </c>
      <c r="G594" t="s">
        <v>74</v>
      </c>
      <c r="H594" t="s">
        <v>74</v>
      </c>
      <c r="I594" t="s">
        <v>11192</v>
      </c>
      <c r="J594" t="s">
        <v>11193</v>
      </c>
      <c r="K594" t="s">
        <v>74</v>
      </c>
      <c r="L594" t="s">
        <v>74</v>
      </c>
      <c r="M594" t="s">
        <v>78</v>
      </c>
      <c r="N594" t="s">
        <v>1246</v>
      </c>
      <c r="O594" t="s">
        <v>74</v>
      </c>
      <c r="P594" t="s">
        <v>74</v>
      </c>
      <c r="Q594" t="s">
        <v>74</v>
      </c>
      <c r="R594" t="s">
        <v>74</v>
      </c>
      <c r="S594" t="s">
        <v>74</v>
      </c>
      <c r="T594" t="s">
        <v>11194</v>
      </c>
      <c r="U594" t="s">
        <v>11195</v>
      </c>
      <c r="V594" t="s">
        <v>11196</v>
      </c>
      <c r="W594" t="s">
        <v>11197</v>
      </c>
      <c r="X594" t="s">
        <v>11198</v>
      </c>
      <c r="Y594" t="s">
        <v>11199</v>
      </c>
      <c r="Z594" t="s">
        <v>11200</v>
      </c>
      <c r="AA594" t="s">
        <v>74</v>
      </c>
      <c r="AB594" t="s">
        <v>74</v>
      </c>
      <c r="AC594" t="s">
        <v>11201</v>
      </c>
      <c r="AD594" t="s">
        <v>11201</v>
      </c>
      <c r="AE594" t="s">
        <v>11201</v>
      </c>
      <c r="AF594" t="s">
        <v>74</v>
      </c>
      <c r="AG594">
        <v>39</v>
      </c>
      <c r="AH594">
        <v>0</v>
      </c>
      <c r="AI594">
        <v>0</v>
      </c>
      <c r="AJ594">
        <v>0</v>
      </c>
      <c r="AK594">
        <v>0</v>
      </c>
      <c r="AL594" t="s">
        <v>117</v>
      </c>
      <c r="AM594" t="s">
        <v>118</v>
      </c>
      <c r="AN594" t="s">
        <v>119</v>
      </c>
      <c r="AO594" t="s">
        <v>11202</v>
      </c>
      <c r="AP594" t="s">
        <v>11203</v>
      </c>
      <c r="AQ594" t="s">
        <v>74</v>
      </c>
      <c r="AR594" t="s">
        <v>11193</v>
      </c>
      <c r="AS594" t="s">
        <v>11204</v>
      </c>
      <c r="AT594" t="s">
        <v>11053</v>
      </c>
      <c r="AU594">
        <v>2023</v>
      </c>
      <c r="AV594" t="s">
        <v>74</v>
      </c>
      <c r="AW594" t="s">
        <v>74</v>
      </c>
      <c r="AX594" t="s">
        <v>74</v>
      </c>
      <c r="AY594" t="s">
        <v>74</v>
      </c>
      <c r="AZ594" t="s">
        <v>74</v>
      </c>
      <c r="BA594" t="s">
        <v>74</v>
      </c>
      <c r="BB594" t="s">
        <v>74</v>
      </c>
      <c r="BC594" t="s">
        <v>74</v>
      </c>
      <c r="BD594" t="s">
        <v>74</v>
      </c>
      <c r="BE594" t="s">
        <v>11205</v>
      </c>
      <c r="BF594" t="str">
        <f>HYPERLINK("http://dx.doi.org/10.1007/s10120-023-01415-z","http://dx.doi.org/10.1007/s10120-023-01415-z")</f>
        <v>http://dx.doi.org/10.1007/s10120-023-01415-z</v>
      </c>
      <c r="BG594" t="s">
        <v>74</v>
      </c>
      <c r="BH594" t="s">
        <v>10650</v>
      </c>
      <c r="BI594">
        <v>8</v>
      </c>
      <c r="BJ594" t="s">
        <v>11206</v>
      </c>
      <c r="BK594" t="s">
        <v>126</v>
      </c>
      <c r="BL594" t="s">
        <v>11206</v>
      </c>
      <c r="BM594" t="s">
        <v>11207</v>
      </c>
      <c r="BN594">
        <v>37648892</v>
      </c>
      <c r="BO594" t="s">
        <v>74</v>
      </c>
      <c r="BP594" t="s">
        <v>74</v>
      </c>
      <c r="BQ594" t="s">
        <v>74</v>
      </c>
      <c r="BR594" t="s">
        <v>99</v>
      </c>
      <c r="BS594" t="s">
        <v>11208</v>
      </c>
      <c r="BT594" t="str">
        <f>HYPERLINK("https%3A%2F%2Fwww.webofscience.com%2Fwos%2Fwoscc%2Ffull-record%2FWOS:001064652400001","View Full Record in Web of Science")</f>
        <v>View Full Record in Web of Science</v>
      </c>
    </row>
    <row r="595" spans="1:72" x14ac:dyDescent="0.15">
      <c r="A595" t="s">
        <v>72</v>
      </c>
      <c r="B595" t="s">
        <v>11209</v>
      </c>
      <c r="C595" t="s">
        <v>74</v>
      </c>
      <c r="D595" t="s">
        <v>74</v>
      </c>
      <c r="E595" t="s">
        <v>74</v>
      </c>
      <c r="F595" t="s">
        <v>11210</v>
      </c>
      <c r="G595" t="s">
        <v>74</v>
      </c>
      <c r="H595" t="s">
        <v>74</v>
      </c>
      <c r="I595" t="s">
        <v>11211</v>
      </c>
      <c r="J595" t="s">
        <v>11212</v>
      </c>
      <c r="K595" t="s">
        <v>74</v>
      </c>
      <c r="L595" t="s">
        <v>74</v>
      </c>
      <c r="M595" t="s">
        <v>78</v>
      </c>
      <c r="N595" t="s">
        <v>1246</v>
      </c>
      <c r="O595" t="s">
        <v>74</v>
      </c>
      <c r="P595" t="s">
        <v>74</v>
      </c>
      <c r="Q595" t="s">
        <v>74</v>
      </c>
      <c r="R595" t="s">
        <v>74</v>
      </c>
      <c r="S595" t="s">
        <v>74</v>
      </c>
      <c r="T595" t="s">
        <v>11213</v>
      </c>
      <c r="U595" t="s">
        <v>11214</v>
      </c>
      <c r="V595" t="s">
        <v>11215</v>
      </c>
      <c r="W595" t="s">
        <v>11216</v>
      </c>
      <c r="X595" t="s">
        <v>11217</v>
      </c>
      <c r="Y595" t="s">
        <v>11218</v>
      </c>
      <c r="Z595" t="s">
        <v>11219</v>
      </c>
      <c r="AA595" t="s">
        <v>74</v>
      </c>
      <c r="AB595" t="s">
        <v>74</v>
      </c>
      <c r="AC595" t="s">
        <v>11220</v>
      </c>
      <c r="AD595" t="s">
        <v>11221</v>
      </c>
      <c r="AE595" t="s">
        <v>11222</v>
      </c>
      <c r="AF595" t="s">
        <v>74</v>
      </c>
      <c r="AG595">
        <v>68</v>
      </c>
      <c r="AH595">
        <v>0</v>
      </c>
      <c r="AI595">
        <v>0</v>
      </c>
      <c r="AJ595">
        <v>0</v>
      </c>
      <c r="AK595">
        <v>0</v>
      </c>
      <c r="AL595" t="s">
        <v>117</v>
      </c>
      <c r="AM595" t="s">
        <v>118</v>
      </c>
      <c r="AN595" t="s">
        <v>119</v>
      </c>
      <c r="AO595" t="s">
        <v>11223</v>
      </c>
      <c r="AP595" t="s">
        <v>11224</v>
      </c>
      <c r="AQ595" t="s">
        <v>74</v>
      </c>
      <c r="AR595" t="s">
        <v>11225</v>
      </c>
      <c r="AS595" t="s">
        <v>11226</v>
      </c>
      <c r="AT595" t="s">
        <v>11053</v>
      </c>
      <c r="AU595">
        <v>2023</v>
      </c>
      <c r="AV595" t="s">
        <v>74</v>
      </c>
      <c r="AW595" t="s">
        <v>74</v>
      </c>
      <c r="AX595" t="s">
        <v>74</v>
      </c>
      <c r="AY595" t="s">
        <v>74</v>
      </c>
      <c r="AZ595" t="s">
        <v>74</v>
      </c>
      <c r="BA595" t="s">
        <v>74</v>
      </c>
      <c r="BB595" t="s">
        <v>74</v>
      </c>
      <c r="BC595" t="s">
        <v>74</v>
      </c>
      <c r="BD595" t="s">
        <v>74</v>
      </c>
      <c r="BE595" t="s">
        <v>11227</v>
      </c>
      <c r="BF595" t="str">
        <f>HYPERLINK("http://dx.doi.org/10.1007/s00484-023-02541-0","http://dx.doi.org/10.1007/s00484-023-02541-0")</f>
        <v>http://dx.doi.org/10.1007/s00484-023-02541-0</v>
      </c>
      <c r="BG595" t="s">
        <v>74</v>
      </c>
      <c r="BH595" t="s">
        <v>10650</v>
      </c>
      <c r="BI595">
        <v>12</v>
      </c>
      <c r="BJ595" t="s">
        <v>11228</v>
      </c>
      <c r="BK595" t="s">
        <v>126</v>
      </c>
      <c r="BL595" t="s">
        <v>11229</v>
      </c>
      <c r="BM595" t="s">
        <v>11230</v>
      </c>
      <c r="BN595">
        <v>37646866</v>
      </c>
      <c r="BO595" t="s">
        <v>74</v>
      </c>
      <c r="BP595" t="s">
        <v>74</v>
      </c>
      <c r="BQ595" t="s">
        <v>74</v>
      </c>
      <c r="BR595" t="s">
        <v>99</v>
      </c>
      <c r="BS595" t="s">
        <v>11231</v>
      </c>
      <c r="BT595" t="str">
        <f>HYPERLINK("https%3A%2F%2Fwww.webofscience.com%2Fwos%2Fwoscc%2Ffull-record%2FWOS:001064858200001","View Full Record in Web of Science")</f>
        <v>View Full Record in Web of Science</v>
      </c>
    </row>
    <row r="596" spans="1:72" x14ac:dyDescent="0.15">
      <c r="A596" t="s">
        <v>72</v>
      </c>
      <c r="B596" t="s">
        <v>11232</v>
      </c>
      <c r="C596" t="s">
        <v>74</v>
      </c>
      <c r="D596" t="s">
        <v>74</v>
      </c>
      <c r="E596" t="s">
        <v>74</v>
      </c>
      <c r="F596" t="s">
        <v>11233</v>
      </c>
      <c r="G596" t="s">
        <v>74</v>
      </c>
      <c r="H596" t="s">
        <v>74</v>
      </c>
      <c r="I596" t="s">
        <v>11234</v>
      </c>
      <c r="J596" t="s">
        <v>2360</v>
      </c>
      <c r="K596" t="s">
        <v>74</v>
      </c>
      <c r="L596" t="s">
        <v>74</v>
      </c>
      <c r="M596" t="s">
        <v>78</v>
      </c>
      <c r="N596" t="s">
        <v>1246</v>
      </c>
      <c r="O596" t="s">
        <v>74</v>
      </c>
      <c r="P596" t="s">
        <v>74</v>
      </c>
      <c r="Q596" t="s">
        <v>74</v>
      </c>
      <c r="R596" t="s">
        <v>74</v>
      </c>
      <c r="S596" t="s">
        <v>74</v>
      </c>
      <c r="T596" t="s">
        <v>11235</v>
      </c>
      <c r="U596" t="s">
        <v>11236</v>
      </c>
      <c r="V596" t="s">
        <v>11237</v>
      </c>
      <c r="W596" t="s">
        <v>11238</v>
      </c>
      <c r="X596" t="s">
        <v>74</v>
      </c>
      <c r="Y596" t="s">
        <v>11239</v>
      </c>
      <c r="Z596" t="s">
        <v>11240</v>
      </c>
      <c r="AA596" t="s">
        <v>74</v>
      </c>
      <c r="AB596" t="s">
        <v>74</v>
      </c>
      <c r="AC596" t="s">
        <v>74</v>
      </c>
      <c r="AD596" t="s">
        <v>74</v>
      </c>
      <c r="AE596" t="s">
        <v>74</v>
      </c>
      <c r="AF596" t="s">
        <v>74</v>
      </c>
      <c r="AG596">
        <v>27</v>
      </c>
      <c r="AH596">
        <v>0</v>
      </c>
      <c r="AI596">
        <v>0</v>
      </c>
      <c r="AJ596">
        <v>0</v>
      </c>
      <c r="AK596">
        <v>0</v>
      </c>
      <c r="AL596" t="s">
        <v>87</v>
      </c>
      <c r="AM596" t="s">
        <v>88</v>
      </c>
      <c r="AN596" t="s">
        <v>89</v>
      </c>
      <c r="AO596" t="s">
        <v>2368</v>
      </c>
      <c r="AP596" t="s">
        <v>2369</v>
      </c>
      <c r="AQ596" t="s">
        <v>74</v>
      </c>
      <c r="AR596" t="s">
        <v>2370</v>
      </c>
      <c r="AS596" t="s">
        <v>2371</v>
      </c>
      <c r="AT596" t="s">
        <v>11053</v>
      </c>
      <c r="AU596">
        <v>2023</v>
      </c>
      <c r="AV596" t="s">
        <v>74</v>
      </c>
      <c r="AW596" t="s">
        <v>74</v>
      </c>
      <c r="AX596" t="s">
        <v>74</v>
      </c>
      <c r="AY596" t="s">
        <v>74</v>
      </c>
      <c r="AZ596" t="s">
        <v>74</v>
      </c>
      <c r="BA596" t="s">
        <v>74</v>
      </c>
      <c r="BB596" t="s">
        <v>74</v>
      </c>
      <c r="BC596" t="s">
        <v>74</v>
      </c>
      <c r="BD596" t="s">
        <v>74</v>
      </c>
      <c r="BE596" t="s">
        <v>11241</v>
      </c>
      <c r="BF596" t="str">
        <f>HYPERLINK("http://dx.doi.org/10.1007/s12070-023-04146","http://dx.doi.org/10.1007/s12070-023-04146")</f>
        <v>http://dx.doi.org/10.1007/s12070-023-04146</v>
      </c>
      <c r="BG596" t="s">
        <v>74</v>
      </c>
      <c r="BH596" t="s">
        <v>10650</v>
      </c>
      <c r="BI596">
        <v>10</v>
      </c>
      <c r="BJ596" t="s">
        <v>2373</v>
      </c>
      <c r="BK596" t="s">
        <v>97</v>
      </c>
      <c r="BL596" t="s">
        <v>2373</v>
      </c>
      <c r="BM596" t="s">
        <v>11242</v>
      </c>
      <c r="BN596" t="s">
        <v>74</v>
      </c>
      <c r="BO596" t="s">
        <v>74</v>
      </c>
      <c r="BP596" t="s">
        <v>74</v>
      </c>
      <c r="BQ596" t="s">
        <v>74</v>
      </c>
      <c r="BR596" t="s">
        <v>99</v>
      </c>
      <c r="BS596" t="s">
        <v>11243</v>
      </c>
      <c r="BT596" t="str">
        <f>HYPERLINK("https%3A%2F%2Fwww.webofscience.com%2Fwos%2Fwoscc%2Ffull-record%2FWOS:001062038800002","View Full Record in Web of Science")</f>
        <v>View Full Record in Web of Science</v>
      </c>
    </row>
    <row r="597" spans="1:72" x14ac:dyDescent="0.15">
      <c r="A597" t="s">
        <v>72</v>
      </c>
      <c r="B597" t="s">
        <v>11244</v>
      </c>
      <c r="C597" t="s">
        <v>74</v>
      </c>
      <c r="D597" t="s">
        <v>74</v>
      </c>
      <c r="E597" t="s">
        <v>74</v>
      </c>
      <c r="F597" t="s">
        <v>11245</v>
      </c>
      <c r="G597" t="s">
        <v>74</v>
      </c>
      <c r="H597" t="s">
        <v>74</v>
      </c>
      <c r="I597" t="s">
        <v>11246</v>
      </c>
      <c r="J597" t="s">
        <v>11247</v>
      </c>
      <c r="K597" t="s">
        <v>74</v>
      </c>
      <c r="L597" t="s">
        <v>74</v>
      </c>
      <c r="M597" t="s">
        <v>78</v>
      </c>
      <c r="N597" t="s">
        <v>1246</v>
      </c>
      <c r="O597" t="s">
        <v>74</v>
      </c>
      <c r="P597" t="s">
        <v>74</v>
      </c>
      <c r="Q597" t="s">
        <v>74</v>
      </c>
      <c r="R597" t="s">
        <v>74</v>
      </c>
      <c r="S597" t="s">
        <v>74</v>
      </c>
      <c r="T597" t="s">
        <v>11248</v>
      </c>
      <c r="U597" t="s">
        <v>11249</v>
      </c>
      <c r="V597" t="s">
        <v>11250</v>
      </c>
      <c r="W597" t="s">
        <v>11251</v>
      </c>
      <c r="X597" t="s">
        <v>11252</v>
      </c>
      <c r="Y597" t="s">
        <v>11253</v>
      </c>
      <c r="Z597" t="s">
        <v>11254</v>
      </c>
      <c r="AA597" t="s">
        <v>74</v>
      </c>
      <c r="AB597" t="s">
        <v>74</v>
      </c>
      <c r="AC597" t="s">
        <v>74</v>
      </c>
      <c r="AD597" t="s">
        <v>74</v>
      </c>
      <c r="AE597" t="s">
        <v>74</v>
      </c>
      <c r="AF597" t="s">
        <v>74</v>
      </c>
      <c r="AG597">
        <v>13</v>
      </c>
      <c r="AH597">
        <v>0</v>
      </c>
      <c r="AI597">
        <v>0</v>
      </c>
      <c r="AJ597">
        <v>0</v>
      </c>
      <c r="AK597">
        <v>0</v>
      </c>
      <c r="AL597" t="s">
        <v>117</v>
      </c>
      <c r="AM597" t="s">
        <v>118</v>
      </c>
      <c r="AN597" t="s">
        <v>119</v>
      </c>
      <c r="AO597" t="s">
        <v>11255</v>
      </c>
      <c r="AP597" t="s">
        <v>11256</v>
      </c>
      <c r="AQ597" t="s">
        <v>74</v>
      </c>
      <c r="AR597" t="s">
        <v>11247</v>
      </c>
      <c r="AS597" t="s">
        <v>11257</v>
      </c>
      <c r="AT597" t="s">
        <v>11053</v>
      </c>
      <c r="AU597">
        <v>2023</v>
      </c>
      <c r="AV597" t="s">
        <v>74</v>
      </c>
      <c r="AW597" t="s">
        <v>74</v>
      </c>
      <c r="AX597" t="s">
        <v>74</v>
      </c>
      <c r="AY597" t="s">
        <v>74</v>
      </c>
      <c r="AZ597" t="s">
        <v>74</v>
      </c>
      <c r="BA597" t="s">
        <v>74</v>
      </c>
      <c r="BB597" t="s">
        <v>74</v>
      </c>
      <c r="BC597" t="s">
        <v>74</v>
      </c>
      <c r="BD597" t="s">
        <v>74</v>
      </c>
      <c r="BE597" t="s">
        <v>11258</v>
      </c>
      <c r="BF597" t="str">
        <f>HYPERLINK("http://dx.doi.org/10.1007/s00233-023-10377-8","http://dx.doi.org/10.1007/s00233-023-10377-8")</f>
        <v>http://dx.doi.org/10.1007/s00233-023-10377-8</v>
      </c>
      <c r="BG597" t="s">
        <v>74</v>
      </c>
      <c r="BH597" t="s">
        <v>10650</v>
      </c>
      <c r="BI597">
        <v>13</v>
      </c>
      <c r="BJ597" t="s">
        <v>228</v>
      </c>
      <c r="BK597" t="s">
        <v>126</v>
      </c>
      <c r="BL597" t="s">
        <v>228</v>
      </c>
      <c r="BM597" t="s">
        <v>11259</v>
      </c>
      <c r="BN597" t="s">
        <v>74</v>
      </c>
      <c r="BO597" t="s">
        <v>74</v>
      </c>
      <c r="BP597" t="s">
        <v>74</v>
      </c>
      <c r="BQ597" t="s">
        <v>74</v>
      </c>
      <c r="BR597" t="s">
        <v>99</v>
      </c>
      <c r="BS597" t="s">
        <v>11260</v>
      </c>
      <c r="BT597" t="str">
        <f>HYPERLINK("https%3A%2F%2Fwww.webofscience.com%2Fwos%2Fwoscc%2Ffull-record%2FWOS:001064852600002","View Full Record in Web of Science")</f>
        <v>View Full Record in Web of Science</v>
      </c>
    </row>
    <row r="598" spans="1:72" x14ac:dyDescent="0.15">
      <c r="A598" t="s">
        <v>72</v>
      </c>
      <c r="B598" t="s">
        <v>11261</v>
      </c>
      <c r="C598" t="s">
        <v>74</v>
      </c>
      <c r="D598" t="s">
        <v>74</v>
      </c>
      <c r="E598" t="s">
        <v>74</v>
      </c>
      <c r="F598" t="s">
        <v>11262</v>
      </c>
      <c r="G598" t="s">
        <v>74</v>
      </c>
      <c r="H598" t="s">
        <v>74</v>
      </c>
      <c r="I598" t="s">
        <v>11263</v>
      </c>
      <c r="J598" t="s">
        <v>11264</v>
      </c>
      <c r="K598" t="s">
        <v>74</v>
      </c>
      <c r="L598" t="s">
        <v>74</v>
      </c>
      <c r="M598" t="s">
        <v>78</v>
      </c>
      <c r="N598" t="s">
        <v>79</v>
      </c>
      <c r="O598" t="s">
        <v>74</v>
      </c>
      <c r="P598" t="s">
        <v>74</v>
      </c>
      <c r="Q598" t="s">
        <v>74</v>
      </c>
      <c r="R598" t="s">
        <v>74</v>
      </c>
      <c r="S598" t="s">
        <v>74</v>
      </c>
      <c r="T598" t="s">
        <v>74</v>
      </c>
      <c r="U598" t="s">
        <v>11265</v>
      </c>
      <c r="V598" t="s">
        <v>11266</v>
      </c>
      <c r="W598" t="s">
        <v>11267</v>
      </c>
      <c r="X598" t="s">
        <v>11268</v>
      </c>
      <c r="Y598" t="s">
        <v>11269</v>
      </c>
      <c r="Z598" t="s">
        <v>11270</v>
      </c>
      <c r="AA598" t="s">
        <v>74</v>
      </c>
      <c r="AB598" t="s">
        <v>74</v>
      </c>
      <c r="AC598" t="s">
        <v>11271</v>
      </c>
      <c r="AD598" t="s">
        <v>11272</v>
      </c>
      <c r="AE598" t="s">
        <v>11273</v>
      </c>
      <c r="AF598" t="s">
        <v>74</v>
      </c>
      <c r="AG598">
        <v>31</v>
      </c>
      <c r="AH598">
        <v>0</v>
      </c>
      <c r="AI598">
        <v>0</v>
      </c>
      <c r="AJ598">
        <v>2</v>
      </c>
      <c r="AK598">
        <v>2</v>
      </c>
      <c r="AL598" t="s">
        <v>317</v>
      </c>
      <c r="AM598" t="s">
        <v>245</v>
      </c>
      <c r="AN598" t="s">
        <v>318</v>
      </c>
      <c r="AO598" t="s">
        <v>74</v>
      </c>
      <c r="AP598" t="s">
        <v>11274</v>
      </c>
      <c r="AQ598" t="s">
        <v>74</v>
      </c>
      <c r="AR598" t="s">
        <v>11275</v>
      </c>
      <c r="AS598" t="s">
        <v>11276</v>
      </c>
      <c r="AT598" t="s">
        <v>11118</v>
      </c>
      <c r="AU598">
        <v>2023</v>
      </c>
      <c r="AV598">
        <v>10</v>
      </c>
      <c r="AW598">
        <v>1</v>
      </c>
      <c r="AX598" t="s">
        <v>74</v>
      </c>
      <c r="AY598" t="s">
        <v>74</v>
      </c>
      <c r="AZ598" t="s">
        <v>74</v>
      </c>
      <c r="BA598" t="s">
        <v>74</v>
      </c>
      <c r="BB598" t="s">
        <v>74</v>
      </c>
      <c r="BC598" t="s">
        <v>74</v>
      </c>
      <c r="BD598">
        <v>541</v>
      </c>
      <c r="BE598" t="s">
        <v>11277</v>
      </c>
      <c r="BF598" t="str">
        <f>HYPERLINK("http://dx.doi.org/10.1057/s41599-023-02050-w","http://dx.doi.org/10.1057/s41599-023-02050-w")</f>
        <v>http://dx.doi.org/10.1057/s41599-023-02050-w</v>
      </c>
      <c r="BG598" t="s">
        <v>74</v>
      </c>
      <c r="BH598" t="s">
        <v>74</v>
      </c>
      <c r="BI598">
        <v>10</v>
      </c>
      <c r="BJ598" t="s">
        <v>11278</v>
      </c>
      <c r="BK598" t="s">
        <v>9169</v>
      </c>
      <c r="BL598" t="s">
        <v>11279</v>
      </c>
      <c r="BM598" t="s">
        <v>11280</v>
      </c>
      <c r="BN598" t="s">
        <v>74</v>
      </c>
      <c r="BO598" t="s">
        <v>302</v>
      </c>
      <c r="BP598" t="s">
        <v>74</v>
      </c>
      <c r="BQ598" t="s">
        <v>74</v>
      </c>
      <c r="BR598" t="s">
        <v>99</v>
      </c>
      <c r="BS598" t="s">
        <v>11281</v>
      </c>
      <c r="BT598" t="str">
        <f>HYPERLINK("https%3A%2F%2Fwww.webofscience.com%2Fwos%2Fwoscc%2Ffull-record%2FWOS:001058582200001","View Full Record in Web of Science")</f>
        <v>View Full Record in Web of Science</v>
      </c>
    </row>
    <row r="599" spans="1:72" x14ac:dyDescent="0.15">
      <c r="A599" t="s">
        <v>72</v>
      </c>
      <c r="B599" t="s">
        <v>11282</v>
      </c>
      <c r="C599" t="s">
        <v>74</v>
      </c>
      <c r="D599" t="s">
        <v>74</v>
      </c>
      <c r="E599" t="s">
        <v>74</v>
      </c>
      <c r="F599" t="s">
        <v>11283</v>
      </c>
      <c r="G599" t="s">
        <v>74</v>
      </c>
      <c r="H599" t="s">
        <v>74</v>
      </c>
      <c r="I599" t="s">
        <v>11284</v>
      </c>
      <c r="J599" t="s">
        <v>11247</v>
      </c>
      <c r="K599" t="s">
        <v>74</v>
      </c>
      <c r="L599" t="s">
        <v>74</v>
      </c>
      <c r="M599" t="s">
        <v>78</v>
      </c>
      <c r="N599" t="s">
        <v>1246</v>
      </c>
      <c r="O599" t="s">
        <v>74</v>
      </c>
      <c r="P599" t="s">
        <v>74</v>
      </c>
      <c r="Q599" t="s">
        <v>74</v>
      </c>
      <c r="R599" t="s">
        <v>74</v>
      </c>
      <c r="S599" t="s">
        <v>74</v>
      </c>
      <c r="T599" t="s">
        <v>11285</v>
      </c>
      <c r="U599" t="s">
        <v>11286</v>
      </c>
      <c r="V599" t="s">
        <v>11287</v>
      </c>
      <c r="W599" t="s">
        <v>11288</v>
      </c>
      <c r="X599" t="s">
        <v>11289</v>
      </c>
      <c r="Y599" t="s">
        <v>11290</v>
      </c>
      <c r="Z599" t="s">
        <v>11291</v>
      </c>
      <c r="AA599" t="s">
        <v>74</v>
      </c>
      <c r="AB599" t="s">
        <v>74</v>
      </c>
      <c r="AC599" t="s">
        <v>11292</v>
      </c>
      <c r="AD599" t="s">
        <v>11293</v>
      </c>
      <c r="AE599" t="s">
        <v>11294</v>
      </c>
      <c r="AF599" t="s">
        <v>74</v>
      </c>
      <c r="AG599">
        <v>32</v>
      </c>
      <c r="AH599">
        <v>0</v>
      </c>
      <c r="AI599">
        <v>0</v>
      </c>
      <c r="AJ599">
        <v>0</v>
      </c>
      <c r="AK599">
        <v>0</v>
      </c>
      <c r="AL599" t="s">
        <v>117</v>
      </c>
      <c r="AM599" t="s">
        <v>118</v>
      </c>
      <c r="AN599" t="s">
        <v>119</v>
      </c>
      <c r="AO599" t="s">
        <v>11255</v>
      </c>
      <c r="AP599" t="s">
        <v>11256</v>
      </c>
      <c r="AQ599" t="s">
        <v>74</v>
      </c>
      <c r="AR599" t="s">
        <v>11247</v>
      </c>
      <c r="AS599" t="s">
        <v>11257</v>
      </c>
      <c r="AT599" t="s">
        <v>11053</v>
      </c>
      <c r="AU599">
        <v>2023</v>
      </c>
      <c r="AV599" t="s">
        <v>74</v>
      </c>
      <c r="AW599" t="s">
        <v>74</v>
      </c>
      <c r="AX599" t="s">
        <v>74</v>
      </c>
      <c r="AY599" t="s">
        <v>74</v>
      </c>
      <c r="AZ599" t="s">
        <v>74</v>
      </c>
      <c r="BA599" t="s">
        <v>74</v>
      </c>
      <c r="BB599" t="s">
        <v>74</v>
      </c>
      <c r="BC599" t="s">
        <v>74</v>
      </c>
      <c r="BD599" t="s">
        <v>74</v>
      </c>
      <c r="BE599" t="s">
        <v>11295</v>
      </c>
      <c r="BF599" t="str">
        <f>HYPERLINK("http://dx.doi.org/10.1007/s00233-023-10379-6","http://dx.doi.org/10.1007/s00233-023-10379-6")</f>
        <v>http://dx.doi.org/10.1007/s00233-023-10379-6</v>
      </c>
      <c r="BG599" t="s">
        <v>74</v>
      </c>
      <c r="BH599" t="s">
        <v>10650</v>
      </c>
      <c r="BI599">
        <v>21</v>
      </c>
      <c r="BJ599" t="s">
        <v>228</v>
      </c>
      <c r="BK599" t="s">
        <v>126</v>
      </c>
      <c r="BL599" t="s">
        <v>228</v>
      </c>
      <c r="BM599" t="s">
        <v>11259</v>
      </c>
      <c r="BN599" t="s">
        <v>74</v>
      </c>
      <c r="BO599" t="s">
        <v>74</v>
      </c>
      <c r="BP599" t="s">
        <v>74</v>
      </c>
      <c r="BQ599" t="s">
        <v>74</v>
      </c>
      <c r="BR599" t="s">
        <v>99</v>
      </c>
      <c r="BS599" t="s">
        <v>11296</v>
      </c>
      <c r="BT599" t="str">
        <f>HYPERLINK("https%3A%2F%2Fwww.webofscience.com%2Fwos%2Fwoscc%2Ffull-record%2FWOS:001064852600001","View Full Record in Web of Science")</f>
        <v>View Full Record in Web of Science</v>
      </c>
    </row>
    <row r="600" spans="1:72" x14ac:dyDescent="0.15">
      <c r="A600" t="s">
        <v>72</v>
      </c>
      <c r="B600" t="s">
        <v>11297</v>
      </c>
      <c r="C600" t="s">
        <v>74</v>
      </c>
      <c r="D600" t="s">
        <v>74</v>
      </c>
      <c r="E600" t="s">
        <v>74</v>
      </c>
      <c r="F600" t="s">
        <v>11298</v>
      </c>
      <c r="G600" t="s">
        <v>74</v>
      </c>
      <c r="H600" t="s">
        <v>74</v>
      </c>
      <c r="I600" t="s">
        <v>11299</v>
      </c>
      <c r="J600" t="s">
        <v>11300</v>
      </c>
      <c r="K600" t="s">
        <v>74</v>
      </c>
      <c r="L600" t="s">
        <v>74</v>
      </c>
      <c r="M600" t="s">
        <v>78</v>
      </c>
      <c r="N600" t="s">
        <v>1246</v>
      </c>
      <c r="O600" t="s">
        <v>74</v>
      </c>
      <c r="P600" t="s">
        <v>74</v>
      </c>
      <c r="Q600" t="s">
        <v>74</v>
      </c>
      <c r="R600" t="s">
        <v>74</v>
      </c>
      <c r="S600" t="s">
        <v>74</v>
      </c>
      <c r="T600" t="s">
        <v>11301</v>
      </c>
      <c r="U600" t="s">
        <v>11302</v>
      </c>
      <c r="V600" t="s">
        <v>11303</v>
      </c>
      <c r="W600" t="s">
        <v>11304</v>
      </c>
      <c r="X600" t="s">
        <v>74</v>
      </c>
      <c r="Y600" t="s">
        <v>11305</v>
      </c>
      <c r="Z600" t="s">
        <v>11306</v>
      </c>
      <c r="AA600" t="s">
        <v>74</v>
      </c>
      <c r="AB600" t="s">
        <v>74</v>
      </c>
      <c r="AC600" t="s">
        <v>74</v>
      </c>
      <c r="AD600" t="s">
        <v>74</v>
      </c>
      <c r="AE600" t="s">
        <v>74</v>
      </c>
      <c r="AF600" t="s">
        <v>74</v>
      </c>
      <c r="AG600">
        <v>31</v>
      </c>
      <c r="AH600">
        <v>0</v>
      </c>
      <c r="AI600">
        <v>0</v>
      </c>
      <c r="AJ600">
        <v>4</v>
      </c>
      <c r="AK600">
        <v>4</v>
      </c>
      <c r="AL600" t="s">
        <v>117</v>
      </c>
      <c r="AM600" t="s">
        <v>627</v>
      </c>
      <c r="AN600" t="s">
        <v>628</v>
      </c>
      <c r="AO600" t="s">
        <v>11307</v>
      </c>
      <c r="AP600" t="s">
        <v>11308</v>
      </c>
      <c r="AQ600" t="s">
        <v>74</v>
      </c>
      <c r="AR600" t="s">
        <v>11309</v>
      </c>
      <c r="AS600" t="s">
        <v>11310</v>
      </c>
      <c r="AT600" t="s">
        <v>11053</v>
      </c>
      <c r="AU600">
        <v>2023</v>
      </c>
      <c r="AV600" t="s">
        <v>74</v>
      </c>
      <c r="AW600" t="s">
        <v>74</v>
      </c>
      <c r="AX600" t="s">
        <v>74</v>
      </c>
      <c r="AY600" t="s">
        <v>74</v>
      </c>
      <c r="AZ600" t="s">
        <v>74</v>
      </c>
      <c r="BA600" t="s">
        <v>74</v>
      </c>
      <c r="BB600" t="s">
        <v>74</v>
      </c>
      <c r="BC600" t="s">
        <v>74</v>
      </c>
      <c r="BD600" t="s">
        <v>74</v>
      </c>
      <c r="BE600" t="s">
        <v>11311</v>
      </c>
      <c r="BF600" t="str">
        <f>HYPERLINK("http://dx.doi.org/10.1007/s11130-023-01096-0","http://dx.doi.org/10.1007/s11130-023-01096-0")</f>
        <v>http://dx.doi.org/10.1007/s11130-023-01096-0</v>
      </c>
      <c r="BG600" t="s">
        <v>74</v>
      </c>
      <c r="BH600" t="s">
        <v>10650</v>
      </c>
      <c r="BI600">
        <v>9</v>
      </c>
      <c r="BJ600" t="s">
        <v>11312</v>
      </c>
      <c r="BK600" t="s">
        <v>126</v>
      </c>
      <c r="BL600" t="s">
        <v>11313</v>
      </c>
      <c r="BM600" t="s">
        <v>11314</v>
      </c>
      <c r="BN600">
        <v>37646989</v>
      </c>
      <c r="BO600" t="s">
        <v>74</v>
      </c>
      <c r="BP600" t="s">
        <v>74</v>
      </c>
      <c r="BQ600" t="s">
        <v>74</v>
      </c>
      <c r="BR600" t="s">
        <v>99</v>
      </c>
      <c r="BS600" t="s">
        <v>11315</v>
      </c>
      <c r="BT600" t="str">
        <f>HYPERLINK("https%3A%2F%2Fwww.webofscience.com%2Fwos%2Fwoscc%2Ffull-record%2FWOS:001062044500001","View Full Record in Web of Science")</f>
        <v>View Full Record in Web of Science</v>
      </c>
    </row>
    <row r="601" spans="1:72" x14ac:dyDescent="0.15">
      <c r="A601" t="s">
        <v>72</v>
      </c>
      <c r="B601" t="s">
        <v>11316</v>
      </c>
      <c r="C601" t="s">
        <v>74</v>
      </c>
      <c r="D601" t="s">
        <v>74</v>
      </c>
      <c r="E601" t="s">
        <v>74</v>
      </c>
      <c r="F601" t="s">
        <v>11317</v>
      </c>
      <c r="G601" t="s">
        <v>74</v>
      </c>
      <c r="H601" t="s">
        <v>74</v>
      </c>
      <c r="I601" t="s">
        <v>11318</v>
      </c>
      <c r="J601" t="s">
        <v>3037</v>
      </c>
      <c r="K601" t="s">
        <v>74</v>
      </c>
      <c r="L601" t="s">
        <v>74</v>
      </c>
      <c r="M601" t="s">
        <v>78</v>
      </c>
      <c r="N601" t="s">
        <v>1246</v>
      </c>
      <c r="O601" t="s">
        <v>74</v>
      </c>
      <c r="P601" t="s">
        <v>74</v>
      </c>
      <c r="Q601" t="s">
        <v>74</v>
      </c>
      <c r="R601" t="s">
        <v>74</v>
      </c>
      <c r="S601" t="s">
        <v>74</v>
      </c>
      <c r="T601" t="s">
        <v>11319</v>
      </c>
      <c r="U601" t="s">
        <v>11320</v>
      </c>
      <c r="V601" t="s">
        <v>11321</v>
      </c>
      <c r="W601" t="s">
        <v>11322</v>
      </c>
      <c r="X601" t="s">
        <v>11323</v>
      </c>
      <c r="Y601" t="s">
        <v>11324</v>
      </c>
      <c r="Z601" t="s">
        <v>11325</v>
      </c>
      <c r="AA601" t="s">
        <v>74</v>
      </c>
      <c r="AB601" t="s">
        <v>74</v>
      </c>
      <c r="AC601" t="s">
        <v>11326</v>
      </c>
      <c r="AD601" t="s">
        <v>11327</v>
      </c>
      <c r="AE601" t="s">
        <v>11328</v>
      </c>
      <c r="AF601" t="s">
        <v>74</v>
      </c>
      <c r="AG601">
        <v>36</v>
      </c>
      <c r="AH601">
        <v>0</v>
      </c>
      <c r="AI601">
        <v>0</v>
      </c>
      <c r="AJ601">
        <v>1</v>
      </c>
      <c r="AK601">
        <v>1</v>
      </c>
      <c r="AL601" t="s">
        <v>87</v>
      </c>
      <c r="AM601" t="s">
        <v>88</v>
      </c>
      <c r="AN601" t="s">
        <v>89</v>
      </c>
      <c r="AO601" t="s">
        <v>3043</v>
      </c>
      <c r="AP601" t="s">
        <v>3044</v>
      </c>
      <c r="AQ601" t="s">
        <v>74</v>
      </c>
      <c r="AR601" t="s">
        <v>3045</v>
      </c>
      <c r="AS601" t="s">
        <v>3046</v>
      </c>
      <c r="AT601" t="s">
        <v>11053</v>
      </c>
      <c r="AU601">
        <v>2023</v>
      </c>
      <c r="AV601" t="s">
        <v>74</v>
      </c>
      <c r="AW601" t="s">
        <v>74</v>
      </c>
      <c r="AX601" t="s">
        <v>74</v>
      </c>
      <c r="AY601" t="s">
        <v>74</v>
      </c>
      <c r="AZ601" t="s">
        <v>74</v>
      </c>
      <c r="BA601" t="s">
        <v>74</v>
      </c>
      <c r="BB601" t="s">
        <v>74</v>
      </c>
      <c r="BC601" t="s">
        <v>74</v>
      </c>
      <c r="BD601" t="s">
        <v>74</v>
      </c>
      <c r="BE601" t="s">
        <v>11329</v>
      </c>
      <c r="BF601" t="str">
        <f>HYPERLINK("http://dx.doi.org/10.1007/s12596-023-01361-0","http://dx.doi.org/10.1007/s12596-023-01361-0")</f>
        <v>http://dx.doi.org/10.1007/s12596-023-01361-0</v>
      </c>
      <c r="BG601" t="s">
        <v>74</v>
      </c>
      <c r="BH601" t="s">
        <v>10650</v>
      </c>
      <c r="BI601">
        <v>7</v>
      </c>
      <c r="BJ601" t="s">
        <v>3048</v>
      </c>
      <c r="BK601" t="s">
        <v>97</v>
      </c>
      <c r="BL601" t="s">
        <v>3048</v>
      </c>
      <c r="BM601" t="s">
        <v>11330</v>
      </c>
      <c r="BN601" t="s">
        <v>74</v>
      </c>
      <c r="BO601" t="s">
        <v>74</v>
      </c>
      <c r="BP601" t="s">
        <v>74</v>
      </c>
      <c r="BQ601" t="s">
        <v>74</v>
      </c>
      <c r="BR601" t="s">
        <v>99</v>
      </c>
      <c r="BS601" t="s">
        <v>11331</v>
      </c>
      <c r="BT601" t="str">
        <f>HYPERLINK("https%3A%2F%2Fwww.webofscience.com%2Fwos%2Fwoscc%2Ffull-record%2FWOS:001064635600002","View Full Record in Web of Science")</f>
        <v>View Full Record in Web of Science</v>
      </c>
    </row>
    <row r="602" spans="1:72" x14ac:dyDescent="0.15">
      <c r="A602" t="s">
        <v>72</v>
      </c>
      <c r="B602" t="s">
        <v>11332</v>
      </c>
      <c r="C602" t="s">
        <v>74</v>
      </c>
      <c r="D602" t="s">
        <v>74</v>
      </c>
      <c r="E602" t="s">
        <v>74</v>
      </c>
      <c r="F602" t="s">
        <v>11333</v>
      </c>
      <c r="G602" t="s">
        <v>74</v>
      </c>
      <c r="H602" t="s">
        <v>74</v>
      </c>
      <c r="I602" t="s">
        <v>11334</v>
      </c>
      <c r="J602" t="s">
        <v>11335</v>
      </c>
      <c r="K602" t="s">
        <v>74</v>
      </c>
      <c r="L602" t="s">
        <v>74</v>
      </c>
      <c r="M602" t="s">
        <v>78</v>
      </c>
      <c r="N602" t="s">
        <v>79</v>
      </c>
      <c r="O602" t="s">
        <v>74</v>
      </c>
      <c r="P602" t="s">
        <v>74</v>
      </c>
      <c r="Q602" t="s">
        <v>74</v>
      </c>
      <c r="R602" t="s">
        <v>74</v>
      </c>
      <c r="S602" t="s">
        <v>74</v>
      </c>
      <c r="T602" t="s">
        <v>11336</v>
      </c>
      <c r="U602" t="s">
        <v>11337</v>
      </c>
      <c r="V602" t="s">
        <v>11338</v>
      </c>
      <c r="W602" t="s">
        <v>11339</v>
      </c>
      <c r="X602" t="s">
        <v>11340</v>
      </c>
      <c r="Y602" t="s">
        <v>11341</v>
      </c>
      <c r="Z602" t="s">
        <v>11342</v>
      </c>
      <c r="AA602" t="s">
        <v>74</v>
      </c>
      <c r="AB602" t="s">
        <v>11343</v>
      </c>
      <c r="AC602" t="s">
        <v>649</v>
      </c>
      <c r="AD602" t="s">
        <v>649</v>
      </c>
      <c r="AE602" t="s">
        <v>11344</v>
      </c>
      <c r="AF602" t="s">
        <v>74</v>
      </c>
      <c r="AG602">
        <v>41</v>
      </c>
      <c r="AH602">
        <v>0</v>
      </c>
      <c r="AI602">
        <v>0</v>
      </c>
      <c r="AJ602">
        <v>0</v>
      </c>
      <c r="AK602">
        <v>0</v>
      </c>
      <c r="AL602" t="s">
        <v>172</v>
      </c>
      <c r="AM602" t="s">
        <v>173</v>
      </c>
      <c r="AN602" t="s">
        <v>174</v>
      </c>
      <c r="AO602" t="s">
        <v>11345</v>
      </c>
      <c r="AP602" t="s">
        <v>11346</v>
      </c>
      <c r="AQ602" t="s">
        <v>74</v>
      </c>
      <c r="AR602" t="s">
        <v>11347</v>
      </c>
      <c r="AS602" t="s">
        <v>11348</v>
      </c>
      <c r="AT602" t="s">
        <v>11349</v>
      </c>
      <c r="AU602">
        <v>2023</v>
      </c>
      <c r="AV602">
        <v>71</v>
      </c>
      <c r="AW602">
        <v>2</v>
      </c>
      <c r="AX602" t="s">
        <v>74</v>
      </c>
      <c r="AY602" t="s">
        <v>74</v>
      </c>
      <c r="AZ602" t="s">
        <v>74</v>
      </c>
      <c r="BA602" t="s">
        <v>74</v>
      </c>
      <c r="BB602">
        <v>155</v>
      </c>
      <c r="BC602">
        <v>166</v>
      </c>
      <c r="BD602" t="s">
        <v>74</v>
      </c>
      <c r="BE602" t="s">
        <v>11350</v>
      </c>
      <c r="BF602" t="str">
        <f>HYPERLINK("http://dx.doi.org/10.1007/s40839-023-00202-3","http://dx.doi.org/10.1007/s40839-023-00202-3")</f>
        <v>http://dx.doi.org/10.1007/s40839-023-00202-3</v>
      </c>
      <c r="BG602" t="s">
        <v>74</v>
      </c>
      <c r="BH602" t="s">
        <v>10650</v>
      </c>
      <c r="BI602">
        <v>12</v>
      </c>
      <c r="BJ602" t="s">
        <v>11351</v>
      </c>
      <c r="BK602" t="s">
        <v>97</v>
      </c>
      <c r="BL602" t="s">
        <v>11351</v>
      </c>
      <c r="BM602" t="s">
        <v>11352</v>
      </c>
      <c r="BN602" t="s">
        <v>74</v>
      </c>
      <c r="BO602" t="s">
        <v>183</v>
      </c>
      <c r="BP602" t="s">
        <v>74</v>
      </c>
      <c r="BQ602" t="s">
        <v>74</v>
      </c>
      <c r="BR602" t="s">
        <v>99</v>
      </c>
      <c r="BS602" t="s">
        <v>11353</v>
      </c>
      <c r="BT602" t="str">
        <f>HYPERLINK("https%3A%2F%2Fwww.webofscience.com%2Fwos%2Fwoscc%2Ffull-record%2FWOS:001062020100001","View Full Record in Web of Science")</f>
        <v>View Full Record in Web of Science</v>
      </c>
    </row>
    <row r="603" spans="1:72" x14ac:dyDescent="0.15">
      <c r="A603" t="s">
        <v>72</v>
      </c>
      <c r="B603" t="s">
        <v>11354</v>
      </c>
      <c r="C603" t="s">
        <v>74</v>
      </c>
      <c r="D603" t="s">
        <v>74</v>
      </c>
      <c r="E603" t="s">
        <v>74</v>
      </c>
      <c r="F603" t="s">
        <v>11355</v>
      </c>
      <c r="G603" t="s">
        <v>74</v>
      </c>
      <c r="H603" t="s">
        <v>74</v>
      </c>
      <c r="I603" t="s">
        <v>11356</v>
      </c>
      <c r="J603" t="s">
        <v>11357</v>
      </c>
      <c r="K603" t="s">
        <v>74</v>
      </c>
      <c r="L603" t="s">
        <v>74</v>
      </c>
      <c r="M603" t="s">
        <v>78</v>
      </c>
      <c r="N603" t="s">
        <v>952</v>
      </c>
      <c r="O603" t="s">
        <v>74</v>
      </c>
      <c r="P603" t="s">
        <v>74</v>
      </c>
      <c r="Q603" t="s">
        <v>74</v>
      </c>
      <c r="R603" t="s">
        <v>74</v>
      </c>
      <c r="S603" t="s">
        <v>74</v>
      </c>
      <c r="T603" t="s">
        <v>11358</v>
      </c>
      <c r="U603" t="s">
        <v>74</v>
      </c>
      <c r="V603" t="s">
        <v>74</v>
      </c>
      <c r="W603" t="s">
        <v>11359</v>
      </c>
      <c r="X603" t="s">
        <v>11360</v>
      </c>
      <c r="Y603" t="s">
        <v>11361</v>
      </c>
      <c r="Z603" t="s">
        <v>11362</v>
      </c>
      <c r="AA603" t="s">
        <v>74</v>
      </c>
      <c r="AB603" t="s">
        <v>11363</v>
      </c>
      <c r="AC603" t="s">
        <v>74</v>
      </c>
      <c r="AD603" t="s">
        <v>74</v>
      </c>
      <c r="AE603" t="s">
        <v>74</v>
      </c>
      <c r="AF603" t="s">
        <v>74</v>
      </c>
      <c r="AG603">
        <v>7</v>
      </c>
      <c r="AH603">
        <v>0</v>
      </c>
      <c r="AI603">
        <v>0</v>
      </c>
      <c r="AJ603">
        <v>0</v>
      </c>
      <c r="AK603">
        <v>0</v>
      </c>
      <c r="AL603" t="s">
        <v>443</v>
      </c>
      <c r="AM603" t="s">
        <v>245</v>
      </c>
      <c r="AN603" t="s">
        <v>444</v>
      </c>
      <c r="AO603" t="s">
        <v>11364</v>
      </c>
      <c r="AP603" t="s">
        <v>74</v>
      </c>
      <c r="AQ603" t="s">
        <v>74</v>
      </c>
      <c r="AR603" t="s">
        <v>11365</v>
      </c>
      <c r="AS603" t="s">
        <v>11366</v>
      </c>
      <c r="AT603" t="s">
        <v>11118</v>
      </c>
      <c r="AU603">
        <v>2023</v>
      </c>
      <c r="AV603">
        <v>17</v>
      </c>
      <c r="AW603">
        <v>1</v>
      </c>
      <c r="AX603" t="s">
        <v>74</v>
      </c>
      <c r="AY603" t="s">
        <v>74</v>
      </c>
      <c r="AZ603" t="s">
        <v>74</v>
      </c>
      <c r="BA603" t="s">
        <v>74</v>
      </c>
      <c r="BB603" t="s">
        <v>74</v>
      </c>
      <c r="BC603" t="s">
        <v>74</v>
      </c>
      <c r="BD603">
        <v>22</v>
      </c>
      <c r="BE603" t="s">
        <v>11367</v>
      </c>
      <c r="BF603" t="str">
        <f>HYPERLINK("http://dx.doi.org/10.1186/s13037-023-00375-8","http://dx.doi.org/10.1186/s13037-023-00375-8")</f>
        <v>http://dx.doi.org/10.1186/s13037-023-00375-8</v>
      </c>
      <c r="BG603" t="s">
        <v>74</v>
      </c>
      <c r="BH603" t="s">
        <v>74</v>
      </c>
      <c r="BI603">
        <v>6</v>
      </c>
      <c r="BJ603" t="s">
        <v>2373</v>
      </c>
      <c r="BK603" t="s">
        <v>97</v>
      </c>
      <c r="BL603" t="s">
        <v>2373</v>
      </c>
      <c r="BM603" t="s">
        <v>11368</v>
      </c>
      <c r="BN603">
        <v>37644592</v>
      </c>
      <c r="BO603" t="s">
        <v>302</v>
      </c>
      <c r="BP603" t="s">
        <v>74</v>
      </c>
      <c r="BQ603" t="s">
        <v>74</v>
      </c>
      <c r="BR603" t="s">
        <v>99</v>
      </c>
      <c r="BS603" t="s">
        <v>11369</v>
      </c>
      <c r="BT603" t="str">
        <f>HYPERLINK("https%3A%2F%2Fwww.webofscience.com%2Fwos%2Fwoscc%2Ffull-record%2FWOS:001057922300001","View Full Record in Web of Science")</f>
        <v>View Full Record in Web of Science</v>
      </c>
    </row>
    <row r="604" spans="1:72" x14ac:dyDescent="0.15">
      <c r="A604" t="s">
        <v>72</v>
      </c>
      <c r="B604" t="s">
        <v>11370</v>
      </c>
      <c r="C604" t="s">
        <v>74</v>
      </c>
      <c r="D604" t="s">
        <v>74</v>
      </c>
      <c r="E604" t="s">
        <v>74</v>
      </c>
      <c r="F604" t="s">
        <v>11371</v>
      </c>
      <c r="G604" t="s">
        <v>74</v>
      </c>
      <c r="H604" t="s">
        <v>74</v>
      </c>
      <c r="I604" t="s">
        <v>11372</v>
      </c>
      <c r="J604" t="s">
        <v>11373</v>
      </c>
      <c r="K604" t="s">
        <v>74</v>
      </c>
      <c r="L604" t="s">
        <v>74</v>
      </c>
      <c r="M604" t="s">
        <v>78</v>
      </c>
      <c r="N604" t="s">
        <v>1246</v>
      </c>
      <c r="O604" t="s">
        <v>74</v>
      </c>
      <c r="P604" t="s">
        <v>74</v>
      </c>
      <c r="Q604" t="s">
        <v>74</v>
      </c>
      <c r="R604" t="s">
        <v>74</v>
      </c>
      <c r="S604" t="s">
        <v>74</v>
      </c>
      <c r="T604" t="s">
        <v>11374</v>
      </c>
      <c r="U604" t="s">
        <v>11375</v>
      </c>
      <c r="V604" t="s">
        <v>11376</v>
      </c>
      <c r="W604" t="s">
        <v>11377</v>
      </c>
      <c r="X604" t="s">
        <v>11378</v>
      </c>
      <c r="Y604" t="s">
        <v>11379</v>
      </c>
      <c r="Z604" t="s">
        <v>11380</v>
      </c>
      <c r="AA604" t="s">
        <v>74</v>
      </c>
      <c r="AB604" t="s">
        <v>74</v>
      </c>
      <c r="AC604" t="s">
        <v>11381</v>
      </c>
      <c r="AD604" t="s">
        <v>11382</v>
      </c>
      <c r="AE604" t="s">
        <v>11383</v>
      </c>
      <c r="AF604" t="s">
        <v>74</v>
      </c>
      <c r="AG604">
        <v>37</v>
      </c>
      <c r="AH604">
        <v>0</v>
      </c>
      <c r="AI604">
        <v>0</v>
      </c>
      <c r="AJ604">
        <v>2</v>
      </c>
      <c r="AK604">
        <v>2</v>
      </c>
      <c r="AL604" t="s">
        <v>117</v>
      </c>
      <c r="AM604" t="s">
        <v>627</v>
      </c>
      <c r="AN604" t="s">
        <v>628</v>
      </c>
      <c r="AO604" t="s">
        <v>11384</v>
      </c>
      <c r="AP604" t="s">
        <v>11385</v>
      </c>
      <c r="AQ604" t="s">
        <v>74</v>
      </c>
      <c r="AR604" t="s">
        <v>11386</v>
      </c>
      <c r="AS604" t="s">
        <v>11387</v>
      </c>
      <c r="AT604" t="s">
        <v>11053</v>
      </c>
      <c r="AU604">
        <v>2023</v>
      </c>
      <c r="AV604" t="s">
        <v>74</v>
      </c>
      <c r="AW604" t="s">
        <v>74</v>
      </c>
      <c r="AX604" t="s">
        <v>74</v>
      </c>
      <c r="AY604" t="s">
        <v>74</v>
      </c>
      <c r="AZ604" t="s">
        <v>74</v>
      </c>
      <c r="BA604" t="s">
        <v>74</v>
      </c>
      <c r="BB604" t="s">
        <v>74</v>
      </c>
      <c r="BC604" t="s">
        <v>74</v>
      </c>
      <c r="BD604" t="s">
        <v>74</v>
      </c>
      <c r="BE604" t="s">
        <v>11388</v>
      </c>
      <c r="BF604" t="str">
        <f>HYPERLINK("http://dx.doi.org/10.1007/s10462-023-10580-7","http://dx.doi.org/10.1007/s10462-023-10580-7")</f>
        <v>http://dx.doi.org/10.1007/s10462-023-10580-7</v>
      </c>
      <c r="BG604" t="s">
        <v>74</v>
      </c>
      <c r="BH604" t="s">
        <v>10650</v>
      </c>
      <c r="BI604">
        <v>24</v>
      </c>
      <c r="BJ604" t="s">
        <v>5390</v>
      </c>
      <c r="BK604" t="s">
        <v>126</v>
      </c>
      <c r="BL604" t="s">
        <v>1139</v>
      </c>
      <c r="BM604" t="s">
        <v>11389</v>
      </c>
      <c r="BN604" t="s">
        <v>74</v>
      </c>
      <c r="BO604" t="s">
        <v>74</v>
      </c>
      <c r="BP604" t="s">
        <v>74</v>
      </c>
      <c r="BQ604" t="s">
        <v>74</v>
      </c>
      <c r="BR604" t="s">
        <v>99</v>
      </c>
      <c r="BS604" t="s">
        <v>11390</v>
      </c>
      <c r="BT604" t="str">
        <f>HYPERLINK("https%3A%2F%2Fwww.webofscience.com%2Fwos%2Fwoscc%2Ffull-record%2FWOS:001064652800002","View Full Record in Web of Science")</f>
        <v>View Full Record in Web of Science</v>
      </c>
    </row>
    <row r="605" spans="1:72" x14ac:dyDescent="0.15">
      <c r="A605" t="s">
        <v>72</v>
      </c>
      <c r="B605" t="s">
        <v>11391</v>
      </c>
      <c r="C605" t="s">
        <v>74</v>
      </c>
      <c r="D605" t="s">
        <v>74</v>
      </c>
      <c r="E605" t="s">
        <v>74</v>
      </c>
      <c r="F605" t="s">
        <v>11392</v>
      </c>
      <c r="G605" t="s">
        <v>74</v>
      </c>
      <c r="H605" t="s">
        <v>74</v>
      </c>
      <c r="I605" t="s">
        <v>11393</v>
      </c>
      <c r="J605" t="s">
        <v>2415</v>
      </c>
      <c r="K605" t="s">
        <v>74</v>
      </c>
      <c r="L605" t="s">
        <v>74</v>
      </c>
      <c r="M605" t="s">
        <v>78</v>
      </c>
      <c r="N605" t="s">
        <v>79</v>
      </c>
      <c r="O605" t="s">
        <v>74</v>
      </c>
      <c r="P605" t="s">
        <v>74</v>
      </c>
      <c r="Q605" t="s">
        <v>74</v>
      </c>
      <c r="R605" t="s">
        <v>74</v>
      </c>
      <c r="S605" t="s">
        <v>74</v>
      </c>
      <c r="T605" t="s">
        <v>11394</v>
      </c>
      <c r="U605" t="s">
        <v>11395</v>
      </c>
      <c r="V605" t="s">
        <v>11396</v>
      </c>
      <c r="W605" t="s">
        <v>11397</v>
      </c>
      <c r="X605" t="s">
        <v>11398</v>
      </c>
      <c r="Y605" t="s">
        <v>11399</v>
      </c>
      <c r="Z605" t="s">
        <v>11400</v>
      </c>
      <c r="AA605" t="s">
        <v>11401</v>
      </c>
      <c r="AB605" t="s">
        <v>11402</v>
      </c>
      <c r="AC605" t="s">
        <v>11403</v>
      </c>
      <c r="AD605" t="s">
        <v>11403</v>
      </c>
      <c r="AE605" t="s">
        <v>11403</v>
      </c>
      <c r="AF605" t="s">
        <v>74</v>
      </c>
      <c r="AG605">
        <v>59</v>
      </c>
      <c r="AH605">
        <v>0</v>
      </c>
      <c r="AI605">
        <v>0</v>
      </c>
      <c r="AJ605">
        <v>2</v>
      </c>
      <c r="AK605">
        <v>2</v>
      </c>
      <c r="AL605" t="s">
        <v>443</v>
      </c>
      <c r="AM605" t="s">
        <v>245</v>
      </c>
      <c r="AN605" t="s">
        <v>444</v>
      </c>
      <c r="AO605" t="s">
        <v>74</v>
      </c>
      <c r="AP605" t="s">
        <v>2425</v>
      </c>
      <c r="AQ605" t="s">
        <v>74</v>
      </c>
      <c r="AR605" t="s">
        <v>2426</v>
      </c>
      <c r="AS605" t="s">
        <v>2427</v>
      </c>
      <c r="AT605" t="s">
        <v>11118</v>
      </c>
      <c r="AU605">
        <v>2023</v>
      </c>
      <c r="AV605">
        <v>23</v>
      </c>
      <c r="AW605">
        <v>1</v>
      </c>
      <c r="AX605" t="s">
        <v>74</v>
      </c>
      <c r="AY605" t="s">
        <v>74</v>
      </c>
      <c r="AZ605" t="s">
        <v>74</v>
      </c>
      <c r="BA605" t="s">
        <v>74</v>
      </c>
      <c r="BB605" t="s">
        <v>74</v>
      </c>
      <c r="BC605" t="s">
        <v>74</v>
      </c>
      <c r="BD605">
        <v>527</v>
      </c>
      <c r="BE605" t="s">
        <v>11404</v>
      </c>
      <c r="BF605" t="str">
        <f>HYPERLINK("http://dx.doi.org/10.1186/s12877-023-04245-x","http://dx.doi.org/10.1186/s12877-023-04245-x")</f>
        <v>http://dx.doi.org/10.1186/s12877-023-04245-x</v>
      </c>
      <c r="BG605" t="s">
        <v>74</v>
      </c>
      <c r="BH605" t="s">
        <v>74</v>
      </c>
      <c r="BI605">
        <v>14</v>
      </c>
      <c r="BJ605" t="s">
        <v>2430</v>
      </c>
      <c r="BK605" t="s">
        <v>2431</v>
      </c>
      <c r="BL605" t="s">
        <v>672</v>
      </c>
      <c r="BM605" t="s">
        <v>11405</v>
      </c>
      <c r="BN605">
        <v>37644380</v>
      </c>
      <c r="BO605" t="s">
        <v>540</v>
      </c>
      <c r="BP605" t="s">
        <v>74</v>
      </c>
      <c r="BQ605" t="s">
        <v>74</v>
      </c>
      <c r="BR605" t="s">
        <v>99</v>
      </c>
      <c r="BS605" t="s">
        <v>11406</v>
      </c>
      <c r="BT605" t="str">
        <f>HYPERLINK("https%3A%2F%2Fwww.webofscience.com%2Fwos%2Fwoscc%2Ffull-record%2FWOS:001057655600001","View Full Record in Web of Science")</f>
        <v>View Full Record in Web of Science</v>
      </c>
    </row>
    <row r="606" spans="1:72" x14ac:dyDescent="0.15">
      <c r="A606" t="s">
        <v>72</v>
      </c>
      <c r="B606" t="s">
        <v>11407</v>
      </c>
      <c r="C606" t="s">
        <v>74</v>
      </c>
      <c r="D606" t="s">
        <v>74</v>
      </c>
      <c r="E606" t="s">
        <v>74</v>
      </c>
      <c r="F606" t="s">
        <v>11408</v>
      </c>
      <c r="G606" t="s">
        <v>74</v>
      </c>
      <c r="H606" t="s">
        <v>74</v>
      </c>
      <c r="I606" t="s">
        <v>11409</v>
      </c>
      <c r="J606" t="s">
        <v>2415</v>
      </c>
      <c r="K606" t="s">
        <v>74</v>
      </c>
      <c r="L606" t="s">
        <v>74</v>
      </c>
      <c r="M606" t="s">
        <v>78</v>
      </c>
      <c r="N606" t="s">
        <v>79</v>
      </c>
      <c r="O606" t="s">
        <v>74</v>
      </c>
      <c r="P606" t="s">
        <v>74</v>
      </c>
      <c r="Q606" t="s">
        <v>74</v>
      </c>
      <c r="R606" t="s">
        <v>74</v>
      </c>
      <c r="S606" t="s">
        <v>74</v>
      </c>
      <c r="T606" t="s">
        <v>11410</v>
      </c>
      <c r="U606" t="s">
        <v>11411</v>
      </c>
      <c r="V606" t="s">
        <v>11412</v>
      </c>
      <c r="W606" t="s">
        <v>11413</v>
      </c>
      <c r="X606" t="s">
        <v>11414</v>
      </c>
      <c r="Y606" t="s">
        <v>11415</v>
      </c>
      <c r="Z606" t="s">
        <v>11416</v>
      </c>
      <c r="AA606" t="s">
        <v>11417</v>
      </c>
      <c r="AB606" t="s">
        <v>11418</v>
      </c>
      <c r="AC606" t="s">
        <v>3793</v>
      </c>
      <c r="AD606" t="s">
        <v>3793</v>
      </c>
      <c r="AE606" t="s">
        <v>3793</v>
      </c>
      <c r="AF606" t="s">
        <v>74</v>
      </c>
      <c r="AG606">
        <v>32</v>
      </c>
      <c r="AH606">
        <v>0</v>
      </c>
      <c r="AI606">
        <v>0</v>
      </c>
      <c r="AJ606">
        <v>0</v>
      </c>
      <c r="AK606">
        <v>0</v>
      </c>
      <c r="AL606" t="s">
        <v>443</v>
      </c>
      <c r="AM606" t="s">
        <v>245</v>
      </c>
      <c r="AN606" t="s">
        <v>444</v>
      </c>
      <c r="AO606" t="s">
        <v>74</v>
      </c>
      <c r="AP606" t="s">
        <v>2425</v>
      </c>
      <c r="AQ606" t="s">
        <v>74</v>
      </c>
      <c r="AR606" t="s">
        <v>2426</v>
      </c>
      <c r="AS606" t="s">
        <v>2427</v>
      </c>
      <c r="AT606" t="s">
        <v>11118</v>
      </c>
      <c r="AU606">
        <v>2023</v>
      </c>
      <c r="AV606">
        <v>23</v>
      </c>
      <c r="AW606">
        <v>1</v>
      </c>
      <c r="AX606" t="s">
        <v>74</v>
      </c>
      <c r="AY606" t="s">
        <v>74</v>
      </c>
      <c r="AZ606" t="s">
        <v>74</v>
      </c>
      <c r="BA606" t="s">
        <v>74</v>
      </c>
      <c r="BB606" t="s">
        <v>74</v>
      </c>
      <c r="BC606" t="s">
        <v>74</v>
      </c>
      <c r="BD606">
        <v>529</v>
      </c>
      <c r="BE606" t="s">
        <v>11419</v>
      </c>
      <c r="BF606" t="str">
        <f>HYPERLINK("http://dx.doi.org/10.1186/s12877-023-04206-4","http://dx.doi.org/10.1186/s12877-023-04206-4")</f>
        <v>http://dx.doi.org/10.1186/s12877-023-04206-4</v>
      </c>
      <c r="BG606" t="s">
        <v>74</v>
      </c>
      <c r="BH606" t="s">
        <v>74</v>
      </c>
      <c r="BI606">
        <v>9</v>
      </c>
      <c r="BJ606" t="s">
        <v>2430</v>
      </c>
      <c r="BK606" t="s">
        <v>2431</v>
      </c>
      <c r="BL606" t="s">
        <v>672</v>
      </c>
      <c r="BM606" t="s">
        <v>11420</v>
      </c>
      <c r="BN606">
        <v>37648960</v>
      </c>
      <c r="BO606" t="s">
        <v>302</v>
      </c>
      <c r="BP606" t="s">
        <v>74</v>
      </c>
      <c r="BQ606" t="s">
        <v>74</v>
      </c>
      <c r="BR606" t="s">
        <v>99</v>
      </c>
      <c r="BS606" t="s">
        <v>11421</v>
      </c>
      <c r="BT606" t="str">
        <f>HYPERLINK("https%3A%2F%2Fwww.webofscience.com%2Fwos%2Fwoscc%2Ffull-record%2FWOS:001058537400003","View Full Record in Web of Science")</f>
        <v>View Full Record in Web of Science</v>
      </c>
    </row>
    <row r="607" spans="1:72" x14ac:dyDescent="0.15">
      <c r="A607" t="s">
        <v>72</v>
      </c>
      <c r="B607" t="s">
        <v>11422</v>
      </c>
      <c r="C607" t="s">
        <v>74</v>
      </c>
      <c r="D607" t="s">
        <v>74</v>
      </c>
      <c r="E607" t="s">
        <v>74</v>
      </c>
      <c r="F607" t="s">
        <v>11423</v>
      </c>
      <c r="G607" t="s">
        <v>74</v>
      </c>
      <c r="H607" t="s">
        <v>74</v>
      </c>
      <c r="I607" t="s">
        <v>11424</v>
      </c>
      <c r="J607" t="s">
        <v>2730</v>
      </c>
      <c r="K607" t="s">
        <v>74</v>
      </c>
      <c r="L607" t="s">
        <v>74</v>
      </c>
      <c r="M607" t="s">
        <v>78</v>
      </c>
      <c r="N607" t="s">
        <v>79</v>
      </c>
      <c r="O607" t="s">
        <v>74</v>
      </c>
      <c r="P607" t="s">
        <v>74</v>
      </c>
      <c r="Q607" t="s">
        <v>74</v>
      </c>
      <c r="R607" t="s">
        <v>74</v>
      </c>
      <c r="S607" t="s">
        <v>74</v>
      </c>
      <c r="T607" t="s">
        <v>11425</v>
      </c>
      <c r="U607" t="s">
        <v>11426</v>
      </c>
      <c r="V607" t="s">
        <v>11427</v>
      </c>
      <c r="W607" t="s">
        <v>11428</v>
      </c>
      <c r="X607" t="s">
        <v>11429</v>
      </c>
      <c r="Y607" t="s">
        <v>11430</v>
      </c>
      <c r="Z607" t="s">
        <v>11431</v>
      </c>
      <c r="AA607" t="s">
        <v>74</v>
      </c>
      <c r="AB607" t="s">
        <v>74</v>
      </c>
      <c r="AC607" t="s">
        <v>11432</v>
      </c>
      <c r="AD607" t="s">
        <v>11432</v>
      </c>
      <c r="AE607" t="s">
        <v>11432</v>
      </c>
      <c r="AF607" t="s">
        <v>74</v>
      </c>
      <c r="AG607">
        <v>72</v>
      </c>
      <c r="AH607">
        <v>0</v>
      </c>
      <c r="AI607">
        <v>0</v>
      </c>
      <c r="AJ607">
        <v>0</v>
      </c>
      <c r="AK607">
        <v>0</v>
      </c>
      <c r="AL607" t="s">
        <v>443</v>
      </c>
      <c r="AM607" t="s">
        <v>245</v>
      </c>
      <c r="AN607" t="s">
        <v>444</v>
      </c>
      <c r="AO607" t="s">
        <v>74</v>
      </c>
      <c r="AP607" t="s">
        <v>2740</v>
      </c>
      <c r="AQ607" t="s">
        <v>74</v>
      </c>
      <c r="AR607" t="s">
        <v>2741</v>
      </c>
      <c r="AS607" t="s">
        <v>2742</v>
      </c>
      <c r="AT607" t="s">
        <v>11118</v>
      </c>
      <c r="AU607">
        <v>2023</v>
      </c>
      <c r="AV607">
        <v>20</v>
      </c>
      <c r="AW607">
        <v>1</v>
      </c>
      <c r="AX607" t="s">
        <v>74</v>
      </c>
      <c r="AY607" t="s">
        <v>74</v>
      </c>
      <c r="AZ607" t="s">
        <v>74</v>
      </c>
      <c r="BA607" t="s">
        <v>74</v>
      </c>
      <c r="BB607" t="s">
        <v>74</v>
      </c>
      <c r="BC607" t="s">
        <v>74</v>
      </c>
      <c r="BD607">
        <v>129</v>
      </c>
      <c r="BE607" t="s">
        <v>11433</v>
      </c>
      <c r="BF607" t="str">
        <f>HYPERLINK("http://dx.doi.org/10.1186/s12978-023-01675-z","http://dx.doi.org/10.1186/s12978-023-01675-z")</f>
        <v>http://dx.doi.org/10.1186/s12978-023-01675-z</v>
      </c>
      <c r="BG607" t="s">
        <v>74</v>
      </c>
      <c r="BH607" t="s">
        <v>74</v>
      </c>
      <c r="BI607">
        <v>12</v>
      </c>
      <c r="BJ607" t="s">
        <v>2744</v>
      </c>
      <c r="BK607" t="s">
        <v>2431</v>
      </c>
      <c r="BL607" t="s">
        <v>2744</v>
      </c>
      <c r="BM607" t="s">
        <v>11434</v>
      </c>
      <c r="BN607">
        <v>37649040</v>
      </c>
      <c r="BO607" t="s">
        <v>9256</v>
      </c>
      <c r="BP607" t="s">
        <v>74</v>
      </c>
      <c r="BQ607" t="s">
        <v>74</v>
      </c>
      <c r="BR607" t="s">
        <v>99</v>
      </c>
      <c r="BS607" t="s">
        <v>11435</v>
      </c>
      <c r="BT607" t="str">
        <f>HYPERLINK("https%3A%2F%2Fwww.webofscience.com%2Fwos%2Fwoscc%2Ffull-record%2FWOS:001058582600001","View Full Record in Web of Science")</f>
        <v>View Full Record in Web of Science</v>
      </c>
    </row>
    <row r="608" spans="1:72" x14ac:dyDescent="0.15">
      <c r="A608" t="s">
        <v>72</v>
      </c>
      <c r="B608" t="s">
        <v>11436</v>
      </c>
      <c r="C608" t="s">
        <v>74</v>
      </c>
      <c r="D608" t="s">
        <v>74</v>
      </c>
      <c r="E608" t="s">
        <v>74</v>
      </c>
      <c r="F608" t="s">
        <v>11437</v>
      </c>
      <c r="G608" t="s">
        <v>74</v>
      </c>
      <c r="H608" t="s">
        <v>74</v>
      </c>
      <c r="I608" t="s">
        <v>11438</v>
      </c>
      <c r="J608" t="s">
        <v>11439</v>
      </c>
      <c r="K608" t="s">
        <v>74</v>
      </c>
      <c r="L608" t="s">
        <v>74</v>
      </c>
      <c r="M608" t="s">
        <v>78</v>
      </c>
      <c r="N608" t="s">
        <v>1246</v>
      </c>
      <c r="O608" t="s">
        <v>74</v>
      </c>
      <c r="P608" t="s">
        <v>74</v>
      </c>
      <c r="Q608" t="s">
        <v>74</v>
      </c>
      <c r="R608" t="s">
        <v>74</v>
      </c>
      <c r="S608" t="s">
        <v>74</v>
      </c>
      <c r="T608" t="s">
        <v>11440</v>
      </c>
      <c r="U608" t="s">
        <v>11441</v>
      </c>
      <c r="V608" t="s">
        <v>11442</v>
      </c>
      <c r="W608" t="s">
        <v>11443</v>
      </c>
      <c r="X608" t="s">
        <v>11444</v>
      </c>
      <c r="Y608" t="s">
        <v>11445</v>
      </c>
      <c r="Z608" t="s">
        <v>11446</v>
      </c>
      <c r="AA608" t="s">
        <v>74</v>
      </c>
      <c r="AB608" t="s">
        <v>74</v>
      </c>
      <c r="AC608" t="s">
        <v>11447</v>
      </c>
      <c r="AD608" t="s">
        <v>11447</v>
      </c>
      <c r="AE608" t="s">
        <v>11447</v>
      </c>
      <c r="AF608" t="s">
        <v>74</v>
      </c>
      <c r="AG608">
        <v>36</v>
      </c>
      <c r="AH608">
        <v>0</v>
      </c>
      <c r="AI608">
        <v>0</v>
      </c>
      <c r="AJ608">
        <v>1</v>
      </c>
      <c r="AK608">
        <v>1</v>
      </c>
      <c r="AL608" t="s">
        <v>117</v>
      </c>
      <c r="AM608" t="s">
        <v>627</v>
      </c>
      <c r="AN608" t="s">
        <v>628</v>
      </c>
      <c r="AO608" t="s">
        <v>11448</v>
      </c>
      <c r="AP608" t="s">
        <v>11449</v>
      </c>
      <c r="AQ608" t="s">
        <v>74</v>
      </c>
      <c r="AR608" t="s">
        <v>11450</v>
      </c>
      <c r="AS608" t="s">
        <v>11451</v>
      </c>
      <c r="AT608" t="s">
        <v>11452</v>
      </c>
      <c r="AU608">
        <v>2023</v>
      </c>
      <c r="AV608" t="s">
        <v>74</v>
      </c>
      <c r="AW608" t="s">
        <v>74</v>
      </c>
      <c r="AX608" t="s">
        <v>74</v>
      </c>
      <c r="AY608" t="s">
        <v>74</v>
      </c>
      <c r="AZ608" t="s">
        <v>74</v>
      </c>
      <c r="BA608" t="s">
        <v>74</v>
      </c>
      <c r="BB608" t="s">
        <v>74</v>
      </c>
      <c r="BC608" t="s">
        <v>74</v>
      </c>
      <c r="BD608" t="s">
        <v>74</v>
      </c>
      <c r="BE608" t="s">
        <v>11453</v>
      </c>
      <c r="BF608" t="str">
        <f>HYPERLINK("http://dx.doi.org/10.1007/s11259-023-10207","http://dx.doi.org/10.1007/s11259-023-10207")</f>
        <v>http://dx.doi.org/10.1007/s11259-023-10207</v>
      </c>
      <c r="BG608" t="s">
        <v>74</v>
      </c>
      <c r="BH608" t="s">
        <v>10650</v>
      </c>
      <c r="BI608">
        <v>13</v>
      </c>
      <c r="BJ608" t="s">
        <v>11454</v>
      </c>
      <c r="BK608" t="s">
        <v>126</v>
      </c>
      <c r="BL608" t="s">
        <v>11454</v>
      </c>
      <c r="BM608" t="s">
        <v>11455</v>
      </c>
      <c r="BN608" t="s">
        <v>74</v>
      </c>
      <c r="BO608" t="s">
        <v>74</v>
      </c>
      <c r="BP608" t="s">
        <v>74</v>
      </c>
      <c r="BQ608" t="s">
        <v>74</v>
      </c>
      <c r="BR608" t="s">
        <v>99</v>
      </c>
      <c r="BS608" t="s">
        <v>11456</v>
      </c>
      <c r="BT608" t="str">
        <f>HYPERLINK("https%3A%2F%2Fwww.webofscience.com%2Fwos%2Fwoscc%2Ffull-record%2FWOS:001063921900002","View Full Record in Web of Science")</f>
        <v>View Full Record in Web of Science</v>
      </c>
    </row>
    <row r="609" spans="1:72" x14ac:dyDescent="0.15">
      <c r="A609" t="s">
        <v>72</v>
      </c>
      <c r="B609" t="s">
        <v>11457</v>
      </c>
      <c r="C609" t="s">
        <v>74</v>
      </c>
      <c r="D609" t="s">
        <v>74</v>
      </c>
      <c r="E609" t="s">
        <v>74</v>
      </c>
      <c r="F609" t="s">
        <v>11458</v>
      </c>
      <c r="G609" t="s">
        <v>74</v>
      </c>
      <c r="H609" t="s">
        <v>74</v>
      </c>
      <c r="I609" t="s">
        <v>11459</v>
      </c>
      <c r="J609" t="s">
        <v>8211</v>
      </c>
      <c r="K609" t="s">
        <v>74</v>
      </c>
      <c r="L609" t="s">
        <v>74</v>
      </c>
      <c r="M609" t="s">
        <v>78</v>
      </c>
      <c r="N609" t="s">
        <v>1246</v>
      </c>
      <c r="O609" t="s">
        <v>74</v>
      </c>
      <c r="P609" t="s">
        <v>74</v>
      </c>
      <c r="Q609" t="s">
        <v>74</v>
      </c>
      <c r="R609" t="s">
        <v>74</v>
      </c>
      <c r="S609" t="s">
        <v>74</v>
      </c>
      <c r="T609" t="s">
        <v>11460</v>
      </c>
      <c r="U609" t="s">
        <v>11461</v>
      </c>
      <c r="V609" t="s">
        <v>11462</v>
      </c>
      <c r="W609" t="s">
        <v>11463</v>
      </c>
      <c r="X609" t="s">
        <v>11464</v>
      </c>
      <c r="Y609" t="s">
        <v>11465</v>
      </c>
      <c r="Z609" t="s">
        <v>11466</v>
      </c>
      <c r="AA609" t="s">
        <v>74</v>
      </c>
      <c r="AB609" t="s">
        <v>74</v>
      </c>
      <c r="AC609" t="s">
        <v>74</v>
      </c>
      <c r="AD609" t="s">
        <v>74</v>
      </c>
      <c r="AE609" t="s">
        <v>74</v>
      </c>
      <c r="AF609" t="s">
        <v>74</v>
      </c>
      <c r="AG609">
        <v>28</v>
      </c>
      <c r="AH609">
        <v>0</v>
      </c>
      <c r="AI609">
        <v>0</v>
      </c>
      <c r="AJ609">
        <v>0</v>
      </c>
      <c r="AK609">
        <v>0</v>
      </c>
      <c r="AL609" t="s">
        <v>117</v>
      </c>
      <c r="AM609" t="s">
        <v>627</v>
      </c>
      <c r="AN609" t="s">
        <v>628</v>
      </c>
      <c r="AO609" t="s">
        <v>8221</v>
      </c>
      <c r="AP609" t="s">
        <v>8222</v>
      </c>
      <c r="AQ609" t="s">
        <v>74</v>
      </c>
      <c r="AR609" t="s">
        <v>8223</v>
      </c>
      <c r="AS609" t="s">
        <v>8224</v>
      </c>
      <c r="AT609" t="s">
        <v>11452</v>
      </c>
      <c r="AU609">
        <v>2023</v>
      </c>
      <c r="AV609" t="s">
        <v>74</v>
      </c>
      <c r="AW609" t="s">
        <v>74</v>
      </c>
      <c r="AX609" t="s">
        <v>74</v>
      </c>
      <c r="AY609" t="s">
        <v>74</v>
      </c>
      <c r="AZ609" t="s">
        <v>74</v>
      </c>
      <c r="BA609" t="s">
        <v>74</v>
      </c>
      <c r="BB609" t="s">
        <v>74</v>
      </c>
      <c r="BC609" t="s">
        <v>74</v>
      </c>
      <c r="BD609" t="s">
        <v>74</v>
      </c>
      <c r="BE609" t="s">
        <v>11467</v>
      </c>
      <c r="BF609" t="str">
        <f>HYPERLINK("http://dx.doi.org/10.1007/s10706-023-02611-5","http://dx.doi.org/10.1007/s10706-023-02611-5")</f>
        <v>http://dx.doi.org/10.1007/s10706-023-02611-5</v>
      </c>
      <c r="BG609" t="s">
        <v>74</v>
      </c>
      <c r="BH609" t="s">
        <v>10650</v>
      </c>
      <c r="BI609">
        <v>15</v>
      </c>
      <c r="BJ609" t="s">
        <v>8227</v>
      </c>
      <c r="BK609" t="s">
        <v>97</v>
      </c>
      <c r="BL609" t="s">
        <v>277</v>
      </c>
      <c r="BM609" t="s">
        <v>11468</v>
      </c>
      <c r="BN609" t="s">
        <v>74</v>
      </c>
      <c r="BO609" t="s">
        <v>74</v>
      </c>
      <c r="BP609" t="s">
        <v>74</v>
      </c>
      <c r="BQ609" t="s">
        <v>74</v>
      </c>
      <c r="BR609" t="s">
        <v>99</v>
      </c>
      <c r="BS609" t="s">
        <v>11469</v>
      </c>
      <c r="BT609" t="str">
        <f>HYPERLINK("https%3A%2F%2Fwww.webofscience.com%2Fwos%2Fwoscc%2Ffull-record%2FWOS:001060667800004","View Full Record in Web of Science")</f>
        <v>View Full Record in Web of Science</v>
      </c>
    </row>
    <row r="610" spans="1:72" x14ac:dyDescent="0.15">
      <c r="A610" t="s">
        <v>72</v>
      </c>
      <c r="B610" t="s">
        <v>11470</v>
      </c>
      <c r="C610" t="s">
        <v>74</v>
      </c>
      <c r="D610" t="s">
        <v>74</v>
      </c>
      <c r="E610" t="s">
        <v>74</v>
      </c>
      <c r="F610" t="s">
        <v>11471</v>
      </c>
      <c r="G610" t="s">
        <v>74</v>
      </c>
      <c r="H610" t="s">
        <v>74</v>
      </c>
      <c r="I610" t="s">
        <v>11472</v>
      </c>
      <c r="J610" t="s">
        <v>7393</v>
      </c>
      <c r="K610" t="s">
        <v>74</v>
      </c>
      <c r="L610" t="s">
        <v>74</v>
      </c>
      <c r="M610" t="s">
        <v>78</v>
      </c>
      <c r="N610" t="s">
        <v>1246</v>
      </c>
      <c r="O610" t="s">
        <v>74</v>
      </c>
      <c r="P610" t="s">
        <v>74</v>
      </c>
      <c r="Q610" t="s">
        <v>74</v>
      </c>
      <c r="R610" t="s">
        <v>74</v>
      </c>
      <c r="S610" t="s">
        <v>74</v>
      </c>
      <c r="T610" t="s">
        <v>11473</v>
      </c>
      <c r="U610" t="s">
        <v>11474</v>
      </c>
      <c r="V610" t="s">
        <v>11475</v>
      </c>
      <c r="W610" t="s">
        <v>11476</v>
      </c>
      <c r="X610" t="s">
        <v>11477</v>
      </c>
      <c r="Y610" t="s">
        <v>11478</v>
      </c>
      <c r="Z610" t="s">
        <v>11479</v>
      </c>
      <c r="AA610" t="s">
        <v>11480</v>
      </c>
      <c r="AB610" t="s">
        <v>11481</v>
      </c>
      <c r="AC610" t="s">
        <v>11482</v>
      </c>
      <c r="AD610" t="s">
        <v>11483</v>
      </c>
      <c r="AE610" t="s">
        <v>11484</v>
      </c>
      <c r="AF610" t="s">
        <v>74</v>
      </c>
      <c r="AG610">
        <v>64</v>
      </c>
      <c r="AH610">
        <v>0</v>
      </c>
      <c r="AI610">
        <v>0</v>
      </c>
      <c r="AJ610">
        <v>0</v>
      </c>
      <c r="AK610">
        <v>0</v>
      </c>
      <c r="AL610" t="s">
        <v>117</v>
      </c>
      <c r="AM610" t="s">
        <v>627</v>
      </c>
      <c r="AN610" t="s">
        <v>628</v>
      </c>
      <c r="AO610" t="s">
        <v>7406</v>
      </c>
      <c r="AP610" t="s">
        <v>7407</v>
      </c>
      <c r="AQ610" t="s">
        <v>74</v>
      </c>
      <c r="AR610" t="s">
        <v>7393</v>
      </c>
      <c r="AS610" t="s">
        <v>7408</v>
      </c>
      <c r="AT610" t="s">
        <v>11452</v>
      </c>
      <c r="AU610">
        <v>2023</v>
      </c>
      <c r="AV610" t="s">
        <v>74</v>
      </c>
      <c r="AW610" t="s">
        <v>74</v>
      </c>
      <c r="AX610" t="s">
        <v>74</v>
      </c>
      <c r="AY610" t="s">
        <v>74</v>
      </c>
      <c r="AZ610" t="s">
        <v>74</v>
      </c>
      <c r="BA610" t="s">
        <v>74</v>
      </c>
      <c r="BB610" t="s">
        <v>74</v>
      </c>
      <c r="BC610" t="s">
        <v>74</v>
      </c>
      <c r="BD610" t="s">
        <v>74</v>
      </c>
      <c r="BE610" t="s">
        <v>11485</v>
      </c>
      <c r="BF610" t="str">
        <f>HYPERLINK("http://dx.doi.org/10.1007/s10750-023-05347-8","http://dx.doi.org/10.1007/s10750-023-05347-8")</f>
        <v>http://dx.doi.org/10.1007/s10750-023-05347-8</v>
      </c>
      <c r="BG610" t="s">
        <v>74</v>
      </c>
      <c r="BH610" t="s">
        <v>10650</v>
      </c>
      <c r="BI610">
        <v>13</v>
      </c>
      <c r="BJ610" t="s">
        <v>7410</v>
      </c>
      <c r="BK610" t="s">
        <v>126</v>
      </c>
      <c r="BL610" t="s">
        <v>7410</v>
      </c>
      <c r="BM610" t="s">
        <v>11486</v>
      </c>
      <c r="BN610" t="s">
        <v>74</v>
      </c>
      <c r="BO610" t="s">
        <v>183</v>
      </c>
      <c r="BP610" t="s">
        <v>74</v>
      </c>
      <c r="BQ610" t="s">
        <v>74</v>
      </c>
      <c r="BR610" t="s">
        <v>99</v>
      </c>
      <c r="BS610" t="s">
        <v>11487</v>
      </c>
      <c r="BT610" t="str">
        <f>HYPERLINK("https%3A%2F%2Fwww.webofscience.com%2Fwos%2Fwoscc%2Ffull-record%2FWOS:001069653000001","View Full Record in Web of Science")</f>
        <v>View Full Record in Web of Science</v>
      </c>
    </row>
    <row r="611" spans="1:72" x14ac:dyDescent="0.15">
      <c r="A611" t="s">
        <v>72</v>
      </c>
      <c r="B611" t="s">
        <v>11488</v>
      </c>
      <c r="C611" t="s">
        <v>74</v>
      </c>
      <c r="D611" t="s">
        <v>74</v>
      </c>
      <c r="E611" t="s">
        <v>74</v>
      </c>
      <c r="F611" t="s">
        <v>11489</v>
      </c>
      <c r="G611" t="s">
        <v>74</v>
      </c>
      <c r="H611" t="s">
        <v>74</v>
      </c>
      <c r="I611" t="s">
        <v>11490</v>
      </c>
      <c r="J611" t="s">
        <v>2913</v>
      </c>
      <c r="K611" t="s">
        <v>74</v>
      </c>
      <c r="L611" t="s">
        <v>74</v>
      </c>
      <c r="M611" t="s">
        <v>78</v>
      </c>
      <c r="N611" t="s">
        <v>1246</v>
      </c>
      <c r="O611" t="s">
        <v>74</v>
      </c>
      <c r="P611" t="s">
        <v>74</v>
      </c>
      <c r="Q611" t="s">
        <v>74</v>
      </c>
      <c r="R611" t="s">
        <v>74</v>
      </c>
      <c r="S611" t="s">
        <v>74</v>
      </c>
      <c r="T611" t="s">
        <v>11491</v>
      </c>
      <c r="U611" t="s">
        <v>11492</v>
      </c>
      <c r="V611" t="s">
        <v>11493</v>
      </c>
      <c r="W611" t="s">
        <v>11494</v>
      </c>
      <c r="X611" t="s">
        <v>11495</v>
      </c>
      <c r="Y611" t="s">
        <v>11496</v>
      </c>
      <c r="Z611" t="s">
        <v>11497</v>
      </c>
      <c r="AA611" t="s">
        <v>11498</v>
      </c>
      <c r="AB611" t="s">
        <v>11499</v>
      </c>
      <c r="AC611" t="s">
        <v>74</v>
      </c>
      <c r="AD611" t="s">
        <v>74</v>
      </c>
      <c r="AE611" t="s">
        <v>74</v>
      </c>
      <c r="AF611" t="s">
        <v>74</v>
      </c>
      <c r="AG611">
        <v>44</v>
      </c>
      <c r="AH611">
        <v>0</v>
      </c>
      <c r="AI611">
        <v>0</v>
      </c>
      <c r="AJ611">
        <v>0</v>
      </c>
      <c r="AK611">
        <v>0</v>
      </c>
      <c r="AL611" t="s">
        <v>117</v>
      </c>
      <c r="AM611" t="s">
        <v>627</v>
      </c>
      <c r="AN611" t="s">
        <v>628</v>
      </c>
      <c r="AO611" t="s">
        <v>2921</v>
      </c>
      <c r="AP611" t="s">
        <v>2922</v>
      </c>
      <c r="AQ611" t="s">
        <v>74</v>
      </c>
      <c r="AR611" t="s">
        <v>2923</v>
      </c>
      <c r="AS611" t="s">
        <v>2924</v>
      </c>
      <c r="AT611" t="s">
        <v>11452</v>
      </c>
      <c r="AU611">
        <v>2023</v>
      </c>
      <c r="AV611" t="s">
        <v>74</v>
      </c>
      <c r="AW611" t="s">
        <v>74</v>
      </c>
      <c r="AX611" t="s">
        <v>74</v>
      </c>
      <c r="AY611" t="s">
        <v>74</v>
      </c>
      <c r="AZ611" t="s">
        <v>74</v>
      </c>
      <c r="BA611" t="s">
        <v>74</v>
      </c>
      <c r="BB611" t="s">
        <v>74</v>
      </c>
      <c r="BC611" t="s">
        <v>74</v>
      </c>
      <c r="BD611" t="s">
        <v>74</v>
      </c>
      <c r="BE611" t="s">
        <v>11500</v>
      </c>
      <c r="BF611" t="str">
        <f>HYPERLINK("http://dx.doi.org/10.1007/s11042-023-16474-8","http://dx.doi.org/10.1007/s11042-023-16474-8")</f>
        <v>http://dx.doi.org/10.1007/s11042-023-16474-8</v>
      </c>
      <c r="BG611" t="s">
        <v>74</v>
      </c>
      <c r="BH611" t="s">
        <v>10650</v>
      </c>
      <c r="BI611">
        <v>71</v>
      </c>
      <c r="BJ611" t="s">
        <v>2926</v>
      </c>
      <c r="BK611" t="s">
        <v>126</v>
      </c>
      <c r="BL611" t="s">
        <v>2493</v>
      </c>
      <c r="BM611" t="s">
        <v>11501</v>
      </c>
      <c r="BN611" t="s">
        <v>74</v>
      </c>
      <c r="BO611" t="s">
        <v>74</v>
      </c>
      <c r="BP611" t="s">
        <v>74</v>
      </c>
      <c r="BQ611" t="s">
        <v>74</v>
      </c>
      <c r="BR611" t="s">
        <v>99</v>
      </c>
      <c r="BS611" t="s">
        <v>11502</v>
      </c>
      <c r="BT611" t="str">
        <f>HYPERLINK("https%3A%2F%2Fwww.webofscience.com%2Fwos%2Fwoscc%2Ffull-record%2FWOS:001060692700002","View Full Record in Web of Science")</f>
        <v>View Full Record in Web of Science</v>
      </c>
    </row>
    <row r="612" spans="1:72" x14ac:dyDescent="0.15">
      <c r="A612" t="s">
        <v>72</v>
      </c>
      <c r="B612" t="s">
        <v>11503</v>
      </c>
      <c r="C612" t="s">
        <v>74</v>
      </c>
      <c r="D612" t="s">
        <v>74</v>
      </c>
      <c r="E612" t="s">
        <v>74</v>
      </c>
      <c r="F612" t="s">
        <v>11504</v>
      </c>
      <c r="G612" t="s">
        <v>74</v>
      </c>
      <c r="H612" t="s">
        <v>74</v>
      </c>
      <c r="I612" t="s">
        <v>11505</v>
      </c>
      <c r="J612" t="s">
        <v>6714</v>
      </c>
      <c r="K612" t="s">
        <v>74</v>
      </c>
      <c r="L612" t="s">
        <v>74</v>
      </c>
      <c r="M612" t="s">
        <v>78</v>
      </c>
      <c r="N612" t="s">
        <v>79</v>
      </c>
      <c r="O612" t="s">
        <v>74</v>
      </c>
      <c r="P612" t="s">
        <v>74</v>
      </c>
      <c r="Q612" t="s">
        <v>74</v>
      </c>
      <c r="R612" t="s">
        <v>74</v>
      </c>
      <c r="S612" t="s">
        <v>74</v>
      </c>
      <c r="T612" t="s">
        <v>11506</v>
      </c>
      <c r="U612" t="s">
        <v>11507</v>
      </c>
      <c r="V612" t="s">
        <v>11508</v>
      </c>
      <c r="W612" t="s">
        <v>11509</v>
      </c>
      <c r="X612" t="s">
        <v>11510</v>
      </c>
      <c r="Y612" t="s">
        <v>11511</v>
      </c>
      <c r="Z612" t="s">
        <v>11512</v>
      </c>
      <c r="AA612" t="s">
        <v>74</v>
      </c>
      <c r="AB612" t="s">
        <v>74</v>
      </c>
      <c r="AC612" t="s">
        <v>11513</v>
      </c>
      <c r="AD612" t="s">
        <v>11514</v>
      </c>
      <c r="AE612" t="s">
        <v>11515</v>
      </c>
      <c r="AF612" t="s">
        <v>74</v>
      </c>
      <c r="AG612">
        <v>46</v>
      </c>
      <c r="AH612">
        <v>0</v>
      </c>
      <c r="AI612">
        <v>0</v>
      </c>
      <c r="AJ612">
        <v>6</v>
      </c>
      <c r="AK612">
        <v>6</v>
      </c>
      <c r="AL612" t="s">
        <v>443</v>
      </c>
      <c r="AM612" t="s">
        <v>245</v>
      </c>
      <c r="AN612" t="s">
        <v>444</v>
      </c>
      <c r="AO612" t="s">
        <v>6725</v>
      </c>
      <c r="AP612" t="s">
        <v>74</v>
      </c>
      <c r="AQ612" t="s">
        <v>74</v>
      </c>
      <c r="AR612" t="s">
        <v>6726</v>
      </c>
      <c r="AS612" t="s">
        <v>6727</v>
      </c>
      <c r="AT612" t="s">
        <v>11516</v>
      </c>
      <c r="AU612">
        <v>2023</v>
      </c>
      <c r="AV612">
        <v>18</v>
      </c>
      <c r="AW612">
        <v>1</v>
      </c>
      <c r="AX612" t="s">
        <v>74</v>
      </c>
      <c r="AY612" t="s">
        <v>74</v>
      </c>
      <c r="AZ612" t="s">
        <v>74</v>
      </c>
      <c r="BA612" t="s">
        <v>74</v>
      </c>
      <c r="BB612" t="s">
        <v>74</v>
      </c>
      <c r="BC612" t="s">
        <v>74</v>
      </c>
      <c r="BD612">
        <v>108</v>
      </c>
      <c r="BE612" t="s">
        <v>11517</v>
      </c>
      <c r="BF612" t="str">
        <f>HYPERLINK("http://dx.doi.org/10.1186/s13020-023-00786-w","http://dx.doi.org/10.1186/s13020-023-00786-w")</f>
        <v>http://dx.doi.org/10.1186/s13020-023-00786-w</v>
      </c>
      <c r="BG612" t="s">
        <v>74</v>
      </c>
      <c r="BH612" t="s">
        <v>74</v>
      </c>
      <c r="BI612">
        <v>14</v>
      </c>
      <c r="BJ612" t="s">
        <v>6729</v>
      </c>
      <c r="BK612" t="s">
        <v>126</v>
      </c>
      <c r="BL612" t="s">
        <v>6729</v>
      </c>
      <c r="BM612" t="s">
        <v>11518</v>
      </c>
      <c r="BN612">
        <v>37641047</v>
      </c>
      <c r="BO612" t="s">
        <v>302</v>
      </c>
      <c r="BP612" t="s">
        <v>74</v>
      </c>
      <c r="BQ612" t="s">
        <v>74</v>
      </c>
      <c r="BR612" t="s">
        <v>99</v>
      </c>
      <c r="BS612" t="s">
        <v>11519</v>
      </c>
      <c r="BT612" t="str">
        <f>HYPERLINK("https%3A%2F%2Fwww.webofscience.com%2Fwos%2Fwoscc%2Ffull-record%2FWOS:001056858400001","View Full Record in Web of Science")</f>
        <v>View Full Record in Web of Science</v>
      </c>
    </row>
    <row r="613" spans="1:72" x14ac:dyDescent="0.15">
      <c r="A613" t="s">
        <v>72</v>
      </c>
      <c r="B613" t="s">
        <v>11520</v>
      </c>
      <c r="C613" t="s">
        <v>74</v>
      </c>
      <c r="D613" t="s">
        <v>74</v>
      </c>
      <c r="E613" t="s">
        <v>74</v>
      </c>
      <c r="F613" t="s">
        <v>11521</v>
      </c>
      <c r="G613" t="s">
        <v>74</v>
      </c>
      <c r="H613" t="s">
        <v>74</v>
      </c>
      <c r="I613" t="s">
        <v>11522</v>
      </c>
      <c r="J613" t="s">
        <v>11523</v>
      </c>
      <c r="K613" t="s">
        <v>74</v>
      </c>
      <c r="L613" t="s">
        <v>74</v>
      </c>
      <c r="M613" t="s">
        <v>78</v>
      </c>
      <c r="N613" t="s">
        <v>1246</v>
      </c>
      <c r="O613" t="s">
        <v>74</v>
      </c>
      <c r="P613" t="s">
        <v>74</v>
      </c>
      <c r="Q613" t="s">
        <v>74</v>
      </c>
      <c r="R613" t="s">
        <v>74</v>
      </c>
      <c r="S613" t="s">
        <v>74</v>
      </c>
      <c r="T613" t="s">
        <v>11524</v>
      </c>
      <c r="U613" t="s">
        <v>11525</v>
      </c>
      <c r="V613" t="s">
        <v>11526</v>
      </c>
      <c r="W613" t="s">
        <v>11527</v>
      </c>
      <c r="X613" t="s">
        <v>11528</v>
      </c>
      <c r="Y613" t="s">
        <v>11529</v>
      </c>
      <c r="Z613" t="s">
        <v>11530</v>
      </c>
      <c r="AA613" t="s">
        <v>74</v>
      </c>
      <c r="AB613" t="s">
        <v>74</v>
      </c>
      <c r="AC613" t="s">
        <v>11531</v>
      </c>
      <c r="AD613" t="s">
        <v>11532</v>
      </c>
      <c r="AE613" t="s">
        <v>11533</v>
      </c>
      <c r="AF613" t="s">
        <v>74</v>
      </c>
      <c r="AG613">
        <v>54</v>
      </c>
      <c r="AH613">
        <v>0</v>
      </c>
      <c r="AI613">
        <v>0</v>
      </c>
      <c r="AJ613">
        <v>0</v>
      </c>
      <c r="AK613">
        <v>0</v>
      </c>
      <c r="AL613" t="s">
        <v>172</v>
      </c>
      <c r="AM613" t="s">
        <v>173</v>
      </c>
      <c r="AN613" t="s">
        <v>174</v>
      </c>
      <c r="AO613" t="s">
        <v>11534</v>
      </c>
      <c r="AP613" t="s">
        <v>11535</v>
      </c>
      <c r="AQ613" t="s">
        <v>74</v>
      </c>
      <c r="AR613" t="s">
        <v>11536</v>
      </c>
      <c r="AS613" t="s">
        <v>11537</v>
      </c>
      <c r="AT613" t="s">
        <v>11452</v>
      </c>
      <c r="AU613">
        <v>2023</v>
      </c>
      <c r="AV613" t="s">
        <v>74</v>
      </c>
      <c r="AW613" t="s">
        <v>74</v>
      </c>
      <c r="AX613" t="s">
        <v>74</v>
      </c>
      <c r="AY613" t="s">
        <v>74</v>
      </c>
      <c r="AZ613" t="s">
        <v>74</v>
      </c>
      <c r="BA613" t="s">
        <v>74</v>
      </c>
      <c r="BB613" t="s">
        <v>74</v>
      </c>
      <c r="BC613" t="s">
        <v>74</v>
      </c>
      <c r="BD613" t="s">
        <v>74</v>
      </c>
      <c r="BE613" t="s">
        <v>11538</v>
      </c>
      <c r="BF613" t="str">
        <f>HYPERLINK("http://dx.doi.org/10.1007/s12518-023-00521","http://dx.doi.org/10.1007/s12518-023-00521")</f>
        <v>http://dx.doi.org/10.1007/s12518-023-00521</v>
      </c>
      <c r="BG613" t="s">
        <v>74</v>
      </c>
      <c r="BH613" t="s">
        <v>10650</v>
      </c>
      <c r="BI613">
        <v>23</v>
      </c>
      <c r="BJ613" t="s">
        <v>1485</v>
      </c>
      <c r="BK613" t="s">
        <v>97</v>
      </c>
      <c r="BL613" t="s">
        <v>1485</v>
      </c>
      <c r="BM613" t="s">
        <v>11539</v>
      </c>
      <c r="BN613" t="s">
        <v>74</v>
      </c>
      <c r="BO613" t="s">
        <v>74</v>
      </c>
      <c r="BP613" t="s">
        <v>74</v>
      </c>
      <c r="BQ613" t="s">
        <v>74</v>
      </c>
      <c r="BR613" t="s">
        <v>99</v>
      </c>
      <c r="BS613" t="s">
        <v>11540</v>
      </c>
      <c r="BT613" t="str">
        <f>HYPERLINK("https%3A%2F%2Fwww.webofscience.com%2Fwos%2Fwoscc%2Ffull-record%2FWOS:001060573900001","View Full Record in Web of Science")</f>
        <v>View Full Record in Web of Science</v>
      </c>
    </row>
    <row r="614" spans="1:72" x14ac:dyDescent="0.15">
      <c r="A614" t="s">
        <v>72</v>
      </c>
      <c r="B614" t="s">
        <v>11541</v>
      </c>
      <c r="C614" t="s">
        <v>74</v>
      </c>
      <c r="D614" t="s">
        <v>74</v>
      </c>
      <c r="E614" t="s">
        <v>74</v>
      </c>
      <c r="F614" t="s">
        <v>11542</v>
      </c>
      <c r="G614" t="s">
        <v>74</v>
      </c>
      <c r="H614" t="s">
        <v>74</v>
      </c>
      <c r="I614" t="s">
        <v>11543</v>
      </c>
      <c r="J614" t="s">
        <v>2602</v>
      </c>
      <c r="K614" t="s">
        <v>74</v>
      </c>
      <c r="L614" t="s">
        <v>74</v>
      </c>
      <c r="M614" t="s">
        <v>78</v>
      </c>
      <c r="N614" t="s">
        <v>79</v>
      </c>
      <c r="O614" t="s">
        <v>74</v>
      </c>
      <c r="P614" t="s">
        <v>74</v>
      </c>
      <c r="Q614" t="s">
        <v>74</v>
      </c>
      <c r="R614" t="s">
        <v>74</v>
      </c>
      <c r="S614" t="s">
        <v>74</v>
      </c>
      <c r="T614" t="s">
        <v>11544</v>
      </c>
      <c r="U614" t="s">
        <v>11545</v>
      </c>
      <c r="V614" t="s">
        <v>11546</v>
      </c>
      <c r="W614" t="s">
        <v>11547</v>
      </c>
      <c r="X614" t="s">
        <v>11548</v>
      </c>
      <c r="Y614" t="s">
        <v>11549</v>
      </c>
      <c r="Z614" t="s">
        <v>11550</v>
      </c>
      <c r="AA614" t="s">
        <v>74</v>
      </c>
      <c r="AB614" t="s">
        <v>74</v>
      </c>
      <c r="AC614" t="s">
        <v>11551</v>
      </c>
      <c r="AD614" t="s">
        <v>11551</v>
      </c>
      <c r="AE614" t="s">
        <v>11551</v>
      </c>
      <c r="AF614" t="s">
        <v>74</v>
      </c>
      <c r="AG614">
        <v>45</v>
      </c>
      <c r="AH614">
        <v>0</v>
      </c>
      <c r="AI614">
        <v>0</v>
      </c>
      <c r="AJ614">
        <v>0</v>
      </c>
      <c r="AK614">
        <v>0</v>
      </c>
      <c r="AL614" t="s">
        <v>443</v>
      </c>
      <c r="AM614" t="s">
        <v>245</v>
      </c>
      <c r="AN614" t="s">
        <v>444</v>
      </c>
      <c r="AO614" t="s">
        <v>74</v>
      </c>
      <c r="AP614" t="s">
        <v>2613</v>
      </c>
      <c r="AQ614" t="s">
        <v>74</v>
      </c>
      <c r="AR614" t="s">
        <v>2614</v>
      </c>
      <c r="AS614" t="s">
        <v>2615</v>
      </c>
      <c r="AT614" t="s">
        <v>11516</v>
      </c>
      <c r="AU614">
        <v>2023</v>
      </c>
      <c r="AV614">
        <v>20</v>
      </c>
      <c r="AW614">
        <v>1</v>
      </c>
      <c r="AX614" t="s">
        <v>74</v>
      </c>
      <c r="AY614" t="s">
        <v>74</v>
      </c>
      <c r="AZ614" t="s">
        <v>74</v>
      </c>
      <c r="BA614" t="s">
        <v>74</v>
      </c>
      <c r="BB614" t="s">
        <v>74</v>
      </c>
      <c r="BC614" t="s">
        <v>74</v>
      </c>
      <c r="BD614">
        <v>195</v>
      </c>
      <c r="BE614" t="s">
        <v>11552</v>
      </c>
      <c r="BF614" t="str">
        <f>HYPERLINK("http://dx.doi.org/10.1186/s12985-023-02161-5","http://dx.doi.org/10.1186/s12985-023-02161-5")</f>
        <v>http://dx.doi.org/10.1186/s12985-023-02161-5</v>
      </c>
      <c r="BG614" t="s">
        <v>74</v>
      </c>
      <c r="BH614" t="s">
        <v>74</v>
      </c>
      <c r="BI614">
        <v>11</v>
      </c>
      <c r="BJ614" t="s">
        <v>2618</v>
      </c>
      <c r="BK614" t="s">
        <v>126</v>
      </c>
      <c r="BL614" t="s">
        <v>2618</v>
      </c>
      <c r="BM614" t="s">
        <v>11553</v>
      </c>
      <c r="BN614">
        <v>37644571</v>
      </c>
      <c r="BO614" t="s">
        <v>302</v>
      </c>
      <c r="BP614" t="s">
        <v>74</v>
      </c>
      <c r="BQ614" t="s">
        <v>74</v>
      </c>
      <c r="BR614" t="s">
        <v>99</v>
      </c>
      <c r="BS614" t="s">
        <v>11554</v>
      </c>
      <c r="BT614" t="str">
        <f>HYPERLINK("https%3A%2F%2Fwww.webofscience.com%2Fwos%2Fwoscc%2Ffull-record%2FWOS:001057784300002","View Full Record in Web of Science")</f>
        <v>View Full Record in Web of Science</v>
      </c>
    </row>
    <row r="615" spans="1:72" x14ac:dyDescent="0.15">
      <c r="A615" t="s">
        <v>72</v>
      </c>
      <c r="B615" t="s">
        <v>11555</v>
      </c>
      <c r="C615" t="s">
        <v>74</v>
      </c>
      <c r="D615" t="s">
        <v>74</v>
      </c>
      <c r="E615" t="s">
        <v>74</v>
      </c>
      <c r="F615" t="s">
        <v>11556</v>
      </c>
      <c r="G615" t="s">
        <v>74</v>
      </c>
      <c r="H615" t="s">
        <v>74</v>
      </c>
      <c r="I615" t="s">
        <v>11557</v>
      </c>
      <c r="J615" t="s">
        <v>6394</v>
      </c>
      <c r="K615" t="s">
        <v>74</v>
      </c>
      <c r="L615" t="s">
        <v>74</v>
      </c>
      <c r="M615" t="s">
        <v>78</v>
      </c>
      <c r="N615" t="s">
        <v>1246</v>
      </c>
      <c r="O615" t="s">
        <v>74</v>
      </c>
      <c r="P615" t="s">
        <v>74</v>
      </c>
      <c r="Q615" t="s">
        <v>74</v>
      </c>
      <c r="R615" t="s">
        <v>74</v>
      </c>
      <c r="S615" t="s">
        <v>74</v>
      </c>
      <c r="T615" t="s">
        <v>11558</v>
      </c>
      <c r="U615" t="s">
        <v>74</v>
      </c>
      <c r="V615" t="s">
        <v>11559</v>
      </c>
      <c r="W615" t="s">
        <v>11560</v>
      </c>
      <c r="X615" t="s">
        <v>11561</v>
      </c>
      <c r="Y615" t="s">
        <v>11562</v>
      </c>
      <c r="Z615" t="s">
        <v>11563</v>
      </c>
      <c r="AA615" t="s">
        <v>74</v>
      </c>
      <c r="AB615" t="s">
        <v>11564</v>
      </c>
      <c r="AC615" t="s">
        <v>11565</v>
      </c>
      <c r="AD615" t="s">
        <v>11565</v>
      </c>
      <c r="AE615" t="s">
        <v>11566</v>
      </c>
      <c r="AF615" t="s">
        <v>74</v>
      </c>
      <c r="AG615">
        <v>31</v>
      </c>
      <c r="AH615">
        <v>0</v>
      </c>
      <c r="AI615">
        <v>0</v>
      </c>
      <c r="AJ615">
        <v>0</v>
      </c>
      <c r="AK615">
        <v>0</v>
      </c>
      <c r="AL615" t="s">
        <v>244</v>
      </c>
      <c r="AM615" t="s">
        <v>245</v>
      </c>
      <c r="AN615" t="s">
        <v>246</v>
      </c>
      <c r="AO615" t="s">
        <v>6403</v>
      </c>
      <c r="AP615" t="s">
        <v>6404</v>
      </c>
      <c r="AQ615" t="s">
        <v>74</v>
      </c>
      <c r="AR615" t="s">
        <v>6405</v>
      </c>
      <c r="AS615" t="s">
        <v>6406</v>
      </c>
      <c r="AT615" t="s">
        <v>11452</v>
      </c>
      <c r="AU615">
        <v>2023</v>
      </c>
      <c r="AV615" t="s">
        <v>74</v>
      </c>
      <c r="AW615" t="s">
        <v>74</v>
      </c>
      <c r="AX615" t="s">
        <v>74</v>
      </c>
      <c r="AY615" t="s">
        <v>74</v>
      </c>
      <c r="AZ615" t="s">
        <v>74</v>
      </c>
      <c r="BA615" t="s">
        <v>74</v>
      </c>
      <c r="BB615" t="s">
        <v>74</v>
      </c>
      <c r="BC615" t="s">
        <v>74</v>
      </c>
      <c r="BD615" t="s">
        <v>74</v>
      </c>
      <c r="BE615" t="s">
        <v>11567</v>
      </c>
      <c r="BF615" t="str">
        <f>HYPERLINK("http://dx.doi.org/10.1007/s00170-023-12223-1","http://dx.doi.org/10.1007/s00170-023-12223-1")</f>
        <v>http://dx.doi.org/10.1007/s00170-023-12223-1</v>
      </c>
      <c r="BG615" t="s">
        <v>74</v>
      </c>
      <c r="BH615" t="s">
        <v>10650</v>
      </c>
      <c r="BI615">
        <v>13</v>
      </c>
      <c r="BJ615" t="s">
        <v>6408</v>
      </c>
      <c r="BK615" t="s">
        <v>126</v>
      </c>
      <c r="BL615" t="s">
        <v>6409</v>
      </c>
      <c r="BM615" t="s">
        <v>11568</v>
      </c>
      <c r="BN615" t="s">
        <v>74</v>
      </c>
      <c r="BO615" t="s">
        <v>183</v>
      </c>
      <c r="BP615" t="s">
        <v>74</v>
      </c>
      <c r="BQ615" t="s">
        <v>74</v>
      </c>
      <c r="BR615" t="s">
        <v>99</v>
      </c>
      <c r="BS615" t="s">
        <v>11569</v>
      </c>
      <c r="BT615" t="str">
        <f>HYPERLINK("https%3A%2F%2Fwww.webofscience.com%2Fwos%2Fwoscc%2Ffull-record%2FWOS:001060687800001","View Full Record in Web of Science")</f>
        <v>View Full Record in Web of Science</v>
      </c>
    </row>
    <row r="616" spans="1:72" x14ac:dyDescent="0.15">
      <c r="A616" t="s">
        <v>72</v>
      </c>
      <c r="B616" t="s">
        <v>11570</v>
      </c>
      <c r="C616" t="s">
        <v>74</v>
      </c>
      <c r="D616" t="s">
        <v>74</v>
      </c>
      <c r="E616" t="s">
        <v>74</v>
      </c>
      <c r="F616" t="s">
        <v>11571</v>
      </c>
      <c r="G616" t="s">
        <v>74</v>
      </c>
      <c r="H616" t="s">
        <v>74</v>
      </c>
      <c r="I616" t="s">
        <v>11572</v>
      </c>
      <c r="J616" t="s">
        <v>11573</v>
      </c>
      <c r="K616" t="s">
        <v>74</v>
      </c>
      <c r="L616" t="s">
        <v>74</v>
      </c>
      <c r="M616" t="s">
        <v>78</v>
      </c>
      <c r="N616" t="s">
        <v>79</v>
      </c>
      <c r="O616" t="s">
        <v>74</v>
      </c>
      <c r="P616" t="s">
        <v>74</v>
      </c>
      <c r="Q616" t="s">
        <v>74</v>
      </c>
      <c r="R616" t="s">
        <v>74</v>
      </c>
      <c r="S616" t="s">
        <v>74</v>
      </c>
      <c r="T616" t="s">
        <v>11574</v>
      </c>
      <c r="U616" t="s">
        <v>11575</v>
      </c>
      <c r="V616" t="s">
        <v>11576</v>
      </c>
      <c r="W616" t="s">
        <v>11577</v>
      </c>
      <c r="X616" t="s">
        <v>11578</v>
      </c>
      <c r="Y616" t="s">
        <v>11579</v>
      </c>
      <c r="Z616" t="s">
        <v>11580</v>
      </c>
      <c r="AA616" t="s">
        <v>74</v>
      </c>
      <c r="AB616" t="s">
        <v>74</v>
      </c>
      <c r="AC616" t="s">
        <v>11581</v>
      </c>
      <c r="AD616" t="s">
        <v>11582</v>
      </c>
      <c r="AE616" t="s">
        <v>11583</v>
      </c>
      <c r="AF616" t="s">
        <v>74</v>
      </c>
      <c r="AG616">
        <v>33</v>
      </c>
      <c r="AH616">
        <v>0</v>
      </c>
      <c r="AI616">
        <v>0</v>
      </c>
      <c r="AJ616">
        <v>1</v>
      </c>
      <c r="AK616">
        <v>1</v>
      </c>
      <c r="AL616" t="s">
        <v>117</v>
      </c>
      <c r="AM616" t="s">
        <v>118</v>
      </c>
      <c r="AN616" t="s">
        <v>119</v>
      </c>
      <c r="AO616" t="s">
        <v>11584</v>
      </c>
      <c r="AP616" t="s">
        <v>74</v>
      </c>
      <c r="AQ616" t="s">
        <v>74</v>
      </c>
      <c r="AR616" t="s">
        <v>11585</v>
      </c>
      <c r="AS616" t="s">
        <v>11586</v>
      </c>
      <c r="AT616" t="s">
        <v>11516</v>
      </c>
      <c r="AU616">
        <v>2023</v>
      </c>
      <c r="AV616">
        <v>2023</v>
      </c>
      <c r="AW616">
        <v>1</v>
      </c>
      <c r="AX616" t="s">
        <v>74</v>
      </c>
      <c r="AY616" t="s">
        <v>74</v>
      </c>
      <c r="AZ616" t="s">
        <v>74</v>
      </c>
      <c r="BA616" t="s">
        <v>74</v>
      </c>
      <c r="BB616" t="s">
        <v>74</v>
      </c>
      <c r="BC616" t="s">
        <v>74</v>
      </c>
      <c r="BD616">
        <v>89</v>
      </c>
      <c r="BE616" t="s">
        <v>11587</v>
      </c>
      <c r="BF616" t="str">
        <f>HYPERLINK("http://dx.doi.org/10.1186/s13634-023-01046-7","http://dx.doi.org/10.1186/s13634-023-01046-7")</f>
        <v>http://dx.doi.org/10.1186/s13634-023-01046-7</v>
      </c>
      <c r="BG616" t="s">
        <v>74</v>
      </c>
      <c r="BH616" t="s">
        <v>74</v>
      </c>
      <c r="BI616">
        <v>32</v>
      </c>
      <c r="BJ616" t="s">
        <v>2333</v>
      </c>
      <c r="BK616" t="s">
        <v>126</v>
      </c>
      <c r="BL616" t="s">
        <v>277</v>
      </c>
      <c r="BM616" t="s">
        <v>11588</v>
      </c>
      <c r="BN616" t="s">
        <v>74</v>
      </c>
      <c r="BO616" t="s">
        <v>302</v>
      </c>
      <c r="BP616" t="s">
        <v>74</v>
      </c>
      <c r="BQ616" t="s">
        <v>74</v>
      </c>
      <c r="BR616" t="s">
        <v>99</v>
      </c>
      <c r="BS616" t="s">
        <v>11589</v>
      </c>
      <c r="BT616" t="str">
        <f>HYPERLINK("https%3A%2F%2Fwww.webofscience.com%2Fwos%2Fwoscc%2Ffull-record%2FWOS:001057625200001","View Full Record in Web of Science")</f>
        <v>View Full Record in Web of Science</v>
      </c>
    </row>
    <row r="617" spans="1:72" x14ac:dyDescent="0.15">
      <c r="A617" t="s">
        <v>72</v>
      </c>
      <c r="B617" t="s">
        <v>11590</v>
      </c>
      <c r="C617" t="s">
        <v>74</v>
      </c>
      <c r="D617" t="s">
        <v>74</v>
      </c>
      <c r="E617" t="s">
        <v>74</v>
      </c>
      <c r="F617" t="s">
        <v>11591</v>
      </c>
      <c r="G617" t="s">
        <v>74</v>
      </c>
      <c r="H617" t="s">
        <v>74</v>
      </c>
      <c r="I617" t="s">
        <v>11592</v>
      </c>
      <c r="J617" t="s">
        <v>8211</v>
      </c>
      <c r="K617" t="s">
        <v>74</v>
      </c>
      <c r="L617" t="s">
        <v>74</v>
      </c>
      <c r="M617" t="s">
        <v>78</v>
      </c>
      <c r="N617" t="s">
        <v>1246</v>
      </c>
      <c r="O617" t="s">
        <v>74</v>
      </c>
      <c r="P617" t="s">
        <v>74</v>
      </c>
      <c r="Q617" t="s">
        <v>74</v>
      </c>
      <c r="R617" t="s">
        <v>74</v>
      </c>
      <c r="S617" t="s">
        <v>74</v>
      </c>
      <c r="T617" t="s">
        <v>11593</v>
      </c>
      <c r="U617" t="s">
        <v>74</v>
      </c>
      <c r="V617" t="s">
        <v>11594</v>
      </c>
      <c r="W617" t="s">
        <v>11595</v>
      </c>
      <c r="X617" t="s">
        <v>11596</v>
      </c>
      <c r="Y617" t="s">
        <v>11597</v>
      </c>
      <c r="Z617" t="s">
        <v>11598</v>
      </c>
      <c r="AA617" t="s">
        <v>74</v>
      </c>
      <c r="AB617" t="s">
        <v>74</v>
      </c>
      <c r="AC617" t="s">
        <v>11599</v>
      </c>
      <c r="AD617" t="s">
        <v>11600</v>
      </c>
      <c r="AE617" t="s">
        <v>11601</v>
      </c>
      <c r="AF617" t="s">
        <v>74</v>
      </c>
      <c r="AG617">
        <v>19</v>
      </c>
      <c r="AH617">
        <v>0</v>
      </c>
      <c r="AI617">
        <v>0</v>
      </c>
      <c r="AJ617">
        <v>0</v>
      </c>
      <c r="AK617">
        <v>0</v>
      </c>
      <c r="AL617" t="s">
        <v>117</v>
      </c>
      <c r="AM617" t="s">
        <v>627</v>
      </c>
      <c r="AN617" t="s">
        <v>628</v>
      </c>
      <c r="AO617" t="s">
        <v>8221</v>
      </c>
      <c r="AP617" t="s">
        <v>8222</v>
      </c>
      <c r="AQ617" t="s">
        <v>74</v>
      </c>
      <c r="AR617" t="s">
        <v>8223</v>
      </c>
      <c r="AS617" t="s">
        <v>8224</v>
      </c>
      <c r="AT617" t="s">
        <v>11452</v>
      </c>
      <c r="AU617">
        <v>2023</v>
      </c>
      <c r="AV617" t="s">
        <v>74</v>
      </c>
      <c r="AW617" t="s">
        <v>74</v>
      </c>
      <c r="AX617" t="s">
        <v>74</v>
      </c>
      <c r="AY617" t="s">
        <v>74</v>
      </c>
      <c r="AZ617" t="s">
        <v>74</v>
      </c>
      <c r="BA617" t="s">
        <v>74</v>
      </c>
      <c r="BB617" t="s">
        <v>74</v>
      </c>
      <c r="BC617" t="s">
        <v>74</v>
      </c>
      <c r="BD617" t="s">
        <v>74</v>
      </c>
      <c r="BE617" t="s">
        <v>11602</v>
      </c>
      <c r="BF617" t="str">
        <f>HYPERLINK("http://dx.doi.org/10.1007/s10706-023-02623-1","http://dx.doi.org/10.1007/s10706-023-02623-1")</f>
        <v>http://dx.doi.org/10.1007/s10706-023-02623-1</v>
      </c>
      <c r="BG617" t="s">
        <v>74</v>
      </c>
      <c r="BH617" t="s">
        <v>10650</v>
      </c>
      <c r="BI617">
        <v>16</v>
      </c>
      <c r="BJ617" t="s">
        <v>8227</v>
      </c>
      <c r="BK617" t="s">
        <v>97</v>
      </c>
      <c r="BL617" t="s">
        <v>277</v>
      </c>
      <c r="BM617" t="s">
        <v>11468</v>
      </c>
      <c r="BN617" t="s">
        <v>74</v>
      </c>
      <c r="BO617" t="s">
        <v>74</v>
      </c>
      <c r="BP617" t="s">
        <v>74</v>
      </c>
      <c r="BQ617" t="s">
        <v>74</v>
      </c>
      <c r="BR617" t="s">
        <v>99</v>
      </c>
      <c r="BS617" t="s">
        <v>11603</v>
      </c>
      <c r="BT617" t="str">
        <f>HYPERLINK("https%3A%2F%2Fwww.webofscience.com%2Fwos%2Fwoscc%2Ffull-record%2FWOS:001060667800001","View Full Record in Web of Science")</f>
        <v>View Full Record in Web of Science</v>
      </c>
    </row>
    <row r="618" spans="1:72" x14ac:dyDescent="0.15">
      <c r="A618" t="s">
        <v>72</v>
      </c>
      <c r="B618" t="s">
        <v>11604</v>
      </c>
      <c r="C618" t="s">
        <v>74</v>
      </c>
      <c r="D618" t="s">
        <v>74</v>
      </c>
      <c r="E618" t="s">
        <v>74</v>
      </c>
      <c r="F618" t="s">
        <v>11605</v>
      </c>
      <c r="G618" t="s">
        <v>74</v>
      </c>
      <c r="H618" t="s">
        <v>74</v>
      </c>
      <c r="I618" t="s">
        <v>11606</v>
      </c>
      <c r="J618" t="s">
        <v>3422</v>
      </c>
      <c r="K618" t="s">
        <v>74</v>
      </c>
      <c r="L618" t="s">
        <v>74</v>
      </c>
      <c r="M618" t="s">
        <v>78</v>
      </c>
      <c r="N618" t="s">
        <v>3055</v>
      </c>
      <c r="O618" t="s">
        <v>74</v>
      </c>
      <c r="P618" t="s">
        <v>74</v>
      </c>
      <c r="Q618" t="s">
        <v>74</v>
      </c>
      <c r="R618" t="s">
        <v>74</v>
      </c>
      <c r="S618" t="s">
        <v>74</v>
      </c>
      <c r="T618" t="s">
        <v>74</v>
      </c>
      <c r="U618" t="s">
        <v>11607</v>
      </c>
      <c r="V618" t="s">
        <v>74</v>
      </c>
      <c r="W618" t="s">
        <v>11608</v>
      </c>
      <c r="X618" t="s">
        <v>74</v>
      </c>
      <c r="Y618" t="s">
        <v>11609</v>
      </c>
      <c r="Z618" t="s">
        <v>11610</v>
      </c>
      <c r="AA618" t="s">
        <v>74</v>
      </c>
      <c r="AB618" t="s">
        <v>11611</v>
      </c>
      <c r="AC618" t="s">
        <v>74</v>
      </c>
      <c r="AD618" t="s">
        <v>74</v>
      </c>
      <c r="AE618" t="s">
        <v>74</v>
      </c>
      <c r="AF618" t="s">
        <v>74</v>
      </c>
      <c r="AG618">
        <v>8</v>
      </c>
      <c r="AH618">
        <v>0</v>
      </c>
      <c r="AI618">
        <v>0</v>
      </c>
      <c r="AJ618">
        <v>0</v>
      </c>
      <c r="AK618">
        <v>0</v>
      </c>
      <c r="AL618" t="s">
        <v>1295</v>
      </c>
      <c r="AM618" t="s">
        <v>1296</v>
      </c>
      <c r="AN618" t="s">
        <v>1297</v>
      </c>
      <c r="AO618" t="s">
        <v>3433</v>
      </c>
      <c r="AP618" t="s">
        <v>3434</v>
      </c>
      <c r="AQ618" t="s">
        <v>74</v>
      </c>
      <c r="AR618" t="s">
        <v>3435</v>
      </c>
      <c r="AS618" t="s">
        <v>3436</v>
      </c>
      <c r="AT618" t="s">
        <v>11452</v>
      </c>
      <c r="AU618">
        <v>2023</v>
      </c>
      <c r="AV618" t="s">
        <v>74</v>
      </c>
      <c r="AW618" t="s">
        <v>74</v>
      </c>
      <c r="AX618" t="s">
        <v>74</v>
      </c>
      <c r="AY618" t="s">
        <v>74</v>
      </c>
      <c r="AZ618" t="s">
        <v>74</v>
      </c>
      <c r="BA618" t="s">
        <v>74</v>
      </c>
      <c r="BB618" t="s">
        <v>74</v>
      </c>
      <c r="BC618" t="s">
        <v>74</v>
      </c>
      <c r="BD618" t="s">
        <v>74</v>
      </c>
      <c r="BE618" t="s">
        <v>11612</v>
      </c>
      <c r="BF618" t="str">
        <f>HYPERLINK("http://dx.doi.org/10.1007/s10072-023-07027-w","http://dx.doi.org/10.1007/s10072-023-07027-w")</f>
        <v>http://dx.doi.org/10.1007/s10072-023-07027-w</v>
      </c>
      <c r="BG618" t="s">
        <v>74</v>
      </c>
      <c r="BH618" t="s">
        <v>10650</v>
      </c>
      <c r="BI618">
        <v>3</v>
      </c>
      <c r="BJ618" t="s">
        <v>2803</v>
      </c>
      <c r="BK618" t="s">
        <v>126</v>
      </c>
      <c r="BL618" t="s">
        <v>2057</v>
      </c>
      <c r="BM618" t="s">
        <v>11613</v>
      </c>
      <c r="BN618">
        <v>37644343</v>
      </c>
      <c r="BO618" t="s">
        <v>74</v>
      </c>
      <c r="BP618" t="s">
        <v>74</v>
      </c>
      <c r="BQ618" t="s">
        <v>74</v>
      </c>
      <c r="BR618" t="s">
        <v>99</v>
      </c>
      <c r="BS618" t="s">
        <v>11614</v>
      </c>
      <c r="BT618" t="str">
        <f>HYPERLINK("https%3A%2F%2Fwww.webofscience.com%2Fwos%2Fwoscc%2Ffull-record%2FWOS:001063897100001","View Full Record in Web of Science")</f>
        <v>View Full Record in Web of Science</v>
      </c>
    </row>
    <row r="619" spans="1:72" x14ac:dyDescent="0.15">
      <c r="A619" t="s">
        <v>72</v>
      </c>
      <c r="B619" t="s">
        <v>11615</v>
      </c>
      <c r="C619" t="s">
        <v>74</v>
      </c>
      <c r="D619" t="s">
        <v>74</v>
      </c>
      <c r="E619" t="s">
        <v>74</v>
      </c>
      <c r="F619" t="s">
        <v>11616</v>
      </c>
      <c r="G619" t="s">
        <v>74</v>
      </c>
      <c r="H619" t="s">
        <v>74</v>
      </c>
      <c r="I619" t="s">
        <v>11617</v>
      </c>
      <c r="J619" t="s">
        <v>6313</v>
      </c>
      <c r="K619" t="s">
        <v>74</v>
      </c>
      <c r="L619" t="s">
        <v>74</v>
      </c>
      <c r="M619" t="s">
        <v>78</v>
      </c>
      <c r="N619" t="s">
        <v>79</v>
      </c>
      <c r="O619" t="s">
        <v>74</v>
      </c>
      <c r="P619" t="s">
        <v>74</v>
      </c>
      <c r="Q619" t="s">
        <v>74</v>
      </c>
      <c r="R619" t="s">
        <v>74</v>
      </c>
      <c r="S619" t="s">
        <v>74</v>
      </c>
      <c r="T619" t="s">
        <v>11618</v>
      </c>
      <c r="U619" t="s">
        <v>11619</v>
      </c>
      <c r="V619" t="s">
        <v>11620</v>
      </c>
      <c r="W619" t="s">
        <v>11621</v>
      </c>
      <c r="X619" t="s">
        <v>11622</v>
      </c>
      <c r="Y619" t="s">
        <v>11623</v>
      </c>
      <c r="Z619" t="s">
        <v>11624</v>
      </c>
      <c r="AA619" t="s">
        <v>74</v>
      </c>
      <c r="AB619" t="s">
        <v>74</v>
      </c>
      <c r="AC619" t="s">
        <v>11625</v>
      </c>
      <c r="AD619" t="s">
        <v>11625</v>
      </c>
      <c r="AE619" t="s">
        <v>11626</v>
      </c>
      <c r="AF619" t="s">
        <v>74</v>
      </c>
      <c r="AG619">
        <v>56</v>
      </c>
      <c r="AH619">
        <v>0</v>
      </c>
      <c r="AI619">
        <v>0</v>
      </c>
      <c r="AJ619">
        <v>0</v>
      </c>
      <c r="AK619">
        <v>0</v>
      </c>
      <c r="AL619" t="s">
        <v>443</v>
      </c>
      <c r="AM619" t="s">
        <v>245</v>
      </c>
      <c r="AN619" t="s">
        <v>444</v>
      </c>
      <c r="AO619" t="s">
        <v>74</v>
      </c>
      <c r="AP619" t="s">
        <v>6324</v>
      </c>
      <c r="AQ619" t="s">
        <v>74</v>
      </c>
      <c r="AR619" t="s">
        <v>6325</v>
      </c>
      <c r="AS619" t="s">
        <v>6326</v>
      </c>
      <c r="AT619" t="s">
        <v>11516</v>
      </c>
      <c r="AU619">
        <v>2023</v>
      </c>
      <c r="AV619">
        <v>21</v>
      </c>
      <c r="AW619">
        <v>1</v>
      </c>
      <c r="AX619" t="s">
        <v>74</v>
      </c>
      <c r="AY619" t="s">
        <v>74</v>
      </c>
      <c r="AZ619" t="s">
        <v>74</v>
      </c>
      <c r="BA619" t="s">
        <v>74</v>
      </c>
      <c r="BB619" t="s">
        <v>74</v>
      </c>
      <c r="BC619" t="s">
        <v>74</v>
      </c>
      <c r="BD619">
        <v>305</v>
      </c>
      <c r="BE619" t="s">
        <v>11627</v>
      </c>
      <c r="BF619" t="str">
        <f>HYPERLINK("http://dx.doi.org/10.1186/s12951-023-02070-3","http://dx.doi.org/10.1186/s12951-023-02070-3")</f>
        <v>http://dx.doi.org/10.1186/s12951-023-02070-3</v>
      </c>
      <c r="BG619" t="s">
        <v>74</v>
      </c>
      <c r="BH619" t="s">
        <v>74</v>
      </c>
      <c r="BI619">
        <v>16</v>
      </c>
      <c r="BJ619" t="s">
        <v>6328</v>
      </c>
      <c r="BK619" t="s">
        <v>126</v>
      </c>
      <c r="BL619" t="s">
        <v>6329</v>
      </c>
      <c r="BM619" t="s">
        <v>11628</v>
      </c>
      <c r="BN619">
        <v>37644565</v>
      </c>
      <c r="BO619" t="s">
        <v>302</v>
      </c>
      <c r="BP619" t="s">
        <v>74</v>
      </c>
      <c r="BQ619" t="s">
        <v>74</v>
      </c>
      <c r="BR619" t="s">
        <v>99</v>
      </c>
      <c r="BS619" t="s">
        <v>11629</v>
      </c>
      <c r="BT619" t="str">
        <f>HYPERLINK("https%3A%2F%2Fwww.webofscience.com%2Fwos%2Fwoscc%2Ffull-record%2FWOS:001057674000002","View Full Record in Web of Science")</f>
        <v>View Full Record in Web of Science</v>
      </c>
    </row>
    <row r="620" spans="1:72" x14ac:dyDescent="0.15">
      <c r="A620" t="s">
        <v>72</v>
      </c>
      <c r="B620" t="s">
        <v>11630</v>
      </c>
      <c r="C620" t="s">
        <v>74</v>
      </c>
      <c r="D620" t="s">
        <v>74</v>
      </c>
      <c r="E620" t="s">
        <v>74</v>
      </c>
      <c r="F620" t="s">
        <v>11631</v>
      </c>
      <c r="G620" t="s">
        <v>74</v>
      </c>
      <c r="H620" t="s">
        <v>74</v>
      </c>
      <c r="I620" t="s">
        <v>11632</v>
      </c>
      <c r="J620" t="s">
        <v>11633</v>
      </c>
      <c r="K620" t="s">
        <v>74</v>
      </c>
      <c r="L620" t="s">
        <v>74</v>
      </c>
      <c r="M620" t="s">
        <v>78</v>
      </c>
      <c r="N620" t="s">
        <v>1246</v>
      </c>
      <c r="O620" t="s">
        <v>74</v>
      </c>
      <c r="P620" t="s">
        <v>74</v>
      </c>
      <c r="Q620" t="s">
        <v>74</v>
      </c>
      <c r="R620" t="s">
        <v>74</v>
      </c>
      <c r="S620" t="s">
        <v>74</v>
      </c>
      <c r="T620" t="s">
        <v>11634</v>
      </c>
      <c r="U620" t="s">
        <v>11635</v>
      </c>
      <c r="V620" t="s">
        <v>11636</v>
      </c>
      <c r="W620" t="s">
        <v>11637</v>
      </c>
      <c r="X620" t="s">
        <v>11638</v>
      </c>
      <c r="Y620" t="s">
        <v>11639</v>
      </c>
      <c r="Z620" t="s">
        <v>11640</v>
      </c>
      <c r="AA620" t="s">
        <v>74</v>
      </c>
      <c r="AB620" t="s">
        <v>74</v>
      </c>
      <c r="AC620" t="s">
        <v>11641</v>
      </c>
      <c r="AD620" t="s">
        <v>11641</v>
      </c>
      <c r="AE620" t="s">
        <v>11641</v>
      </c>
      <c r="AF620" t="s">
        <v>74</v>
      </c>
      <c r="AG620">
        <v>17</v>
      </c>
      <c r="AH620">
        <v>0</v>
      </c>
      <c r="AI620">
        <v>0</v>
      </c>
      <c r="AJ620">
        <v>0</v>
      </c>
      <c r="AK620">
        <v>0</v>
      </c>
      <c r="AL620" t="s">
        <v>87</v>
      </c>
      <c r="AM620" t="s">
        <v>88</v>
      </c>
      <c r="AN620" t="s">
        <v>89</v>
      </c>
      <c r="AO620" t="s">
        <v>11642</v>
      </c>
      <c r="AP620" t="s">
        <v>11643</v>
      </c>
      <c r="AQ620" t="s">
        <v>74</v>
      </c>
      <c r="AR620" t="s">
        <v>11644</v>
      </c>
      <c r="AS620" t="s">
        <v>11645</v>
      </c>
      <c r="AT620" t="s">
        <v>11452</v>
      </c>
      <c r="AU620">
        <v>2023</v>
      </c>
      <c r="AV620" t="s">
        <v>74</v>
      </c>
      <c r="AW620" t="s">
        <v>74</v>
      </c>
      <c r="AX620" t="s">
        <v>74</v>
      </c>
      <c r="AY620" t="s">
        <v>74</v>
      </c>
      <c r="AZ620" t="s">
        <v>74</v>
      </c>
      <c r="BA620" t="s">
        <v>74</v>
      </c>
      <c r="BB620" t="s">
        <v>74</v>
      </c>
      <c r="BC620" t="s">
        <v>74</v>
      </c>
      <c r="BD620" t="s">
        <v>74</v>
      </c>
      <c r="BE620" t="s">
        <v>11646</v>
      </c>
      <c r="BF620" t="str">
        <f>HYPERLINK("http://dx.doi.org/10.1007/s13193-023-01810","http://dx.doi.org/10.1007/s13193-023-01810")</f>
        <v>http://dx.doi.org/10.1007/s13193-023-01810</v>
      </c>
      <c r="BG620" t="s">
        <v>74</v>
      </c>
      <c r="BH620" t="s">
        <v>10650</v>
      </c>
      <c r="BI620">
        <v>5</v>
      </c>
      <c r="BJ620" t="s">
        <v>1951</v>
      </c>
      <c r="BK620" t="s">
        <v>97</v>
      </c>
      <c r="BL620" t="s">
        <v>1951</v>
      </c>
      <c r="BM620" t="s">
        <v>11647</v>
      </c>
      <c r="BN620" t="s">
        <v>74</v>
      </c>
      <c r="BO620" t="s">
        <v>74</v>
      </c>
      <c r="BP620" t="s">
        <v>74</v>
      </c>
      <c r="BQ620" t="s">
        <v>74</v>
      </c>
      <c r="BR620" t="s">
        <v>99</v>
      </c>
      <c r="BS620" t="s">
        <v>11648</v>
      </c>
      <c r="BT620" t="str">
        <f>HYPERLINK("https%3A%2F%2Fwww.webofscience.com%2Fwos%2Fwoscc%2Ffull-record%2FWOS:001060174300001","View Full Record in Web of Science")</f>
        <v>View Full Record in Web of Science</v>
      </c>
    </row>
    <row r="621" spans="1:72" x14ac:dyDescent="0.15">
      <c r="A621" t="s">
        <v>72</v>
      </c>
      <c r="B621" t="s">
        <v>11649</v>
      </c>
      <c r="C621" t="s">
        <v>74</v>
      </c>
      <c r="D621" t="s">
        <v>74</v>
      </c>
      <c r="E621" t="s">
        <v>74</v>
      </c>
      <c r="F621" t="s">
        <v>11650</v>
      </c>
      <c r="G621" t="s">
        <v>74</v>
      </c>
      <c r="H621" t="s">
        <v>74</v>
      </c>
      <c r="I621" t="s">
        <v>11651</v>
      </c>
      <c r="J621" t="s">
        <v>8772</v>
      </c>
      <c r="K621" t="s">
        <v>74</v>
      </c>
      <c r="L621" t="s">
        <v>74</v>
      </c>
      <c r="M621" t="s">
        <v>78</v>
      </c>
      <c r="N621" t="s">
        <v>79</v>
      </c>
      <c r="O621" t="s">
        <v>74</v>
      </c>
      <c r="P621" t="s">
        <v>74</v>
      </c>
      <c r="Q621" t="s">
        <v>74</v>
      </c>
      <c r="R621" t="s">
        <v>74</v>
      </c>
      <c r="S621" t="s">
        <v>74</v>
      </c>
      <c r="T621" t="s">
        <v>11652</v>
      </c>
      <c r="U621" t="s">
        <v>11653</v>
      </c>
      <c r="V621" t="s">
        <v>11654</v>
      </c>
      <c r="W621" t="s">
        <v>11655</v>
      </c>
      <c r="X621" t="s">
        <v>11656</v>
      </c>
      <c r="Y621" t="s">
        <v>11657</v>
      </c>
      <c r="Z621" t="s">
        <v>11658</v>
      </c>
      <c r="AA621" t="s">
        <v>74</v>
      </c>
      <c r="AB621" t="s">
        <v>74</v>
      </c>
      <c r="AC621" t="s">
        <v>932</v>
      </c>
      <c r="AD621" t="s">
        <v>932</v>
      </c>
      <c r="AE621" t="s">
        <v>932</v>
      </c>
      <c r="AF621" t="s">
        <v>74</v>
      </c>
      <c r="AG621">
        <v>24</v>
      </c>
      <c r="AH621">
        <v>0</v>
      </c>
      <c r="AI621">
        <v>0</v>
      </c>
      <c r="AJ621">
        <v>0</v>
      </c>
      <c r="AK621">
        <v>0</v>
      </c>
      <c r="AL621" t="s">
        <v>443</v>
      </c>
      <c r="AM621" t="s">
        <v>245</v>
      </c>
      <c r="AN621" t="s">
        <v>444</v>
      </c>
      <c r="AO621" t="s">
        <v>8780</v>
      </c>
      <c r="AP621" t="s">
        <v>74</v>
      </c>
      <c r="AQ621" t="s">
        <v>74</v>
      </c>
      <c r="AR621" t="s">
        <v>8781</v>
      </c>
      <c r="AS621" t="s">
        <v>8782</v>
      </c>
      <c r="AT621" t="s">
        <v>11516</v>
      </c>
      <c r="AU621">
        <v>2023</v>
      </c>
      <c r="AV621">
        <v>23</v>
      </c>
      <c r="AW621">
        <v>1</v>
      </c>
      <c r="AX621" t="s">
        <v>74</v>
      </c>
      <c r="AY621" t="s">
        <v>74</v>
      </c>
      <c r="AZ621" t="s">
        <v>74</v>
      </c>
      <c r="BA621" t="s">
        <v>74</v>
      </c>
      <c r="BB621" t="s">
        <v>74</v>
      </c>
      <c r="BC621" t="s">
        <v>74</v>
      </c>
      <c r="BD621">
        <v>428</v>
      </c>
      <c r="BE621" t="s">
        <v>11659</v>
      </c>
      <c r="BF621" t="str">
        <f>HYPERLINK("http://dx.doi.org/10.1186/s12872-023-03469-4","http://dx.doi.org/10.1186/s12872-023-03469-4")</f>
        <v>http://dx.doi.org/10.1186/s12872-023-03469-4</v>
      </c>
      <c r="BG621" t="s">
        <v>74</v>
      </c>
      <c r="BH621" t="s">
        <v>74</v>
      </c>
      <c r="BI621">
        <v>10</v>
      </c>
      <c r="BJ621" t="s">
        <v>8785</v>
      </c>
      <c r="BK621" t="s">
        <v>126</v>
      </c>
      <c r="BL621" t="s">
        <v>6249</v>
      </c>
      <c r="BM621" t="s">
        <v>11660</v>
      </c>
      <c r="BN621">
        <v>37644408</v>
      </c>
      <c r="BO621" t="s">
        <v>302</v>
      </c>
      <c r="BP621" t="s">
        <v>74</v>
      </c>
      <c r="BQ621" t="s">
        <v>74</v>
      </c>
      <c r="BR621" t="s">
        <v>99</v>
      </c>
      <c r="BS621" t="s">
        <v>11661</v>
      </c>
      <c r="BT621" t="str">
        <f>HYPERLINK("https%3A%2F%2Fwww.webofscience.com%2Fwos%2Fwoscc%2Ffull-record%2FWOS:001057599500003","View Full Record in Web of Science")</f>
        <v>View Full Record in Web of Science</v>
      </c>
    </row>
    <row r="622" spans="1:72" x14ac:dyDescent="0.15">
      <c r="A622" t="s">
        <v>72</v>
      </c>
      <c r="B622" t="s">
        <v>11662</v>
      </c>
      <c r="C622" t="s">
        <v>74</v>
      </c>
      <c r="D622" t="s">
        <v>74</v>
      </c>
      <c r="E622" t="s">
        <v>74</v>
      </c>
      <c r="F622" t="s">
        <v>11663</v>
      </c>
      <c r="G622" t="s">
        <v>74</v>
      </c>
      <c r="H622" t="s">
        <v>74</v>
      </c>
      <c r="I622" t="s">
        <v>11664</v>
      </c>
      <c r="J622" t="s">
        <v>11665</v>
      </c>
      <c r="K622" t="s">
        <v>74</v>
      </c>
      <c r="L622" t="s">
        <v>74</v>
      </c>
      <c r="M622" t="s">
        <v>78</v>
      </c>
      <c r="N622" t="s">
        <v>1246</v>
      </c>
      <c r="O622" t="s">
        <v>74</v>
      </c>
      <c r="P622" t="s">
        <v>74</v>
      </c>
      <c r="Q622" t="s">
        <v>74</v>
      </c>
      <c r="R622" t="s">
        <v>74</v>
      </c>
      <c r="S622" t="s">
        <v>74</v>
      </c>
      <c r="T622" t="s">
        <v>11666</v>
      </c>
      <c r="U622" t="s">
        <v>11667</v>
      </c>
      <c r="V622" t="s">
        <v>11668</v>
      </c>
      <c r="W622" t="s">
        <v>11669</v>
      </c>
      <c r="X622" t="s">
        <v>11670</v>
      </c>
      <c r="Y622" t="s">
        <v>11671</v>
      </c>
      <c r="Z622" t="s">
        <v>11672</v>
      </c>
      <c r="AA622" t="s">
        <v>74</v>
      </c>
      <c r="AB622" t="s">
        <v>74</v>
      </c>
      <c r="AC622" t="s">
        <v>11670</v>
      </c>
      <c r="AD622" t="s">
        <v>11673</v>
      </c>
      <c r="AE622" t="s">
        <v>11674</v>
      </c>
      <c r="AF622" t="s">
        <v>74</v>
      </c>
      <c r="AG622">
        <v>77</v>
      </c>
      <c r="AH622">
        <v>0</v>
      </c>
      <c r="AI622">
        <v>0</v>
      </c>
      <c r="AJ622">
        <v>1</v>
      </c>
      <c r="AK622">
        <v>1</v>
      </c>
      <c r="AL622" t="s">
        <v>269</v>
      </c>
      <c r="AM622" t="s">
        <v>118</v>
      </c>
      <c r="AN622" t="s">
        <v>270</v>
      </c>
      <c r="AO622" t="s">
        <v>11675</v>
      </c>
      <c r="AP622" t="s">
        <v>11676</v>
      </c>
      <c r="AQ622" t="s">
        <v>74</v>
      </c>
      <c r="AR622" t="s">
        <v>11677</v>
      </c>
      <c r="AS622" t="s">
        <v>11678</v>
      </c>
      <c r="AT622" t="s">
        <v>11452</v>
      </c>
      <c r="AU622">
        <v>2023</v>
      </c>
      <c r="AV622" t="s">
        <v>74</v>
      </c>
      <c r="AW622" t="s">
        <v>74</v>
      </c>
      <c r="AX622" t="s">
        <v>74</v>
      </c>
      <c r="AY622" t="s">
        <v>74</v>
      </c>
      <c r="AZ622" t="s">
        <v>74</v>
      </c>
      <c r="BA622" t="s">
        <v>74</v>
      </c>
      <c r="BB622" t="s">
        <v>74</v>
      </c>
      <c r="BC622" t="s">
        <v>74</v>
      </c>
      <c r="BD622" t="s">
        <v>74</v>
      </c>
      <c r="BE622" t="s">
        <v>11679</v>
      </c>
      <c r="BF622" t="str">
        <f>HYPERLINK("http://dx.doi.org/10.1007/s10803-023-06111-6","http://dx.doi.org/10.1007/s10803-023-06111-6")</f>
        <v>http://dx.doi.org/10.1007/s10803-023-06111-6</v>
      </c>
      <c r="BG622" t="s">
        <v>74</v>
      </c>
      <c r="BH622" t="s">
        <v>10650</v>
      </c>
      <c r="BI622">
        <v>14</v>
      </c>
      <c r="BJ622" t="s">
        <v>11680</v>
      </c>
      <c r="BK622" t="s">
        <v>425</v>
      </c>
      <c r="BL622" t="s">
        <v>2907</v>
      </c>
      <c r="BM622" t="s">
        <v>11681</v>
      </c>
      <c r="BN622">
        <v>37642869</v>
      </c>
      <c r="BO622" t="s">
        <v>74</v>
      </c>
      <c r="BP622" t="s">
        <v>74</v>
      </c>
      <c r="BQ622" t="s">
        <v>74</v>
      </c>
      <c r="BR622" t="s">
        <v>99</v>
      </c>
      <c r="BS622" t="s">
        <v>11682</v>
      </c>
      <c r="BT622" t="str">
        <f>HYPERLINK("https%3A%2F%2Fwww.webofscience.com%2Fwos%2Fwoscc%2Ffull-record%2FWOS:001060684300014","View Full Record in Web of Science")</f>
        <v>View Full Record in Web of Science</v>
      </c>
    </row>
    <row r="623" spans="1:72" x14ac:dyDescent="0.15">
      <c r="A623" t="s">
        <v>72</v>
      </c>
      <c r="B623" t="s">
        <v>11683</v>
      </c>
      <c r="C623" t="s">
        <v>74</v>
      </c>
      <c r="D623" t="s">
        <v>74</v>
      </c>
      <c r="E623" t="s">
        <v>74</v>
      </c>
      <c r="F623" t="s">
        <v>11684</v>
      </c>
      <c r="G623" t="s">
        <v>74</v>
      </c>
      <c r="H623" t="s">
        <v>74</v>
      </c>
      <c r="I623" t="s">
        <v>11685</v>
      </c>
      <c r="J623" t="s">
        <v>2360</v>
      </c>
      <c r="K623" t="s">
        <v>74</v>
      </c>
      <c r="L623" t="s">
        <v>74</v>
      </c>
      <c r="M623" t="s">
        <v>78</v>
      </c>
      <c r="N623" t="s">
        <v>1246</v>
      </c>
      <c r="O623" t="s">
        <v>74</v>
      </c>
      <c r="P623" t="s">
        <v>74</v>
      </c>
      <c r="Q623" t="s">
        <v>74</v>
      </c>
      <c r="R623" t="s">
        <v>74</v>
      </c>
      <c r="S623" t="s">
        <v>74</v>
      </c>
      <c r="T623" t="s">
        <v>11686</v>
      </c>
      <c r="U623" t="s">
        <v>74</v>
      </c>
      <c r="V623" t="s">
        <v>11687</v>
      </c>
      <c r="W623" t="s">
        <v>11688</v>
      </c>
      <c r="X623" t="s">
        <v>74</v>
      </c>
      <c r="Y623" t="s">
        <v>11689</v>
      </c>
      <c r="Z623" t="s">
        <v>11690</v>
      </c>
      <c r="AA623" t="s">
        <v>74</v>
      </c>
      <c r="AB623" t="s">
        <v>74</v>
      </c>
      <c r="AC623" t="s">
        <v>74</v>
      </c>
      <c r="AD623" t="s">
        <v>74</v>
      </c>
      <c r="AE623" t="s">
        <v>74</v>
      </c>
      <c r="AF623" t="s">
        <v>74</v>
      </c>
      <c r="AG623">
        <v>9</v>
      </c>
      <c r="AH623">
        <v>0</v>
      </c>
      <c r="AI623">
        <v>0</v>
      </c>
      <c r="AJ623">
        <v>0</v>
      </c>
      <c r="AK623">
        <v>0</v>
      </c>
      <c r="AL623" t="s">
        <v>87</v>
      </c>
      <c r="AM623" t="s">
        <v>88</v>
      </c>
      <c r="AN623" t="s">
        <v>89</v>
      </c>
      <c r="AO623" t="s">
        <v>2368</v>
      </c>
      <c r="AP623" t="s">
        <v>2369</v>
      </c>
      <c r="AQ623" t="s">
        <v>74</v>
      </c>
      <c r="AR623" t="s">
        <v>2370</v>
      </c>
      <c r="AS623" t="s">
        <v>2371</v>
      </c>
      <c r="AT623" t="s">
        <v>11452</v>
      </c>
      <c r="AU623">
        <v>2023</v>
      </c>
      <c r="AV623" t="s">
        <v>74</v>
      </c>
      <c r="AW623" t="s">
        <v>74</v>
      </c>
      <c r="AX623" t="s">
        <v>74</v>
      </c>
      <c r="AY623" t="s">
        <v>74</v>
      </c>
      <c r="AZ623" t="s">
        <v>74</v>
      </c>
      <c r="BA623" t="s">
        <v>74</v>
      </c>
      <c r="BB623" t="s">
        <v>74</v>
      </c>
      <c r="BC623" t="s">
        <v>74</v>
      </c>
      <c r="BD623" t="s">
        <v>74</v>
      </c>
      <c r="BE623" t="s">
        <v>11691</v>
      </c>
      <c r="BF623" t="str">
        <f>HYPERLINK("http://dx.doi.org/10.1007/s12070-023-04170","http://dx.doi.org/10.1007/s12070-023-04170")</f>
        <v>http://dx.doi.org/10.1007/s12070-023-04170</v>
      </c>
      <c r="BG623" t="s">
        <v>74</v>
      </c>
      <c r="BH623" t="s">
        <v>10650</v>
      </c>
      <c r="BI623">
        <v>4</v>
      </c>
      <c r="BJ623" t="s">
        <v>2373</v>
      </c>
      <c r="BK623" t="s">
        <v>97</v>
      </c>
      <c r="BL623" t="s">
        <v>2373</v>
      </c>
      <c r="BM623" t="s">
        <v>11692</v>
      </c>
      <c r="BN623" t="s">
        <v>74</v>
      </c>
      <c r="BO623" t="s">
        <v>74</v>
      </c>
      <c r="BP623" t="s">
        <v>74</v>
      </c>
      <c r="BQ623" t="s">
        <v>74</v>
      </c>
      <c r="BR623" t="s">
        <v>99</v>
      </c>
      <c r="BS623" t="s">
        <v>11693</v>
      </c>
      <c r="BT623" t="str">
        <f>HYPERLINK("https%3A%2F%2Fwww.webofscience.com%2Fwos%2Fwoscc%2Ffull-record%2FWOS:001063916200004","View Full Record in Web of Science")</f>
        <v>View Full Record in Web of Science</v>
      </c>
    </row>
    <row r="624" spans="1:72" x14ac:dyDescent="0.15">
      <c r="A624" t="s">
        <v>72</v>
      </c>
      <c r="B624" t="s">
        <v>11694</v>
      </c>
      <c r="C624" t="s">
        <v>74</v>
      </c>
      <c r="D624" t="s">
        <v>74</v>
      </c>
      <c r="E624" t="s">
        <v>74</v>
      </c>
      <c r="F624" t="s">
        <v>11695</v>
      </c>
      <c r="G624" t="s">
        <v>74</v>
      </c>
      <c r="H624" t="s">
        <v>74</v>
      </c>
      <c r="I624" t="s">
        <v>11696</v>
      </c>
      <c r="J624" t="s">
        <v>7161</v>
      </c>
      <c r="K624" t="s">
        <v>74</v>
      </c>
      <c r="L624" t="s">
        <v>74</v>
      </c>
      <c r="M624" t="s">
        <v>78</v>
      </c>
      <c r="N624" t="s">
        <v>1246</v>
      </c>
      <c r="O624" t="s">
        <v>74</v>
      </c>
      <c r="P624" t="s">
        <v>74</v>
      </c>
      <c r="Q624" t="s">
        <v>74</v>
      </c>
      <c r="R624" t="s">
        <v>74</v>
      </c>
      <c r="S624" t="s">
        <v>74</v>
      </c>
      <c r="T624" t="s">
        <v>11697</v>
      </c>
      <c r="U624" t="s">
        <v>11698</v>
      </c>
      <c r="V624" t="s">
        <v>11699</v>
      </c>
      <c r="W624" t="s">
        <v>11700</v>
      </c>
      <c r="X624" t="s">
        <v>11701</v>
      </c>
      <c r="Y624" t="s">
        <v>11702</v>
      </c>
      <c r="Z624" t="s">
        <v>11703</v>
      </c>
      <c r="AA624" t="s">
        <v>74</v>
      </c>
      <c r="AB624" t="s">
        <v>74</v>
      </c>
      <c r="AC624" t="s">
        <v>11704</v>
      </c>
      <c r="AD624" t="s">
        <v>11705</v>
      </c>
      <c r="AE624" t="s">
        <v>11706</v>
      </c>
      <c r="AF624" t="s">
        <v>74</v>
      </c>
      <c r="AG624">
        <v>75</v>
      </c>
      <c r="AH624">
        <v>0</v>
      </c>
      <c r="AI624">
        <v>0</v>
      </c>
      <c r="AJ624">
        <v>4</v>
      </c>
      <c r="AK624">
        <v>4</v>
      </c>
      <c r="AL624" t="s">
        <v>172</v>
      </c>
      <c r="AM624" t="s">
        <v>173</v>
      </c>
      <c r="AN624" t="s">
        <v>174</v>
      </c>
      <c r="AO624" t="s">
        <v>7172</v>
      </c>
      <c r="AP624" t="s">
        <v>7173</v>
      </c>
      <c r="AQ624" t="s">
        <v>74</v>
      </c>
      <c r="AR624" t="s">
        <v>7174</v>
      </c>
      <c r="AS624" t="s">
        <v>7175</v>
      </c>
      <c r="AT624" t="s">
        <v>11452</v>
      </c>
      <c r="AU624">
        <v>2023</v>
      </c>
      <c r="AV624" t="s">
        <v>74</v>
      </c>
      <c r="AW624" t="s">
        <v>74</v>
      </c>
      <c r="AX624" t="s">
        <v>74</v>
      </c>
      <c r="AY624" t="s">
        <v>74</v>
      </c>
      <c r="AZ624" t="s">
        <v>74</v>
      </c>
      <c r="BA624" t="s">
        <v>74</v>
      </c>
      <c r="BB624" t="s">
        <v>74</v>
      </c>
      <c r="BC624" t="s">
        <v>74</v>
      </c>
      <c r="BD624" t="s">
        <v>74</v>
      </c>
      <c r="BE624" t="s">
        <v>11707</v>
      </c>
      <c r="BF624" t="str">
        <f>HYPERLINK("http://dx.doi.org/10.1007/s11356-023-29307","http://dx.doi.org/10.1007/s11356-023-29307")</f>
        <v>http://dx.doi.org/10.1007/s11356-023-29307</v>
      </c>
      <c r="BG624" t="s">
        <v>74</v>
      </c>
      <c r="BH624" t="s">
        <v>10650</v>
      </c>
      <c r="BI624">
        <v>20</v>
      </c>
      <c r="BJ624" t="s">
        <v>1346</v>
      </c>
      <c r="BK624" t="s">
        <v>126</v>
      </c>
      <c r="BL624" t="s">
        <v>1347</v>
      </c>
      <c r="BM624" t="s">
        <v>11708</v>
      </c>
      <c r="BN624" t="s">
        <v>74</v>
      </c>
      <c r="BO624" t="s">
        <v>74</v>
      </c>
      <c r="BP624" t="s">
        <v>74</v>
      </c>
      <c r="BQ624" t="s">
        <v>74</v>
      </c>
      <c r="BR624" t="s">
        <v>99</v>
      </c>
      <c r="BS624" t="s">
        <v>11709</v>
      </c>
      <c r="BT624" t="str">
        <f>HYPERLINK("https%3A%2F%2Fwww.webofscience.com%2Fwos%2Fwoscc%2Ffull-record%2FWOS:001063924000002","View Full Record in Web of Science")</f>
        <v>View Full Record in Web of Science</v>
      </c>
    </row>
    <row r="625" spans="1:72" x14ac:dyDescent="0.15">
      <c r="A625" t="s">
        <v>72</v>
      </c>
      <c r="B625" t="s">
        <v>11710</v>
      </c>
      <c r="C625" t="s">
        <v>74</v>
      </c>
      <c r="D625" t="s">
        <v>74</v>
      </c>
      <c r="E625" t="s">
        <v>74</v>
      </c>
      <c r="F625" t="s">
        <v>11711</v>
      </c>
      <c r="G625" t="s">
        <v>74</v>
      </c>
      <c r="H625" t="s">
        <v>74</v>
      </c>
      <c r="I625" t="s">
        <v>11712</v>
      </c>
      <c r="J625" t="s">
        <v>11713</v>
      </c>
      <c r="K625" t="s">
        <v>74</v>
      </c>
      <c r="L625" t="s">
        <v>74</v>
      </c>
      <c r="M625" t="s">
        <v>78</v>
      </c>
      <c r="N625" t="s">
        <v>79</v>
      </c>
      <c r="O625" t="s">
        <v>74</v>
      </c>
      <c r="P625" t="s">
        <v>74</v>
      </c>
      <c r="Q625" t="s">
        <v>74</v>
      </c>
      <c r="R625" t="s">
        <v>74</v>
      </c>
      <c r="S625" t="s">
        <v>74</v>
      </c>
      <c r="T625" t="s">
        <v>11714</v>
      </c>
      <c r="U625" t="s">
        <v>11715</v>
      </c>
      <c r="V625" t="s">
        <v>11716</v>
      </c>
      <c r="W625" t="s">
        <v>11717</v>
      </c>
      <c r="X625" t="s">
        <v>11718</v>
      </c>
      <c r="Y625" t="s">
        <v>11719</v>
      </c>
      <c r="Z625" t="s">
        <v>11720</v>
      </c>
      <c r="AA625" t="s">
        <v>74</v>
      </c>
      <c r="AB625" t="s">
        <v>74</v>
      </c>
      <c r="AC625" t="s">
        <v>932</v>
      </c>
      <c r="AD625" t="s">
        <v>932</v>
      </c>
      <c r="AE625" t="s">
        <v>932</v>
      </c>
      <c r="AF625" t="s">
        <v>74</v>
      </c>
      <c r="AG625">
        <v>40</v>
      </c>
      <c r="AH625">
        <v>0</v>
      </c>
      <c r="AI625">
        <v>0</v>
      </c>
      <c r="AJ625">
        <v>1</v>
      </c>
      <c r="AK625">
        <v>1</v>
      </c>
      <c r="AL625" t="s">
        <v>443</v>
      </c>
      <c r="AM625" t="s">
        <v>245</v>
      </c>
      <c r="AN625" t="s">
        <v>444</v>
      </c>
      <c r="AO625" t="s">
        <v>74</v>
      </c>
      <c r="AP625" t="s">
        <v>11721</v>
      </c>
      <c r="AQ625" t="s">
        <v>74</v>
      </c>
      <c r="AR625" t="s">
        <v>11722</v>
      </c>
      <c r="AS625" t="s">
        <v>11723</v>
      </c>
      <c r="AT625" t="s">
        <v>11516</v>
      </c>
      <c r="AU625">
        <v>2023</v>
      </c>
      <c r="AV625">
        <v>23</v>
      </c>
      <c r="AW625">
        <v>1</v>
      </c>
      <c r="AX625" t="s">
        <v>74</v>
      </c>
      <c r="AY625" t="s">
        <v>74</v>
      </c>
      <c r="AZ625" t="s">
        <v>74</v>
      </c>
      <c r="BA625" t="s">
        <v>74</v>
      </c>
      <c r="BB625" t="s">
        <v>74</v>
      </c>
      <c r="BC625" t="s">
        <v>74</v>
      </c>
      <c r="BD625">
        <v>917</v>
      </c>
      <c r="BE625" t="s">
        <v>11724</v>
      </c>
      <c r="BF625" t="str">
        <f>HYPERLINK("http://dx.doi.org/10.1186/s12913-023-09916-4","http://dx.doi.org/10.1186/s12913-023-09916-4")</f>
        <v>http://dx.doi.org/10.1186/s12913-023-09916-4</v>
      </c>
      <c r="BG625" t="s">
        <v>74</v>
      </c>
      <c r="BH625" t="s">
        <v>74</v>
      </c>
      <c r="BI625">
        <v>10</v>
      </c>
      <c r="BJ625" t="s">
        <v>11725</v>
      </c>
      <c r="BK625" t="s">
        <v>126</v>
      </c>
      <c r="BL625" t="s">
        <v>11725</v>
      </c>
      <c r="BM625" t="s">
        <v>11726</v>
      </c>
      <c r="BN625">
        <v>37644426</v>
      </c>
      <c r="BO625" t="s">
        <v>302</v>
      </c>
      <c r="BP625" t="s">
        <v>74</v>
      </c>
      <c r="BQ625" t="s">
        <v>74</v>
      </c>
      <c r="BR625" t="s">
        <v>99</v>
      </c>
      <c r="BS625" t="s">
        <v>11727</v>
      </c>
      <c r="BT625" t="str">
        <f>HYPERLINK("https%3A%2F%2Fwww.webofscience.com%2Fwos%2Fwoscc%2Ffull-record%2FWOS:001057696200002","View Full Record in Web of Science")</f>
        <v>View Full Record in Web of Science</v>
      </c>
    </row>
    <row r="626" spans="1:72" x14ac:dyDescent="0.15">
      <c r="A626" t="s">
        <v>72</v>
      </c>
      <c r="B626" t="s">
        <v>11728</v>
      </c>
      <c r="C626" t="s">
        <v>74</v>
      </c>
      <c r="D626" t="s">
        <v>74</v>
      </c>
      <c r="E626" t="s">
        <v>74</v>
      </c>
      <c r="F626" t="s">
        <v>11729</v>
      </c>
      <c r="G626" t="s">
        <v>74</v>
      </c>
      <c r="H626" t="s">
        <v>74</v>
      </c>
      <c r="I626" t="s">
        <v>11730</v>
      </c>
      <c r="J626" t="s">
        <v>11731</v>
      </c>
      <c r="K626" t="s">
        <v>74</v>
      </c>
      <c r="L626" t="s">
        <v>74</v>
      </c>
      <c r="M626" t="s">
        <v>78</v>
      </c>
      <c r="N626" t="s">
        <v>5945</v>
      </c>
      <c r="O626" t="s">
        <v>74</v>
      </c>
      <c r="P626" t="s">
        <v>74</v>
      </c>
      <c r="Q626" t="s">
        <v>74</v>
      </c>
      <c r="R626" t="s">
        <v>74</v>
      </c>
      <c r="S626" t="s">
        <v>74</v>
      </c>
      <c r="T626" t="s">
        <v>74</v>
      </c>
      <c r="U626" t="s">
        <v>74</v>
      </c>
      <c r="V626" t="s">
        <v>74</v>
      </c>
      <c r="W626" t="s">
        <v>11732</v>
      </c>
      <c r="X626" t="s">
        <v>11733</v>
      </c>
      <c r="Y626" t="s">
        <v>11734</v>
      </c>
      <c r="Z626" t="s">
        <v>11735</v>
      </c>
      <c r="AA626" t="s">
        <v>74</v>
      </c>
      <c r="AB626" t="s">
        <v>74</v>
      </c>
      <c r="AC626" t="s">
        <v>74</v>
      </c>
      <c r="AD626" t="s">
        <v>74</v>
      </c>
      <c r="AE626" t="s">
        <v>74</v>
      </c>
      <c r="AF626" t="s">
        <v>74</v>
      </c>
      <c r="AG626">
        <v>1</v>
      </c>
      <c r="AH626">
        <v>0</v>
      </c>
      <c r="AI626">
        <v>0</v>
      </c>
      <c r="AJ626">
        <v>0</v>
      </c>
      <c r="AK626">
        <v>0</v>
      </c>
      <c r="AL626" t="s">
        <v>317</v>
      </c>
      <c r="AM626" t="s">
        <v>245</v>
      </c>
      <c r="AN626" t="s">
        <v>318</v>
      </c>
      <c r="AO626" t="s">
        <v>11736</v>
      </c>
      <c r="AP626" t="s">
        <v>11737</v>
      </c>
      <c r="AQ626" t="s">
        <v>74</v>
      </c>
      <c r="AR626" t="s">
        <v>11738</v>
      </c>
      <c r="AS626" t="s">
        <v>11739</v>
      </c>
      <c r="AT626" t="s">
        <v>11452</v>
      </c>
      <c r="AU626">
        <v>2023</v>
      </c>
      <c r="AV626" t="s">
        <v>74</v>
      </c>
      <c r="AW626" t="s">
        <v>74</v>
      </c>
      <c r="AX626" t="s">
        <v>74</v>
      </c>
      <c r="AY626" t="s">
        <v>74</v>
      </c>
      <c r="AZ626" t="s">
        <v>74</v>
      </c>
      <c r="BA626" t="s">
        <v>74</v>
      </c>
      <c r="BB626" t="s">
        <v>74</v>
      </c>
      <c r="BC626" t="s">
        <v>74</v>
      </c>
      <c r="BD626" t="s">
        <v>74</v>
      </c>
      <c r="BE626" t="s">
        <v>11740</v>
      </c>
      <c r="BF626" t="str">
        <f>HYPERLINK("http://dx.doi.org/10.1038/s10038-023-01190-w","http://dx.doi.org/10.1038/s10038-023-01190-w")</f>
        <v>http://dx.doi.org/10.1038/s10038-023-01190-w</v>
      </c>
      <c r="BG626" t="s">
        <v>74</v>
      </c>
      <c r="BH626" t="s">
        <v>10650</v>
      </c>
      <c r="BI626">
        <v>1</v>
      </c>
      <c r="BJ626" t="s">
        <v>3740</v>
      </c>
      <c r="BK626" t="s">
        <v>126</v>
      </c>
      <c r="BL626" t="s">
        <v>3740</v>
      </c>
      <c r="BM626" t="s">
        <v>11741</v>
      </c>
      <c r="BN626">
        <v>37640784</v>
      </c>
      <c r="BO626" t="s">
        <v>762</v>
      </c>
      <c r="BP626" t="s">
        <v>74</v>
      </c>
      <c r="BQ626" t="s">
        <v>74</v>
      </c>
      <c r="BR626" t="s">
        <v>99</v>
      </c>
      <c r="BS626" t="s">
        <v>11742</v>
      </c>
      <c r="BT626" t="str">
        <f>HYPERLINK("https%3A%2F%2Fwww.webofscience.com%2Fwos%2Fwoscc%2Ffull-record%2FWOS:001063757200001","View Full Record in Web of Science")</f>
        <v>View Full Record in Web of Science</v>
      </c>
    </row>
    <row r="627" spans="1:72" x14ac:dyDescent="0.15">
      <c r="A627" t="s">
        <v>72</v>
      </c>
      <c r="B627" t="s">
        <v>11743</v>
      </c>
      <c r="C627" t="s">
        <v>74</v>
      </c>
      <c r="D627" t="s">
        <v>74</v>
      </c>
      <c r="E627" t="s">
        <v>74</v>
      </c>
      <c r="F627" t="s">
        <v>11744</v>
      </c>
      <c r="G627" t="s">
        <v>74</v>
      </c>
      <c r="H627" t="s">
        <v>74</v>
      </c>
      <c r="I627" t="s">
        <v>11745</v>
      </c>
      <c r="J627" t="s">
        <v>11746</v>
      </c>
      <c r="K627" t="s">
        <v>74</v>
      </c>
      <c r="L627" t="s">
        <v>74</v>
      </c>
      <c r="M627" t="s">
        <v>78</v>
      </c>
      <c r="N627" t="s">
        <v>1246</v>
      </c>
      <c r="O627" t="s">
        <v>74</v>
      </c>
      <c r="P627" t="s">
        <v>74</v>
      </c>
      <c r="Q627" t="s">
        <v>74</v>
      </c>
      <c r="R627" t="s">
        <v>74</v>
      </c>
      <c r="S627" t="s">
        <v>74</v>
      </c>
      <c r="T627" t="s">
        <v>11747</v>
      </c>
      <c r="U627" t="s">
        <v>11748</v>
      </c>
      <c r="V627" t="s">
        <v>11749</v>
      </c>
      <c r="W627" t="s">
        <v>11750</v>
      </c>
      <c r="X627" t="s">
        <v>11751</v>
      </c>
      <c r="Y627" t="s">
        <v>11752</v>
      </c>
      <c r="Z627" t="s">
        <v>11753</v>
      </c>
      <c r="AA627" t="s">
        <v>74</v>
      </c>
      <c r="AB627" t="s">
        <v>74</v>
      </c>
      <c r="AC627" t="s">
        <v>11754</v>
      </c>
      <c r="AD627" t="s">
        <v>11754</v>
      </c>
      <c r="AE627" t="s">
        <v>11755</v>
      </c>
      <c r="AF627" t="s">
        <v>74</v>
      </c>
      <c r="AG627">
        <v>22</v>
      </c>
      <c r="AH627">
        <v>0</v>
      </c>
      <c r="AI627">
        <v>0</v>
      </c>
      <c r="AJ627">
        <v>1</v>
      </c>
      <c r="AK627">
        <v>1</v>
      </c>
      <c r="AL627" t="s">
        <v>117</v>
      </c>
      <c r="AM627" t="s">
        <v>627</v>
      </c>
      <c r="AN627" t="s">
        <v>628</v>
      </c>
      <c r="AO627" t="s">
        <v>11756</v>
      </c>
      <c r="AP627" t="s">
        <v>11757</v>
      </c>
      <c r="AQ627" t="s">
        <v>74</v>
      </c>
      <c r="AR627" t="s">
        <v>11758</v>
      </c>
      <c r="AS627" t="s">
        <v>11759</v>
      </c>
      <c r="AT627" t="s">
        <v>11452</v>
      </c>
      <c r="AU627">
        <v>2023</v>
      </c>
      <c r="AV627" t="s">
        <v>74</v>
      </c>
      <c r="AW627" t="s">
        <v>74</v>
      </c>
      <c r="AX627" t="s">
        <v>74</v>
      </c>
      <c r="AY627" t="s">
        <v>74</v>
      </c>
      <c r="AZ627" t="s">
        <v>74</v>
      </c>
      <c r="BA627" t="s">
        <v>74</v>
      </c>
      <c r="BB627" t="s">
        <v>74</v>
      </c>
      <c r="BC627" t="s">
        <v>74</v>
      </c>
      <c r="BD627" t="s">
        <v>74</v>
      </c>
      <c r="BE627" t="s">
        <v>11760</v>
      </c>
      <c r="BF627" t="str">
        <f>HYPERLINK("http://dx.doi.org/10.1007/s10872-023-00701-9","http://dx.doi.org/10.1007/s10872-023-00701-9")</f>
        <v>http://dx.doi.org/10.1007/s10872-023-00701-9</v>
      </c>
      <c r="BG627" t="s">
        <v>74</v>
      </c>
      <c r="BH627" t="s">
        <v>10650</v>
      </c>
      <c r="BI627">
        <v>9</v>
      </c>
      <c r="BJ627" t="s">
        <v>11761</v>
      </c>
      <c r="BK627" t="s">
        <v>126</v>
      </c>
      <c r="BL627" t="s">
        <v>11761</v>
      </c>
      <c r="BM627" t="s">
        <v>11762</v>
      </c>
      <c r="BN627" t="s">
        <v>74</v>
      </c>
      <c r="BO627" t="s">
        <v>74</v>
      </c>
      <c r="BP627" t="s">
        <v>74</v>
      </c>
      <c r="BQ627" t="s">
        <v>74</v>
      </c>
      <c r="BR627" t="s">
        <v>99</v>
      </c>
      <c r="BS627" t="s">
        <v>11763</v>
      </c>
      <c r="BT627" t="str">
        <f>HYPERLINK("https%3A%2F%2Fwww.webofscience.com%2Fwos%2Fwoscc%2Ffull-record%2FWOS:001060213500001","View Full Record in Web of Science")</f>
        <v>View Full Record in Web of Science</v>
      </c>
    </row>
    <row r="628" spans="1:72" x14ac:dyDescent="0.15">
      <c r="A628" t="s">
        <v>72</v>
      </c>
      <c r="B628" t="s">
        <v>11764</v>
      </c>
      <c r="C628" t="s">
        <v>74</v>
      </c>
      <c r="D628" t="s">
        <v>74</v>
      </c>
      <c r="E628" t="s">
        <v>74</v>
      </c>
      <c r="F628" t="s">
        <v>11765</v>
      </c>
      <c r="G628" t="s">
        <v>74</v>
      </c>
      <c r="H628" t="s">
        <v>74</v>
      </c>
      <c r="I628" t="s">
        <v>11766</v>
      </c>
      <c r="J628" t="s">
        <v>11767</v>
      </c>
      <c r="K628" t="s">
        <v>74</v>
      </c>
      <c r="L628" t="s">
        <v>74</v>
      </c>
      <c r="M628" t="s">
        <v>78</v>
      </c>
      <c r="N628" t="s">
        <v>1246</v>
      </c>
      <c r="O628" t="s">
        <v>74</v>
      </c>
      <c r="P628" t="s">
        <v>74</v>
      </c>
      <c r="Q628" t="s">
        <v>74</v>
      </c>
      <c r="R628" t="s">
        <v>74</v>
      </c>
      <c r="S628" t="s">
        <v>74</v>
      </c>
      <c r="T628" t="s">
        <v>11768</v>
      </c>
      <c r="U628" t="s">
        <v>11769</v>
      </c>
      <c r="V628" t="s">
        <v>11770</v>
      </c>
      <c r="W628" t="s">
        <v>11771</v>
      </c>
      <c r="X628" t="s">
        <v>6856</v>
      </c>
      <c r="Y628" t="s">
        <v>11772</v>
      </c>
      <c r="Z628" t="s">
        <v>11773</v>
      </c>
      <c r="AA628" t="s">
        <v>74</v>
      </c>
      <c r="AB628" t="s">
        <v>74</v>
      </c>
      <c r="AC628" t="s">
        <v>11774</v>
      </c>
      <c r="AD628" t="s">
        <v>11775</v>
      </c>
      <c r="AE628" t="s">
        <v>11776</v>
      </c>
      <c r="AF628" t="s">
        <v>74</v>
      </c>
      <c r="AG628">
        <v>63</v>
      </c>
      <c r="AH628">
        <v>0</v>
      </c>
      <c r="AI628">
        <v>0</v>
      </c>
      <c r="AJ628">
        <v>2</v>
      </c>
      <c r="AK628">
        <v>2</v>
      </c>
      <c r="AL628" t="s">
        <v>117</v>
      </c>
      <c r="AM628" t="s">
        <v>627</v>
      </c>
      <c r="AN628" t="s">
        <v>628</v>
      </c>
      <c r="AO628" t="s">
        <v>11777</v>
      </c>
      <c r="AP628" t="s">
        <v>11778</v>
      </c>
      <c r="AQ628" t="s">
        <v>74</v>
      </c>
      <c r="AR628" t="s">
        <v>11779</v>
      </c>
      <c r="AS628" t="s">
        <v>11780</v>
      </c>
      <c r="AT628" t="s">
        <v>11452</v>
      </c>
      <c r="AU628">
        <v>2023</v>
      </c>
      <c r="AV628" t="s">
        <v>74</v>
      </c>
      <c r="AW628" t="s">
        <v>74</v>
      </c>
      <c r="AX628" t="s">
        <v>74</v>
      </c>
      <c r="AY628" t="s">
        <v>74</v>
      </c>
      <c r="AZ628" t="s">
        <v>74</v>
      </c>
      <c r="BA628" t="s">
        <v>74</v>
      </c>
      <c r="BB628" t="s">
        <v>74</v>
      </c>
      <c r="BC628" t="s">
        <v>74</v>
      </c>
      <c r="BD628" t="s">
        <v>74</v>
      </c>
      <c r="BE628" t="s">
        <v>11781</v>
      </c>
      <c r="BF628" t="str">
        <f>HYPERLINK("http://dx.doi.org/10.1007/s10822-023-00530-4","http://dx.doi.org/10.1007/s10822-023-00530-4")</f>
        <v>http://dx.doi.org/10.1007/s10822-023-00530-4</v>
      </c>
      <c r="BG628" t="s">
        <v>74</v>
      </c>
      <c r="BH628" t="s">
        <v>10650</v>
      </c>
      <c r="BI628">
        <v>12</v>
      </c>
      <c r="BJ628" t="s">
        <v>11782</v>
      </c>
      <c r="BK628" t="s">
        <v>126</v>
      </c>
      <c r="BL628" t="s">
        <v>11783</v>
      </c>
      <c r="BM628" t="s">
        <v>11784</v>
      </c>
      <c r="BN628">
        <v>37642861</v>
      </c>
      <c r="BO628" t="s">
        <v>74</v>
      </c>
      <c r="BP628" t="s">
        <v>74</v>
      </c>
      <c r="BQ628" t="s">
        <v>74</v>
      </c>
      <c r="BR628" t="s">
        <v>99</v>
      </c>
      <c r="BS628" t="s">
        <v>11785</v>
      </c>
      <c r="BT628" t="str">
        <f>HYPERLINK("https%3A%2F%2Fwww.webofscience.com%2Fwos%2Fwoscc%2Ffull-record%2FWOS:001060175200001","View Full Record in Web of Science")</f>
        <v>View Full Record in Web of Science</v>
      </c>
    </row>
    <row r="629" spans="1:72" x14ac:dyDescent="0.15">
      <c r="A629" t="s">
        <v>72</v>
      </c>
      <c r="B629" t="s">
        <v>11786</v>
      </c>
      <c r="C629" t="s">
        <v>74</v>
      </c>
      <c r="D629" t="s">
        <v>74</v>
      </c>
      <c r="E629" t="s">
        <v>74</v>
      </c>
      <c r="F629" t="s">
        <v>11787</v>
      </c>
      <c r="G629" t="s">
        <v>74</v>
      </c>
      <c r="H629" t="s">
        <v>74</v>
      </c>
      <c r="I629" t="s">
        <v>11788</v>
      </c>
      <c r="J629" t="s">
        <v>4003</v>
      </c>
      <c r="K629" t="s">
        <v>74</v>
      </c>
      <c r="L629" t="s">
        <v>74</v>
      </c>
      <c r="M629" t="s">
        <v>78</v>
      </c>
      <c r="N629" t="s">
        <v>1246</v>
      </c>
      <c r="O629" t="s">
        <v>74</v>
      </c>
      <c r="P629" t="s">
        <v>74</v>
      </c>
      <c r="Q629" t="s">
        <v>74</v>
      </c>
      <c r="R629" t="s">
        <v>74</v>
      </c>
      <c r="S629" t="s">
        <v>74</v>
      </c>
      <c r="T629" t="s">
        <v>11789</v>
      </c>
      <c r="U629" t="s">
        <v>11790</v>
      </c>
      <c r="V629" t="s">
        <v>11791</v>
      </c>
      <c r="W629" t="s">
        <v>11792</v>
      </c>
      <c r="X629" t="s">
        <v>929</v>
      </c>
      <c r="Y629" t="s">
        <v>11793</v>
      </c>
      <c r="Z629" t="s">
        <v>11794</v>
      </c>
      <c r="AA629" t="s">
        <v>74</v>
      </c>
      <c r="AB629" t="s">
        <v>74</v>
      </c>
      <c r="AC629" t="s">
        <v>11795</v>
      </c>
      <c r="AD629" t="s">
        <v>4976</v>
      </c>
      <c r="AE629" t="s">
        <v>11796</v>
      </c>
      <c r="AF629" t="s">
        <v>74</v>
      </c>
      <c r="AG629">
        <v>32</v>
      </c>
      <c r="AH629">
        <v>0</v>
      </c>
      <c r="AI629">
        <v>0</v>
      </c>
      <c r="AJ629">
        <v>2</v>
      </c>
      <c r="AK629">
        <v>2</v>
      </c>
      <c r="AL629" t="s">
        <v>117</v>
      </c>
      <c r="AM629" t="s">
        <v>627</v>
      </c>
      <c r="AN629" t="s">
        <v>628</v>
      </c>
      <c r="AO629" t="s">
        <v>4013</v>
      </c>
      <c r="AP629" t="s">
        <v>4014</v>
      </c>
      <c r="AQ629" t="s">
        <v>74</v>
      </c>
      <c r="AR629" t="s">
        <v>4015</v>
      </c>
      <c r="AS629" t="s">
        <v>4016</v>
      </c>
      <c r="AT629" t="s">
        <v>11797</v>
      </c>
      <c r="AU629">
        <v>2023</v>
      </c>
      <c r="AV629" t="s">
        <v>74</v>
      </c>
      <c r="AW629" t="s">
        <v>74</v>
      </c>
      <c r="AX629" t="s">
        <v>74</v>
      </c>
      <c r="AY629" t="s">
        <v>74</v>
      </c>
      <c r="AZ629" t="s">
        <v>74</v>
      </c>
      <c r="BA629" t="s">
        <v>74</v>
      </c>
      <c r="BB629" t="s">
        <v>74</v>
      </c>
      <c r="BC629" t="s">
        <v>74</v>
      </c>
      <c r="BD629" t="s">
        <v>74</v>
      </c>
      <c r="BE629" t="s">
        <v>11798</v>
      </c>
      <c r="BF629" t="str">
        <f>HYPERLINK("http://dx.doi.org/10.1007/s11071-023-08827-7","http://dx.doi.org/10.1007/s11071-023-08827-7")</f>
        <v>http://dx.doi.org/10.1007/s11071-023-08827-7</v>
      </c>
      <c r="BG629" t="s">
        <v>74</v>
      </c>
      <c r="BH629" t="s">
        <v>10650</v>
      </c>
      <c r="BI629">
        <v>16</v>
      </c>
      <c r="BJ629" t="s">
        <v>4018</v>
      </c>
      <c r="BK629" t="s">
        <v>126</v>
      </c>
      <c r="BL629" t="s">
        <v>4019</v>
      </c>
      <c r="BM629" t="s">
        <v>11799</v>
      </c>
      <c r="BN629" t="s">
        <v>74</v>
      </c>
      <c r="BO629" t="s">
        <v>74</v>
      </c>
      <c r="BP629" t="s">
        <v>74</v>
      </c>
      <c r="BQ629" t="s">
        <v>74</v>
      </c>
      <c r="BR629" t="s">
        <v>99</v>
      </c>
      <c r="BS629" t="s">
        <v>11800</v>
      </c>
      <c r="BT629" t="str">
        <f>HYPERLINK("https%3A%2F%2Fwww.webofscience.com%2Fwos%2Fwoscc%2Ffull-record%2FWOS:001060015000001","View Full Record in Web of Science")</f>
        <v>View Full Record in Web of Science</v>
      </c>
    </row>
    <row r="630" spans="1:72" x14ac:dyDescent="0.15">
      <c r="A630" t="s">
        <v>72</v>
      </c>
      <c r="B630" t="s">
        <v>11801</v>
      </c>
      <c r="C630" t="s">
        <v>74</v>
      </c>
      <c r="D630" t="s">
        <v>74</v>
      </c>
      <c r="E630" t="s">
        <v>74</v>
      </c>
      <c r="F630" t="s">
        <v>11802</v>
      </c>
      <c r="G630" t="s">
        <v>74</v>
      </c>
      <c r="H630" t="s">
        <v>74</v>
      </c>
      <c r="I630" t="s">
        <v>11803</v>
      </c>
      <c r="J630" t="s">
        <v>11804</v>
      </c>
      <c r="K630" t="s">
        <v>74</v>
      </c>
      <c r="L630" t="s">
        <v>74</v>
      </c>
      <c r="M630" t="s">
        <v>78</v>
      </c>
      <c r="N630" t="s">
        <v>79</v>
      </c>
      <c r="O630" t="s">
        <v>74</v>
      </c>
      <c r="P630" t="s">
        <v>74</v>
      </c>
      <c r="Q630" t="s">
        <v>74</v>
      </c>
      <c r="R630" t="s">
        <v>74</v>
      </c>
      <c r="S630" t="s">
        <v>74</v>
      </c>
      <c r="T630" t="s">
        <v>11805</v>
      </c>
      <c r="U630" t="s">
        <v>11806</v>
      </c>
      <c r="V630" t="s">
        <v>11807</v>
      </c>
      <c r="W630" t="s">
        <v>11808</v>
      </c>
      <c r="X630" t="s">
        <v>74</v>
      </c>
      <c r="Y630" t="s">
        <v>11809</v>
      </c>
      <c r="Z630" t="s">
        <v>11810</v>
      </c>
      <c r="AA630" t="s">
        <v>74</v>
      </c>
      <c r="AB630" t="s">
        <v>74</v>
      </c>
      <c r="AC630" t="s">
        <v>11811</v>
      </c>
      <c r="AD630" t="s">
        <v>11811</v>
      </c>
      <c r="AE630" t="s">
        <v>11812</v>
      </c>
      <c r="AF630" t="s">
        <v>74</v>
      </c>
      <c r="AG630">
        <v>31</v>
      </c>
      <c r="AH630">
        <v>0</v>
      </c>
      <c r="AI630">
        <v>0</v>
      </c>
      <c r="AJ630">
        <v>0</v>
      </c>
      <c r="AK630">
        <v>0</v>
      </c>
      <c r="AL630" t="s">
        <v>443</v>
      </c>
      <c r="AM630" t="s">
        <v>245</v>
      </c>
      <c r="AN630" t="s">
        <v>444</v>
      </c>
      <c r="AO630" t="s">
        <v>74</v>
      </c>
      <c r="AP630" t="s">
        <v>11813</v>
      </c>
      <c r="AQ630" t="s">
        <v>74</v>
      </c>
      <c r="AR630" t="s">
        <v>11814</v>
      </c>
      <c r="AS630" t="s">
        <v>11815</v>
      </c>
      <c r="AT630" t="s">
        <v>11816</v>
      </c>
      <c r="AU630">
        <v>2023</v>
      </c>
      <c r="AV630">
        <v>23</v>
      </c>
      <c r="AW630">
        <v>1</v>
      </c>
      <c r="AX630" t="s">
        <v>74</v>
      </c>
      <c r="AY630" t="s">
        <v>74</v>
      </c>
      <c r="AZ630" t="s">
        <v>74</v>
      </c>
      <c r="BA630" t="s">
        <v>74</v>
      </c>
      <c r="BB630" t="s">
        <v>74</v>
      </c>
      <c r="BC630" t="s">
        <v>74</v>
      </c>
      <c r="BD630">
        <v>43</v>
      </c>
      <c r="BE630" t="s">
        <v>11817</v>
      </c>
      <c r="BF630" t="str">
        <f>HYPERLINK("http://dx.doi.org/10.1186/s12862-023-02154-6","http://dx.doi.org/10.1186/s12862-023-02154-6")</f>
        <v>http://dx.doi.org/10.1186/s12862-023-02154-6</v>
      </c>
      <c r="BG630" t="s">
        <v>74</v>
      </c>
      <c r="BH630" t="s">
        <v>74</v>
      </c>
      <c r="BI630">
        <v>17</v>
      </c>
      <c r="BJ630" t="s">
        <v>11818</v>
      </c>
      <c r="BK630" t="s">
        <v>126</v>
      </c>
      <c r="BL630" t="s">
        <v>11819</v>
      </c>
      <c r="BM630" t="s">
        <v>11820</v>
      </c>
      <c r="BN630">
        <v>37635212</v>
      </c>
      <c r="BO630" t="s">
        <v>302</v>
      </c>
      <c r="BP630" t="s">
        <v>74</v>
      </c>
      <c r="BQ630" t="s">
        <v>74</v>
      </c>
      <c r="BR630" t="s">
        <v>99</v>
      </c>
      <c r="BS630" t="s">
        <v>11821</v>
      </c>
      <c r="BT630" t="str">
        <f>HYPERLINK("https%3A%2F%2Fwww.webofscience.com%2Fwos%2Fwoscc%2Ffull-record%2FWOS:001054988600001","View Full Record in Web of Science")</f>
        <v>View Full Record in Web of Science</v>
      </c>
    </row>
    <row r="631" spans="1:72" x14ac:dyDescent="0.15">
      <c r="A631" t="s">
        <v>72</v>
      </c>
      <c r="B631" t="s">
        <v>11822</v>
      </c>
      <c r="C631" t="s">
        <v>74</v>
      </c>
      <c r="D631" t="s">
        <v>74</v>
      </c>
      <c r="E631" t="s">
        <v>74</v>
      </c>
      <c r="F631" t="s">
        <v>11823</v>
      </c>
      <c r="G631" t="s">
        <v>74</v>
      </c>
      <c r="H631" t="s">
        <v>74</v>
      </c>
      <c r="I631" t="s">
        <v>11824</v>
      </c>
      <c r="J631" t="s">
        <v>11825</v>
      </c>
      <c r="K631" t="s">
        <v>74</v>
      </c>
      <c r="L631" t="s">
        <v>74</v>
      </c>
      <c r="M631" t="s">
        <v>78</v>
      </c>
      <c r="N631" t="s">
        <v>1246</v>
      </c>
      <c r="O631" t="s">
        <v>74</v>
      </c>
      <c r="P631" t="s">
        <v>74</v>
      </c>
      <c r="Q631" t="s">
        <v>74</v>
      </c>
      <c r="R631" t="s">
        <v>74</v>
      </c>
      <c r="S631" t="s">
        <v>74</v>
      </c>
      <c r="T631" t="s">
        <v>11826</v>
      </c>
      <c r="U631" t="s">
        <v>11827</v>
      </c>
      <c r="V631" t="s">
        <v>11828</v>
      </c>
      <c r="W631" t="s">
        <v>11829</v>
      </c>
      <c r="X631" t="s">
        <v>11830</v>
      </c>
      <c r="Y631" t="s">
        <v>11831</v>
      </c>
      <c r="Z631" t="s">
        <v>11832</v>
      </c>
      <c r="AA631" t="s">
        <v>74</v>
      </c>
      <c r="AB631" t="s">
        <v>74</v>
      </c>
      <c r="AC631" t="s">
        <v>74</v>
      </c>
      <c r="AD631" t="s">
        <v>74</v>
      </c>
      <c r="AE631" t="s">
        <v>74</v>
      </c>
      <c r="AF631" t="s">
        <v>74</v>
      </c>
      <c r="AG631">
        <v>35</v>
      </c>
      <c r="AH631">
        <v>0</v>
      </c>
      <c r="AI631">
        <v>0</v>
      </c>
      <c r="AJ631">
        <v>0</v>
      </c>
      <c r="AK631">
        <v>0</v>
      </c>
      <c r="AL631" t="s">
        <v>117</v>
      </c>
      <c r="AM631" t="s">
        <v>627</v>
      </c>
      <c r="AN631" t="s">
        <v>628</v>
      </c>
      <c r="AO631" t="s">
        <v>11833</v>
      </c>
      <c r="AP631" t="s">
        <v>11834</v>
      </c>
      <c r="AQ631" t="s">
        <v>74</v>
      </c>
      <c r="AR631" t="s">
        <v>11835</v>
      </c>
      <c r="AS631" t="s">
        <v>11836</v>
      </c>
      <c r="AT631" t="s">
        <v>11797</v>
      </c>
      <c r="AU631">
        <v>2023</v>
      </c>
      <c r="AV631" t="s">
        <v>74</v>
      </c>
      <c r="AW631" t="s">
        <v>74</v>
      </c>
      <c r="AX631" t="s">
        <v>74</v>
      </c>
      <c r="AY631" t="s">
        <v>74</v>
      </c>
      <c r="AZ631" t="s">
        <v>74</v>
      </c>
      <c r="BA631" t="s">
        <v>74</v>
      </c>
      <c r="BB631" t="s">
        <v>74</v>
      </c>
      <c r="BC631" t="s">
        <v>74</v>
      </c>
      <c r="BD631" t="s">
        <v>74</v>
      </c>
      <c r="BE631" t="s">
        <v>11837</v>
      </c>
      <c r="BF631" t="str">
        <f>HYPERLINK("http://dx.doi.org/10.1007/s11149-023-09464","http://dx.doi.org/10.1007/s11149-023-09464")</f>
        <v>http://dx.doi.org/10.1007/s11149-023-09464</v>
      </c>
      <c r="BG631" t="s">
        <v>74</v>
      </c>
      <c r="BH631" t="s">
        <v>10650</v>
      </c>
      <c r="BI631">
        <v>18</v>
      </c>
      <c r="BJ631" t="s">
        <v>2781</v>
      </c>
      <c r="BK631" t="s">
        <v>425</v>
      </c>
      <c r="BL631" t="s">
        <v>426</v>
      </c>
      <c r="BM631" t="s">
        <v>11838</v>
      </c>
      <c r="BN631" t="s">
        <v>74</v>
      </c>
      <c r="BO631" t="s">
        <v>74</v>
      </c>
      <c r="BP631" t="s">
        <v>74</v>
      </c>
      <c r="BQ631" t="s">
        <v>74</v>
      </c>
      <c r="BR631" t="s">
        <v>99</v>
      </c>
      <c r="BS631" t="s">
        <v>11839</v>
      </c>
      <c r="BT631" t="str">
        <f>HYPERLINK("https%3A%2F%2Fwww.webofscience.com%2Fwos%2Fwoscc%2Ffull-record%2FWOS:001060427400001","View Full Record in Web of Science")</f>
        <v>View Full Record in Web of Science</v>
      </c>
    </row>
    <row r="632" spans="1:72" x14ac:dyDescent="0.15">
      <c r="A632" t="s">
        <v>72</v>
      </c>
      <c r="B632" t="s">
        <v>11840</v>
      </c>
      <c r="C632" t="s">
        <v>74</v>
      </c>
      <c r="D632" t="s">
        <v>74</v>
      </c>
      <c r="E632" t="s">
        <v>74</v>
      </c>
      <c r="F632" t="s">
        <v>11841</v>
      </c>
      <c r="G632" t="s">
        <v>74</v>
      </c>
      <c r="H632" t="s">
        <v>74</v>
      </c>
      <c r="I632" t="s">
        <v>11842</v>
      </c>
      <c r="J632" t="s">
        <v>11843</v>
      </c>
      <c r="K632" t="s">
        <v>74</v>
      </c>
      <c r="L632" t="s">
        <v>74</v>
      </c>
      <c r="M632" t="s">
        <v>78</v>
      </c>
      <c r="N632" t="s">
        <v>79</v>
      </c>
      <c r="O632" t="s">
        <v>74</v>
      </c>
      <c r="P632" t="s">
        <v>74</v>
      </c>
      <c r="Q632" t="s">
        <v>74</v>
      </c>
      <c r="R632" t="s">
        <v>74</v>
      </c>
      <c r="S632" t="s">
        <v>74</v>
      </c>
      <c r="T632" t="s">
        <v>11844</v>
      </c>
      <c r="U632" t="s">
        <v>11845</v>
      </c>
      <c r="V632" t="s">
        <v>11846</v>
      </c>
      <c r="W632" t="s">
        <v>11847</v>
      </c>
      <c r="X632" t="s">
        <v>11848</v>
      </c>
      <c r="Y632" t="s">
        <v>11849</v>
      </c>
      <c r="Z632" t="s">
        <v>11850</v>
      </c>
      <c r="AA632" t="s">
        <v>11851</v>
      </c>
      <c r="AB632" t="s">
        <v>11852</v>
      </c>
      <c r="AC632" t="s">
        <v>932</v>
      </c>
      <c r="AD632" t="s">
        <v>932</v>
      </c>
      <c r="AE632" t="s">
        <v>932</v>
      </c>
      <c r="AF632" t="s">
        <v>74</v>
      </c>
      <c r="AG632">
        <v>27</v>
      </c>
      <c r="AH632">
        <v>0</v>
      </c>
      <c r="AI632">
        <v>0</v>
      </c>
      <c r="AJ632">
        <v>0</v>
      </c>
      <c r="AK632">
        <v>0</v>
      </c>
      <c r="AL632" t="s">
        <v>443</v>
      </c>
      <c r="AM632" t="s">
        <v>245</v>
      </c>
      <c r="AN632" t="s">
        <v>444</v>
      </c>
      <c r="AO632" t="s">
        <v>11853</v>
      </c>
      <c r="AP632" t="s">
        <v>74</v>
      </c>
      <c r="AQ632" t="s">
        <v>74</v>
      </c>
      <c r="AR632" t="s">
        <v>11854</v>
      </c>
      <c r="AS632" t="s">
        <v>11855</v>
      </c>
      <c r="AT632" t="s">
        <v>11816</v>
      </c>
      <c r="AU632">
        <v>2023</v>
      </c>
      <c r="AV632">
        <v>22</v>
      </c>
      <c r="AW632">
        <v>1</v>
      </c>
      <c r="AX632" t="s">
        <v>74</v>
      </c>
      <c r="AY632" t="s">
        <v>74</v>
      </c>
      <c r="AZ632" t="s">
        <v>74</v>
      </c>
      <c r="BA632" t="s">
        <v>74</v>
      </c>
      <c r="BB632" t="s">
        <v>74</v>
      </c>
      <c r="BC632" t="s">
        <v>74</v>
      </c>
      <c r="BD632">
        <v>292</v>
      </c>
      <c r="BE632" t="s">
        <v>11856</v>
      </c>
      <c r="BF632" t="str">
        <f>HYPERLINK("http://dx.doi.org/10.1186/s12912-023-01434-2","http://dx.doi.org/10.1186/s12912-023-01434-2")</f>
        <v>http://dx.doi.org/10.1186/s12912-023-01434-2</v>
      </c>
      <c r="BG632" t="s">
        <v>74</v>
      </c>
      <c r="BH632" t="s">
        <v>74</v>
      </c>
      <c r="BI632">
        <v>7</v>
      </c>
      <c r="BJ632" t="s">
        <v>11857</v>
      </c>
      <c r="BK632" t="s">
        <v>2431</v>
      </c>
      <c r="BL632" t="s">
        <v>11857</v>
      </c>
      <c r="BM632" t="s">
        <v>11858</v>
      </c>
      <c r="BN632">
        <v>37641035</v>
      </c>
      <c r="BO632" t="s">
        <v>302</v>
      </c>
      <c r="BP632" t="s">
        <v>74</v>
      </c>
      <c r="BQ632" t="s">
        <v>74</v>
      </c>
      <c r="BR632" t="s">
        <v>99</v>
      </c>
      <c r="BS632" t="s">
        <v>11859</v>
      </c>
      <c r="BT632" t="str">
        <f>HYPERLINK("https%3A%2F%2Fwww.webofscience.com%2Fwos%2Fwoscc%2Ffull-record%2FWOS:001056864800003","View Full Record in Web of Science")</f>
        <v>View Full Record in Web of Science</v>
      </c>
    </row>
    <row r="633" spans="1:72" x14ac:dyDescent="0.15">
      <c r="A633" t="s">
        <v>72</v>
      </c>
      <c r="B633" t="s">
        <v>11860</v>
      </c>
      <c r="C633" t="s">
        <v>74</v>
      </c>
      <c r="D633" t="s">
        <v>74</v>
      </c>
      <c r="E633" t="s">
        <v>74</v>
      </c>
      <c r="F633" t="s">
        <v>11861</v>
      </c>
      <c r="G633" t="s">
        <v>74</v>
      </c>
      <c r="H633" t="s">
        <v>74</v>
      </c>
      <c r="I633" t="s">
        <v>11862</v>
      </c>
      <c r="J633" t="s">
        <v>8193</v>
      </c>
      <c r="K633" t="s">
        <v>74</v>
      </c>
      <c r="L633" t="s">
        <v>74</v>
      </c>
      <c r="M633" t="s">
        <v>78</v>
      </c>
      <c r="N633" t="s">
        <v>2174</v>
      </c>
      <c r="O633" t="s">
        <v>74</v>
      </c>
      <c r="P633" t="s">
        <v>74</v>
      </c>
      <c r="Q633" t="s">
        <v>74</v>
      </c>
      <c r="R633" t="s">
        <v>74</v>
      </c>
      <c r="S633" t="s">
        <v>74</v>
      </c>
      <c r="T633" t="s">
        <v>11863</v>
      </c>
      <c r="U633" t="s">
        <v>11864</v>
      </c>
      <c r="V633" t="s">
        <v>11865</v>
      </c>
      <c r="W633" t="s">
        <v>11866</v>
      </c>
      <c r="X633" t="s">
        <v>11867</v>
      </c>
      <c r="Y633" t="s">
        <v>11868</v>
      </c>
      <c r="Z633" t="s">
        <v>11869</v>
      </c>
      <c r="AA633" t="s">
        <v>74</v>
      </c>
      <c r="AB633" t="s">
        <v>74</v>
      </c>
      <c r="AC633" t="s">
        <v>11870</v>
      </c>
      <c r="AD633" t="s">
        <v>11870</v>
      </c>
      <c r="AE633" t="s">
        <v>11870</v>
      </c>
      <c r="AF633" t="s">
        <v>74</v>
      </c>
      <c r="AG633">
        <v>23</v>
      </c>
      <c r="AH633">
        <v>0</v>
      </c>
      <c r="AI633">
        <v>0</v>
      </c>
      <c r="AJ633">
        <v>0</v>
      </c>
      <c r="AK633">
        <v>0</v>
      </c>
      <c r="AL633" t="s">
        <v>317</v>
      </c>
      <c r="AM633" t="s">
        <v>245</v>
      </c>
      <c r="AN633" t="s">
        <v>318</v>
      </c>
      <c r="AO633" t="s">
        <v>8201</v>
      </c>
      <c r="AP633" t="s">
        <v>8202</v>
      </c>
      <c r="AQ633" t="s">
        <v>74</v>
      </c>
      <c r="AR633" t="s">
        <v>8203</v>
      </c>
      <c r="AS633" t="s">
        <v>8204</v>
      </c>
      <c r="AT633" t="s">
        <v>11797</v>
      </c>
      <c r="AU633">
        <v>2023</v>
      </c>
      <c r="AV633" t="s">
        <v>74</v>
      </c>
      <c r="AW633" t="s">
        <v>74</v>
      </c>
      <c r="AX633" t="s">
        <v>74</v>
      </c>
      <c r="AY633" t="s">
        <v>74</v>
      </c>
      <c r="AZ633" t="s">
        <v>74</v>
      </c>
      <c r="BA633" t="s">
        <v>74</v>
      </c>
      <c r="BB633" t="s">
        <v>74</v>
      </c>
      <c r="BC633" t="s">
        <v>74</v>
      </c>
      <c r="BD633" t="s">
        <v>74</v>
      </c>
      <c r="BE633" t="s">
        <v>11871</v>
      </c>
      <c r="BF633" t="str">
        <f>HYPERLINK("http://dx.doi.org/10.1007/s00590-023-03668","http://dx.doi.org/10.1007/s00590-023-03668")</f>
        <v>http://dx.doi.org/10.1007/s00590-023-03668</v>
      </c>
      <c r="BG633" t="s">
        <v>74</v>
      </c>
      <c r="BH633" t="s">
        <v>10650</v>
      </c>
      <c r="BI633">
        <v>6</v>
      </c>
      <c r="BJ633" t="s">
        <v>7941</v>
      </c>
      <c r="BK633" t="s">
        <v>97</v>
      </c>
      <c r="BL633" t="s">
        <v>7941</v>
      </c>
      <c r="BM633" t="s">
        <v>11872</v>
      </c>
      <c r="BN633" t="s">
        <v>74</v>
      </c>
      <c r="BO633" t="s">
        <v>74</v>
      </c>
      <c r="BP633" t="s">
        <v>74</v>
      </c>
      <c r="BQ633" t="s">
        <v>74</v>
      </c>
      <c r="BR633" t="s">
        <v>99</v>
      </c>
      <c r="BS633" t="s">
        <v>11873</v>
      </c>
      <c r="BT633" t="str">
        <f>HYPERLINK("https%3A%2F%2Fwww.webofscience.com%2Fwos%2Fwoscc%2Ffull-record%2FWOS:001060436900002","View Full Record in Web of Science")</f>
        <v>View Full Record in Web of Science</v>
      </c>
    </row>
    <row r="634" spans="1:72" x14ac:dyDescent="0.15">
      <c r="A634" t="s">
        <v>72</v>
      </c>
      <c r="B634" t="s">
        <v>11874</v>
      </c>
      <c r="C634" t="s">
        <v>74</v>
      </c>
      <c r="D634" t="s">
        <v>74</v>
      </c>
      <c r="E634" t="s">
        <v>74</v>
      </c>
      <c r="F634" t="s">
        <v>11875</v>
      </c>
      <c r="G634" t="s">
        <v>74</v>
      </c>
      <c r="H634" t="s">
        <v>74</v>
      </c>
      <c r="I634" t="s">
        <v>11876</v>
      </c>
      <c r="J634" t="s">
        <v>11877</v>
      </c>
      <c r="K634" t="s">
        <v>74</v>
      </c>
      <c r="L634" t="s">
        <v>74</v>
      </c>
      <c r="M634" t="s">
        <v>78</v>
      </c>
      <c r="N634" t="s">
        <v>1246</v>
      </c>
      <c r="O634" t="s">
        <v>74</v>
      </c>
      <c r="P634" t="s">
        <v>74</v>
      </c>
      <c r="Q634" t="s">
        <v>74</v>
      </c>
      <c r="R634" t="s">
        <v>74</v>
      </c>
      <c r="S634" t="s">
        <v>74</v>
      </c>
      <c r="T634" t="s">
        <v>11878</v>
      </c>
      <c r="U634" t="s">
        <v>11879</v>
      </c>
      <c r="V634" t="s">
        <v>11880</v>
      </c>
      <c r="W634" t="s">
        <v>11881</v>
      </c>
      <c r="X634" t="s">
        <v>11882</v>
      </c>
      <c r="Y634" t="s">
        <v>11883</v>
      </c>
      <c r="Z634" t="s">
        <v>11884</v>
      </c>
      <c r="AA634" t="s">
        <v>74</v>
      </c>
      <c r="AB634" t="s">
        <v>74</v>
      </c>
      <c r="AC634" t="s">
        <v>11885</v>
      </c>
      <c r="AD634" t="s">
        <v>11885</v>
      </c>
      <c r="AE634" t="s">
        <v>11885</v>
      </c>
      <c r="AF634" t="s">
        <v>74</v>
      </c>
      <c r="AG634">
        <v>93</v>
      </c>
      <c r="AH634">
        <v>0</v>
      </c>
      <c r="AI634">
        <v>0</v>
      </c>
      <c r="AJ634">
        <v>0</v>
      </c>
      <c r="AK634">
        <v>0</v>
      </c>
      <c r="AL634" t="s">
        <v>172</v>
      </c>
      <c r="AM634" t="s">
        <v>173</v>
      </c>
      <c r="AN634" t="s">
        <v>174</v>
      </c>
      <c r="AO634" t="s">
        <v>11886</v>
      </c>
      <c r="AP634" t="s">
        <v>11887</v>
      </c>
      <c r="AQ634" t="s">
        <v>74</v>
      </c>
      <c r="AR634" t="s">
        <v>11888</v>
      </c>
      <c r="AS634" t="s">
        <v>11889</v>
      </c>
      <c r="AT634" t="s">
        <v>11797</v>
      </c>
      <c r="AU634">
        <v>2023</v>
      </c>
      <c r="AV634" t="s">
        <v>74</v>
      </c>
      <c r="AW634" t="s">
        <v>74</v>
      </c>
      <c r="AX634" t="s">
        <v>74</v>
      </c>
      <c r="AY634" t="s">
        <v>74</v>
      </c>
      <c r="AZ634" t="s">
        <v>74</v>
      </c>
      <c r="BA634" t="s">
        <v>74</v>
      </c>
      <c r="BB634" t="s">
        <v>74</v>
      </c>
      <c r="BC634" t="s">
        <v>74</v>
      </c>
      <c r="BD634" t="s">
        <v>74</v>
      </c>
      <c r="BE634" t="s">
        <v>11890</v>
      </c>
      <c r="BF634" t="str">
        <f>HYPERLINK("http://dx.doi.org/10.1007/s40804-023-00294-2","http://dx.doi.org/10.1007/s40804-023-00294-2")</f>
        <v>http://dx.doi.org/10.1007/s40804-023-00294-2</v>
      </c>
      <c r="BG634" t="s">
        <v>74</v>
      </c>
      <c r="BH634" t="s">
        <v>10650</v>
      </c>
      <c r="BI634">
        <v>29</v>
      </c>
      <c r="BJ634" t="s">
        <v>11891</v>
      </c>
      <c r="BK634" t="s">
        <v>425</v>
      </c>
      <c r="BL634" t="s">
        <v>11892</v>
      </c>
      <c r="BM634" t="s">
        <v>11893</v>
      </c>
      <c r="BN634" t="s">
        <v>74</v>
      </c>
      <c r="BO634" t="s">
        <v>74</v>
      </c>
      <c r="BP634" t="s">
        <v>74</v>
      </c>
      <c r="BQ634" t="s">
        <v>74</v>
      </c>
      <c r="BR634" t="s">
        <v>99</v>
      </c>
      <c r="BS634" t="s">
        <v>11894</v>
      </c>
      <c r="BT634" t="str">
        <f>HYPERLINK("https%3A%2F%2Fwww.webofscience.com%2Fwos%2Fwoscc%2Ffull-record%2FWOS:001060027900001","View Full Record in Web of Science")</f>
        <v>View Full Record in Web of Science</v>
      </c>
    </row>
    <row r="635" spans="1:72" x14ac:dyDescent="0.15">
      <c r="A635" t="s">
        <v>72</v>
      </c>
      <c r="B635" t="s">
        <v>11895</v>
      </c>
      <c r="C635" t="s">
        <v>74</v>
      </c>
      <c r="D635" t="s">
        <v>74</v>
      </c>
      <c r="E635" t="s">
        <v>74</v>
      </c>
      <c r="F635" t="s">
        <v>11896</v>
      </c>
      <c r="G635" t="s">
        <v>74</v>
      </c>
      <c r="H635" t="s">
        <v>74</v>
      </c>
      <c r="I635" t="s">
        <v>11897</v>
      </c>
      <c r="J635" t="s">
        <v>11898</v>
      </c>
      <c r="K635" t="s">
        <v>74</v>
      </c>
      <c r="L635" t="s">
        <v>74</v>
      </c>
      <c r="M635" t="s">
        <v>78</v>
      </c>
      <c r="N635" t="s">
        <v>1246</v>
      </c>
      <c r="O635" t="s">
        <v>74</v>
      </c>
      <c r="P635" t="s">
        <v>74</v>
      </c>
      <c r="Q635" t="s">
        <v>74</v>
      </c>
      <c r="R635" t="s">
        <v>74</v>
      </c>
      <c r="S635" t="s">
        <v>74</v>
      </c>
      <c r="T635" t="s">
        <v>11899</v>
      </c>
      <c r="U635" t="s">
        <v>11900</v>
      </c>
      <c r="V635" t="s">
        <v>11901</v>
      </c>
      <c r="W635" t="s">
        <v>11902</v>
      </c>
      <c r="X635" t="s">
        <v>11903</v>
      </c>
      <c r="Y635" t="s">
        <v>11904</v>
      </c>
      <c r="Z635" t="s">
        <v>11905</v>
      </c>
      <c r="AA635" t="s">
        <v>74</v>
      </c>
      <c r="AB635" t="s">
        <v>74</v>
      </c>
      <c r="AC635" t="s">
        <v>74</v>
      </c>
      <c r="AD635" t="s">
        <v>74</v>
      </c>
      <c r="AE635" t="s">
        <v>74</v>
      </c>
      <c r="AF635" t="s">
        <v>74</v>
      </c>
      <c r="AG635">
        <v>39</v>
      </c>
      <c r="AH635">
        <v>0</v>
      </c>
      <c r="AI635">
        <v>0</v>
      </c>
      <c r="AJ635">
        <v>0</v>
      </c>
      <c r="AK635">
        <v>0</v>
      </c>
      <c r="AL635" t="s">
        <v>117</v>
      </c>
      <c r="AM635" t="s">
        <v>627</v>
      </c>
      <c r="AN635" t="s">
        <v>628</v>
      </c>
      <c r="AO635" t="s">
        <v>11906</v>
      </c>
      <c r="AP635" t="s">
        <v>11907</v>
      </c>
      <c r="AQ635" t="s">
        <v>74</v>
      </c>
      <c r="AR635" t="s">
        <v>11908</v>
      </c>
      <c r="AS635" t="s">
        <v>11909</v>
      </c>
      <c r="AT635" t="s">
        <v>11797</v>
      </c>
      <c r="AU635">
        <v>2023</v>
      </c>
      <c r="AV635" t="s">
        <v>74</v>
      </c>
      <c r="AW635" t="s">
        <v>74</v>
      </c>
      <c r="AX635" t="s">
        <v>74</v>
      </c>
      <c r="AY635" t="s">
        <v>74</v>
      </c>
      <c r="AZ635" t="s">
        <v>74</v>
      </c>
      <c r="BA635" t="s">
        <v>74</v>
      </c>
      <c r="BB635" t="s">
        <v>74</v>
      </c>
      <c r="BC635" t="s">
        <v>74</v>
      </c>
      <c r="BD635" t="s">
        <v>74</v>
      </c>
      <c r="BE635" t="s">
        <v>11910</v>
      </c>
      <c r="BF635" t="str">
        <f>HYPERLINK("http://dx.doi.org/10.1007/s10659-023-10032","http://dx.doi.org/10.1007/s10659-023-10032")</f>
        <v>http://dx.doi.org/10.1007/s10659-023-10032</v>
      </c>
      <c r="BG635" t="s">
        <v>74</v>
      </c>
      <c r="BH635" t="s">
        <v>10650</v>
      </c>
      <c r="BI635">
        <v>15</v>
      </c>
      <c r="BJ635" t="s">
        <v>11911</v>
      </c>
      <c r="BK635" t="s">
        <v>126</v>
      </c>
      <c r="BL635" t="s">
        <v>11912</v>
      </c>
      <c r="BM635" t="s">
        <v>11913</v>
      </c>
      <c r="BN635" t="s">
        <v>74</v>
      </c>
      <c r="BO635" t="s">
        <v>74</v>
      </c>
      <c r="BP635" t="s">
        <v>74</v>
      </c>
      <c r="BQ635" t="s">
        <v>74</v>
      </c>
      <c r="BR635" t="s">
        <v>99</v>
      </c>
      <c r="BS635" t="s">
        <v>11914</v>
      </c>
      <c r="BT635" t="str">
        <f>HYPERLINK("https%3A%2F%2Fwww.webofscience.com%2Fwos%2Fwoscc%2Ffull-record%2FWOS:001063733500002","View Full Record in Web of Science")</f>
        <v>View Full Record in Web of Science</v>
      </c>
    </row>
    <row r="636" spans="1:72" x14ac:dyDescent="0.15">
      <c r="A636" t="s">
        <v>72</v>
      </c>
      <c r="B636" t="s">
        <v>11915</v>
      </c>
      <c r="C636" t="s">
        <v>74</v>
      </c>
      <c r="D636" t="s">
        <v>74</v>
      </c>
      <c r="E636" t="s">
        <v>74</v>
      </c>
      <c r="F636" t="s">
        <v>11916</v>
      </c>
      <c r="G636" t="s">
        <v>74</v>
      </c>
      <c r="H636" t="s">
        <v>74</v>
      </c>
      <c r="I636" t="s">
        <v>11917</v>
      </c>
      <c r="J636" t="s">
        <v>11843</v>
      </c>
      <c r="K636" t="s">
        <v>74</v>
      </c>
      <c r="L636" t="s">
        <v>74</v>
      </c>
      <c r="M636" t="s">
        <v>78</v>
      </c>
      <c r="N636" t="s">
        <v>105</v>
      </c>
      <c r="O636" t="s">
        <v>74</v>
      </c>
      <c r="P636" t="s">
        <v>74</v>
      </c>
      <c r="Q636" t="s">
        <v>74</v>
      </c>
      <c r="R636" t="s">
        <v>74</v>
      </c>
      <c r="S636" t="s">
        <v>74</v>
      </c>
      <c r="T636" t="s">
        <v>11918</v>
      </c>
      <c r="U636" t="s">
        <v>11919</v>
      </c>
      <c r="V636" t="s">
        <v>11920</v>
      </c>
      <c r="W636" t="s">
        <v>11921</v>
      </c>
      <c r="X636" t="s">
        <v>11922</v>
      </c>
      <c r="Y636" t="s">
        <v>11923</v>
      </c>
      <c r="Z636" t="s">
        <v>11924</v>
      </c>
      <c r="AA636" t="s">
        <v>74</v>
      </c>
      <c r="AB636" t="s">
        <v>11925</v>
      </c>
      <c r="AC636" t="s">
        <v>932</v>
      </c>
      <c r="AD636" t="s">
        <v>932</v>
      </c>
      <c r="AE636" t="s">
        <v>932</v>
      </c>
      <c r="AF636" t="s">
        <v>74</v>
      </c>
      <c r="AG636">
        <v>127</v>
      </c>
      <c r="AH636">
        <v>0</v>
      </c>
      <c r="AI636">
        <v>0</v>
      </c>
      <c r="AJ636">
        <v>1</v>
      </c>
      <c r="AK636">
        <v>1</v>
      </c>
      <c r="AL636" t="s">
        <v>443</v>
      </c>
      <c r="AM636" t="s">
        <v>245</v>
      </c>
      <c r="AN636" t="s">
        <v>444</v>
      </c>
      <c r="AO636" t="s">
        <v>11853</v>
      </c>
      <c r="AP636" t="s">
        <v>74</v>
      </c>
      <c r="AQ636" t="s">
        <v>74</v>
      </c>
      <c r="AR636" t="s">
        <v>11854</v>
      </c>
      <c r="AS636" t="s">
        <v>11855</v>
      </c>
      <c r="AT636" t="s">
        <v>11816</v>
      </c>
      <c r="AU636">
        <v>2023</v>
      </c>
      <c r="AV636">
        <v>22</v>
      </c>
      <c r="AW636">
        <v>1</v>
      </c>
      <c r="AX636" t="s">
        <v>74</v>
      </c>
      <c r="AY636" t="s">
        <v>74</v>
      </c>
      <c r="AZ636" t="s">
        <v>74</v>
      </c>
      <c r="BA636" t="s">
        <v>74</v>
      </c>
      <c r="BB636" t="s">
        <v>74</v>
      </c>
      <c r="BC636" t="s">
        <v>74</v>
      </c>
      <c r="BD636">
        <v>291</v>
      </c>
      <c r="BE636" t="s">
        <v>11926</v>
      </c>
      <c r="BF636" t="str">
        <f>HYPERLINK("http://dx.doi.org/10.1186/s12912-023-01458-8","http://dx.doi.org/10.1186/s12912-023-01458-8")</f>
        <v>http://dx.doi.org/10.1186/s12912-023-01458-8</v>
      </c>
      <c r="BG636" t="s">
        <v>74</v>
      </c>
      <c r="BH636" t="s">
        <v>74</v>
      </c>
      <c r="BI636">
        <v>34</v>
      </c>
      <c r="BJ636" t="s">
        <v>11857</v>
      </c>
      <c r="BK636" t="s">
        <v>2431</v>
      </c>
      <c r="BL636" t="s">
        <v>11857</v>
      </c>
      <c r="BM636" t="s">
        <v>11858</v>
      </c>
      <c r="BN636">
        <v>37641090</v>
      </c>
      <c r="BO636" t="s">
        <v>302</v>
      </c>
      <c r="BP636" t="s">
        <v>74</v>
      </c>
      <c r="BQ636" t="s">
        <v>74</v>
      </c>
      <c r="BR636" t="s">
        <v>99</v>
      </c>
      <c r="BS636" t="s">
        <v>11927</v>
      </c>
      <c r="BT636" t="str">
        <f>HYPERLINK("https%3A%2F%2Fwww.webofscience.com%2Fwos%2Fwoscc%2Ffull-record%2FWOS:001056864800004","View Full Record in Web of Science")</f>
        <v>View Full Record in Web of Science</v>
      </c>
    </row>
    <row r="637" spans="1:72" x14ac:dyDescent="0.15">
      <c r="A637" t="s">
        <v>72</v>
      </c>
      <c r="B637" t="s">
        <v>11928</v>
      </c>
      <c r="C637" t="s">
        <v>74</v>
      </c>
      <c r="D637" t="s">
        <v>74</v>
      </c>
      <c r="E637" t="s">
        <v>74</v>
      </c>
      <c r="F637" t="s">
        <v>11929</v>
      </c>
      <c r="G637" t="s">
        <v>74</v>
      </c>
      <c r="H637" t="s">
        <v>74</v>
      </c>
      <c r="I637" t="s">
        <v>11930</v>
      </c>
      <c r="J637" t="s">
        <v>11931</v>
      </c>
      <c r="K637" t="s">
        <v>74</v>
      </c>
      <c r="L637" t="s">
        <v>74</v>
      </c>
      <c r="M637" t="s">
        <v>78</v>
      </c>
      <c r="N637" t="s">
        <v>1246</v>
      </c>
      <c r="O637" t="s">
        <v>74</v>
      </c>
      <c r="P637" t="s">
        <v>74</v>
      </c>
      <c r="Q637" t="s">
        <v>74</v>
      </c>
      <c r="R637" t="s">
        <v>74</v>
      </c>
      <c r="S637" t="s">
        <v>74</v>
      </c>
      <c r="T637" t="s">
        <v>11932</v>
      </c>
      <c r="U637" t="s">
        <v>11933</v>
      </c>
      <c r="V637" t="s">
        <v>11934</v>
      </c>
      <c r="W637" t="s">
        <v>11935</v>
      </c>
      <c r="X637" t="s">
        <v>11936</v>
      </c>
      <c r="Y637" t="s">
        <v>11937</v>
      </c>
      <c r="Z637" t="s">
        <v>11938</v>
      </c>
      <c r="AA637" t="s">
        <v>74</v>
      </c>
      <c r="AB637" t="s">
        <v>11939</v>
      </c>
      <c r="AC637" t="s">
        <v>11940</v>
      </c>
      <c r="AD637" t="s">
        <v>11941</v>
      </c>
      <c r="AE637" t="s">
        <v>11942</v>
      </c>
      <c r="AF637" t="s">
        <v>74</v>
      </c>
      <c r="AG637">
        <v>42</v>
      </c>
      <c r="AH637">
        <v>0</v>
      </c>
      <c r="AI637">
        <v>0</v>
      </c>
      <c r="AJ637">
        <v>1</v>
      </c>
      <c r="AK637">
        <v>1</v>
      </c>
      <c r="AL637" t="s">
        <v>1500</v>
      </c>
      <c r="AM637" t="s">
        <v>1501</v>
      </c>
      <c r="AN637" t="s">
        <v>1502</v>
      </c>
      <c r="AO637" t="s">
        <v>11943</v>
      </c>
      <c r="AP637" t="s">
        <v>11944</v>
      </c>
      <c r="AQ637" t="s">
        <v>74</v>
      </c>
      <c r="AR637" t="s">
        <v>11945</v>
      </c>
      <c r="AS637" t="s">
        <v>11946</v>
      </c>
      <c r="AT637" t="s">
        <v>11797</v>
      </c>
      <c r="AU637">
        <v>2023</v>
      </c>
      <c r="AV637" t="s">
        <v>74</v>
      </c>
      <c r="AW637" t="s">
        <v>74</v>
      </c>
      <c r="AX637" t="s">
        <v>74</v>
      </c>
      <c r="AY637" t="s">
        <v>74</v>
      </c>
      <c r="AZ637" t="s">
        <v>74</v>
      </c>
      <c r="BA637" t="s">
        <v>74</v>
      </c>
      <c r="BB637" t="s">
        <v>74</v>
      </c>
      <c r="BC637" t="s">
        <v>74</v>
      </c>
      <c r="BD637" t="s">
        <v>74</v>
      </c>
      <c r="BE637" t="s">
        <v>11947</v>
      </c>
      <c r="BF637" t="str">
        <f>HYPERLINK("http://dx.doi.org/10.1007/s10396-023-01360-5","http://dx.doi.org/10.1007/s10396-023-01360-5")</f>
        <v>http://dx.doi.org/10.1007/s10396-023-01360-5</v>
      </c>
      <c r="BG637" t="s">
        <v>74</v>
      </c>
      <c r="BH637" t="s">
        <v>10650</v>
      </c>
      <c r="BI637">
        <v>10</v>
      </c>
      <c r="BJ637" t="s">
        <v>2396</v>
      </c>
      <c r="BK637" t="s">
        <v>126</v>
      </c>
      <c r="BL637" t="s">
        <v>2396</v>
      </c>
      <c r="BM637" t="s">
        <v>11948</v>
      </c>
      <c r="BN637">
        <v>37640966</v>
      </c>
      <c r="BO637" t="s">
        <v>74</v>
      </c>
      <c r="BP637" t="s">
        <v>74</v>
      </c>
      <c r="BQ637" t="s">
        <v>74</v>
      </c>
      <c r="BR637" t="s">
        <v>99</v>
      </c>
      <c r="BS637" t="s">
        <v>11949</v>
      </c>
      <c r="BT637" t="str">
        <f>HYPERLINK("https%3A%2F%2Fwww.webofscience.com%2Fwos%2Fwoscc%2Ffull-record%2FWOS:001060055400001","View Full Record in Web of Science")</f>
        <v>View Full Record in Web of Science</v>
      </c>
    </row>
    <row r="638" spans="1:72" x14ac:dyDescent="0.15">
      <c r="A638" t="s">
        <v>72</v>
      </c>
      <c r="B638" t="s">
        <v>11950</v>
      </c>
      <c r="C638" t="s">
        <v>74</v>
      </c>
      <c r="D638" t="s">
        <v>74</v>
      </c>
      <c r="E638" t="s">
        <v>74</v>
      </c>
      <c r="F638" t="s">
        <v>11951</v>
      </c>
      <c r="G638" t="s">
        <v>74</v>
      </c>
      <c r="H638" t="s">
        <v>74</v>
      </c>
      <c r="I638" t="s">
        <v>11952</v>
      </c>
      <c r="J638" t="s">
        <v>11953</v>
      </c>
      <c r="K638" t="s">
        <v>74</v>
      </c>
      <c r="L638" t="s">
        <v>74</v>
      </c>
      <c r="M638" t="s">
        <v>78</v>
      </c>
      <c r="N638" t="s">
        <v>1246</v>
      </c>
      <c r="O638" t="s">
        <v>74</v>
      </c>
      <c r="P638" t="s">
        <v>74</v>
      </c>
      <c r="Q638" t="s">
        <v>74</v>
      </c>
      <c r="R638" t="s">
        <v>74</v>
      </c>
      <c r="S638" t="s">
        <v>74</v>
      </c>
      <c r="T638" t="s">
        <v>11954</v>
      </c>
      <c r="U638" t="s">
        <v>11955</v>
      </c>
      <c r="V638" t="s">
        <v>11956</v>
      </c>
      <c r="W638" t="s">
        <v>11957</v>
      </c>
      <c r="X638" t="s">
        <v>11958</v>
      </c>
      <c r="Y638" t="s">
        <v>11959</v>
      </c>
      <c r="Z638" t="s">
        <v>11960</v>
      </c>
      <c r="AA638" t="s">
        <v>11961</v>
      </c>
      <c r="AB638" t="s">
        <v>11962</v>
      </c>
      <c r="AC638" t="s">
        <v>11963</v>
      </c>
      <c r="AD638" t="s">
        <v>11964</v>
      </c>
      <c r="AE638" t="s">
        <v>11965</v>
      </c>
      <c r="AF638" t="s">
        <v>74</v>
      </c>
      <c r="AG638">
        <v>29</v>
      </c>
      <c r="AH638">
        <v>0</v>
      </c>
      <c r="AI638">
        <v>0</v>
      </c>
      <c r="AJ638">
        <v>2</v>
      </c>
      <c r="AK638">
        <v>2</v>
      </c>
      <c r="AL638" t="s">
        <v>117</v>
      </c>
      <c r="AM638" t="s">
        <v>118</v>
      </c>
      <c r="AN638" t="s">
        <v>119</v>
      </c>
      <c r="AO638" t="s">
        <v>11966</v>
      </c>
      <c r="AP638" t="s">
        <v>11967</v>
      </c>
      <c r="AQ638" t="s">
        <v>74</v>
      </c>
      <c r="AR638" t="s">
        <v>11968</v>
      </c>
      <c r="AS638" t="s">
        <v>11969</v>
      </c>
      <c r="AT638" t="s">
        <v>11797</v>
      </c>
      <c r="AU638">
        <v>2023</v>
      </c>
      <c r="AV638" t="s">
        <v>74</v>
      </c>
      <c r="AW638" t="s">
        <v>74</v>
      </c>
      <c r="AX638" t="s">
        <v>74</v>
      </c>
      <c r="AY638" t="s">
        <v>74</v>
      </c>
      <c r="AZ638" t="s">
        <v>74</v>
      </c>
      <c r="BA638" t="s">
        <v>74</v>
      </c>
      <c r="BB638" t="s">
        <v>74</v>
      </c>
      <c r="BC638" t="s">
        <v>74</v>
      </c>
      <c r="BD638" t="s">
        <v>74</v>
      </c>
      <c r="BE638" t="s">
        <v>11970</v>
      </c>
      <c r="BF638" t="str">
        <f>HYPERLINK("http://dx.doi.org/10.1007/s11666-023-01647-6","http://dx.doi.org/10.1007/s11666-023-01647-6")</f>
        <v>http://dx.doi.org/10.1007/s11666-023-01647-6</v>
      </c>
      <c r="BG638" t="s">
        <v>74</v>
      </c>
      <c r="BH638" t="s">
        <v>10650</v>
      </c>
      <c r="BI638">
        <v>16</v>
      </c>
      <c r="BJ638" t="s">
        <v>11971</v>
      </c>
      <c r="BK638" t="s">
        <v>126</v>
      </c>
      <c r="BL638" t="s">
        <v>2293</v>
      </c>
      <c r="BM638" t="s">
        <v>11972</v>
      </c>
      <c r="BN638" t="s">
        <v>74</v>
      </c>
      <c r="BO638" t="s">
        <v>74</v>
      </c>
      <c r="BP638" t="s">
        <v>74</v>
      </c>
      <c r="BQ638" t="s">
        <v>74</v>
      </c>
      <c r="BR638" t="s">
        <v>99</v>
      </c>
      <c r="BS638" t="s">
        <v>11973</v>
      </c>
      <c r="BT638" t="str">
        <f>HYPERLINK("https%3A%2F%2Fwww.webofscience.com%2Fwos%2Fwoscc%2Ffull-record%2FWOS:001060052200001","View Full Record in Web of Science")</f>
        <v>View Full Record in Web of Science</v>
      </c>
    </row>
    <row r="639" spans="1:72" x14ac:dyDescent="0.15">
      <c r="A639" t="s">
        <v>72</v>
      </c>
      <c r="B639" t="s">
        <v>11974</v>
      </c>
      <c r="C639" t="s">
        <v>74</v>
      </c>
      <c r="D639" t="s">
        <v>74</v>
      </c>
      <c r="E639" t="s">
        <v>74</v>
      </c>
      <c r="F639" t="s">
        <v>11975</v>
      </c>
      <c r="G639" t="s">
        <v>74</v>
      </c>
      <c r="H639" t="s">
        <v>74</v>
      </c>
      <c r="I639" t="s">
        <v>11976</v>
      </c>
      <c r="J639" t="s">
        <v>11977</v>
      </c>
      <c r="K639" t="s">
        <v>74</v>
      </c>
      <c r="L639" t="s">
        <v>74</v>
      </c>
      <c r="M639" t="s">
        <v>78</v>
      </c>
      <c r="N639" t="s">
        <v>1246</v>
      </c>
      <c r="O639" t="s">
        <v>74</v>
      </c>
      <c r="P639" t="s">
        <v>74</v>
      </c>
      <c r="Q639" t="s">
        <v>74</v>
      </c>
      <c r="R639" t="s">
        <v>74</v>
      </c>
      <c r="S639" t="s">
        <v>74</v>
      </c>
      <c r="T639" t="s">
        <v>11978</v>
      </c>
      <c r="U639" t="s">
        <v>74</v>
      </c>
      <c r="V639" t="s">
        <v>11979</v>
      </c>
      <c r="W639" t="s">
        <v>11980</v>
      </c>
      <c r="X639" t="s">
        <v>11981</v>
      </c>
      <c r="Y639" t="s">
        <v>11982</v>
      </c>
      <c r="Z639" t="s">
        <v>11983</v>
      </c>
      <c r="AA639" t="s">
        <v>74</v>
      </c>
      <c r="AB639" t="s">
        <v>74</v>
      </c>
      <c r="AC639" t="s">
        <v>11984</v>
      </c>
      <c r="AD639" t="s">
        <v>11984</v>
      </c>
      <c r="AE639" t="s">
        <v>11985</v>
      </c>
      <c r="AF639" t="s">
        <v>74</v>
      </c>
      <c r="AG639">
        <v>55</v>
      </c>
      <c r="AH639">
        <v>0</v>
      </c>
      <c r="AI639">
        <v>0</v>
      </c>
      <c r="AJ639">
        <v>0</v>
      </c>
      <c r="AK639">
        <v>0</v>
      </c>
      <c r="AL639" t="s">
        <v>117</v>
      </c>
      <c r="AM639" t="s">
        <v>118</v>
      </c>
      <c r="AN639" t="s">
        <v>119</v>
      </c>
      <c r="AO639" t="s">
        <v>11986</v>
      </c>
      <c r="AP639" t="s">
        <v>11987</v>
      </c>
      <c r="AQ639" t="s">
        <v>74</v>
      </c>
      <c r="AR639" t="s">
        <v>11988</v>
      </c>
      <c r="AS639" t="s">
        <v>11989</v>
      </c>
      <c r="AT639" t="s">
        <v>11797</v>
      </c>
      <c r="AU639">
        <v>2023</v>
      </c>
      <c r="AV639" t="s">
        <v>74</v>
      </c>
      <c r="AW639" t="s">
        <v>74</v>
      </c>
      <c r="AX639" t="s">
        <v>74</v>
      </c>
      <c r="AY639" t="s">
        <v>74</v>
      </c>
      <c r="AZ639" t="s">
        <v>74</v>
      </c>
      <c r="BA639" t="s">
        <v>74</v>
      </c>
      <c r="BB639" t="s">
        <v>74</v>
      </c>
      <c r="BC639" t="s">
        <v>74</v>
      </c>
      <c r="BD639" t="s">
        <v>74</v>
      </c>
      <c r="BE639" t="s">
        <v>11990</v>
      </c>
      <c r="BF639" t="str">
        <f>HYPERLINK("http://dx.doi.org/10.1007/s41779-023-00946","http://dx.doi.org/10.1007/s41779-023-00946")</f>
        <v>http://dx.doi.org/10.1007/s41779-023-00946</v>
      </c>
      <c r="BG639" t="s">
        <v>74</v>
      </c>
      <c r="BH639" t="s">
        <v>10650</v>
      </c>
      <c r="BI639">
        <v>15</v>
      </c>
      <c r="BJ639" t="s">
        <v>2292</v>
      </c>
      <c r="BK639" t="s">
        <v>126</v>
      </c>
      <c r="BL639" t="s">
        <v>2293</v>
      </c>
      <c r="BM639" t="s">
        <v>11991</v>
      </c>
      <c r="BN639" t="s">
        <v>74</v>
      </c>
      <c r="BO639" t="s">
        <v>74</v>
      </c>
      <c r="BP639" t="s">
        <v>74</v>
      </c>
      <c r="BQ639" t="s">
        <v>74</v>
      </c>
      <c r="BR639" t="s">
        <v>99</v>
      </c>
      <c r="BS639" t="s">
        <v>11992</v>
      </c>
      <c r="BT639" t="str">
        <f>HYPERLINK("https%3A%2F%2Fwww.webofscience.com%2Fwos%2Fwoscc%2Ffull-record%2FWOS:001060028200001","View Full Record in Web of Science")</f>
        <v>View Full Record in Web of Science</v>
      </c>
    </row>
    <row r="640" spans="1:72" x14ac:dyDescent="0.15">
      <c r="A640" t="s">
        <v>72</v>
      </c>
      <c r="B640" t="s">
        <v>11993</v>
      </c>
      <c r="C640" t="s">
        <v>74</v>
      </c>
      <c r="D640" t="s">
        <v>74</v>
      </c>
      <c r="E640" t="s">
        <v>74</v>
      </c>
      <c r="F640" t="s">
        <v>11994</v>
      </c>
      <c r="G640" t="s">
        <v>74</v>
      </c>
      <c r="H640" t="s">
        <v>74</v>
      </c>
      <c r="I640" t="s">
        <v>11995</v>
      </c>
      <c r="J640" t="s">
        <v>6851</v>
      </c>
      <c r="K640" t="s">
        <v>74</v>
      </c>
      <c r="L640" t="s">
        <v>74</v>
      </c>
      <c r="M640" t="s">
        <v>78</v>
      </c>
      <c r="N640" t="s">
        <v>2174</v>
      </c>
      <c r="O640" t="s">
        <v>74</v>
      </c>
      <c r="P640" t="s">
        <v>74</v>
      </c>
      <c r="Q640" t="s">
        <v>74</v>
      </c>
      <c r="R640" t="s">
        <v>74</v>
      </c>
      <c r="S640" t="s">
        <v>74</v>
      </c>
      <c r="T640" t="s">
        <v>11996</v>
      </c>
      <c r="U640" t="s">
        <v>11997</v>
      </c>
      <c r="V640" t="s">
        <v>11998</v>
      </c>
      <c r="W640" t="s">
        <v>11999</v>
      </c>
      <c r="X640" t="s">
        <v>12000</v>
      </c>
      <c r="Y640" t="s">
        <v>12001</v>
      </c>
      <c r="Z640" t="s">
        <v>12002</v>
      </c>
      <c r="AA640" t="s">
        <v>74</v>
      </c>
      <c r="AB640" t="s">
        <v>74</v>
      </c>
      <c r="AC640" t="s">
        <v>12003</v>
      </c>
      <c r="AD640" t="s">
        <v>12004</v>
      </c>
      <c r="AE640" t="s">
        <v>12005</v>
      </c>
      <c r="AF640" t="s">
        <v>74</v>
      </c>
      <c r="AG640">
        <v>190</v>
      </c>
      <c r="AH640">
        <v>0</v>
      </c>
      <c r="AI640">
        <v>0</v>
      </c>
      <c r="AJ640">
        <v>0</v>
      </c>
      <c r="AK640">
        <v>0</v>
      </c>
      <c r="AL640" t="s">
        <v>117</v>
      </c>
      <c r="AM640" t="s">
        <v>118</v>
      </c>
      <c r="AN640" t="s">
        <v>119</v>
      </c>
      <c r="AO640" t="s">
        <v>6862</v>
      </c>
      <c r="AP640" t="s">
        <v>6863</v>
      </c>
      <c r="AQ640" t="s">
        <v>74</v>
      </c>
      <c r="AR640" t="s">
        <v>6864</v>
      </c>
      <c r="AS640" t="s">
        <v>6865</v>
      </c>
      <c r="AT640" t="s">
        <v>11797</v>
      </c>
      <c r="AU640">
        <v>2023</v>
      </c>
      <c r="AV640" t="s">
        <v>74</v>
      </c>
      <c r="AW640" t="s">
        <v>74</v>
      </c>
      <c r="AX640" t="s">
        <v>74</v>
      </c>
      <c r="AY640" t="s">
        <v>74</v>
      </c>
      <c r="AZ640" t="s">
        <v>74</v>
      </c>
      <c r="BA640" t="s">
        <v>74</v>
      </c>
      <c r="BB640" t="s">
        <v>74</v>
      </c>
      <c r="BC640" t="s">
        <v>74</v>
      </c>
      <c r="BD640" t="s">
        <v>74</v>
      </c>
      <c r="BE640" t="s">
        <v>12006</v>
      </c>
      <c r="BF640" t="str">
        <f>HYPERLINK("http://dx.doi.org/10.1007/s00432-023-05310","http://dx.doi.org/10.1007/s00432-023-05310")</f>
        <v>http://dx.doi.org/10.1007/s00432-023-05310</v>
      </c>
      <c r="BG640" t="s">
        <v>74</v>
      </c>
      <c r="BH640" t="s">
        <v>10650</v>
      </c>
      <c r="BI640">
        <v>24</v>
      </c>
      <c r="BJ640" t="s">
        <v>1951</v>
      </c>
      <c r="BK640" t="s">
        <v>126</v>
      </c>
      <c r="BL640" t="s">
        <v>1951</v>
      </c>
      <c r="BM640" t="s">
        <v>12007</v>
      </c>
      <c r="BN640" t="s">
        <v>74</v>
      </c>
      <c r="BO640" t="s">
        <v>74</v>
      </c>
      <c r="BP640" t="s">
        <v>74</v>
      </c>
      <c r="BQ640" t="s">
        <v>74</v>
      </c>
      <c r="BR640" t="s">
        <v>99</v>
      </c>
      <c r="BS640" t="s">
        <v>12008</v>
      </c>
      <c r="BT640" t="str">
        <f>HYPERLINK("https%3A%2F%2Fwww.webofscience.com%2Fwos%2Fwoscc%2Ffull-record%2FWOS:001063732100002","View Full Record in Web of Science")</f>
        <v>View Full Record in Web of Science</v>
      </c>
    </row>
    <row r="641" spans="1:72" x14ac:dyDescent="0.15">
      <c r="A641" t="s">
        <v>72</v>
      </c>
      <c r="B641" t="s">
        <v>12009</v>
      </c>
      <c r="C641" t="s">
        <v>74</v>
      </c>
      <c r="D641" t="s">
        <v>74</v>
      </c>
      <c r="E641" t="s">
        <v>74</v>
      </c>
      <c r="F641" t="s">
        <v>12010</v>
      </c>
      <c r="G641" t="s">
        <v>74</v>
      </c>
      <c r="H641" t="s">
        <v>74</v>
      </c>
      <c r="I641" t="s">
        <v>12011</v>
      </c>
      <c r="J641" t="s">
        <v>12012</v>
      </c>
      <c r="K641" t="s">
        <v>74</v>
      </c>
      <c r="L641" t="s">
        <v>74</v>
      </c>
      <c r="M641" t="s">
        <v>78</v>
      </c>
      <c r="N641" t="s">
        <v>79</v>
      </c>
      <c r="O641" t="s">
        <v>74</v>
      </c>
      <c r="P641" t="s">
        <v>74</v>
      </c>
      <c r="Q641" t="s">
        <v>74</v>
      </c>
      <c r="R641" t="s">
        <v>74</v>
      </c>
      <c r="S641" t="s">
        <v>74</v>
      </c>
      <c r="T641" t="s">
        <v>12013</v>
      </c>
      <c r="U641" t="s">
        <v>12014</v>
      </c>
      <c r="V641" t="s">
        <v>12015</v>
      </c>
      <c r="W641" t="s">
        <v>12016</v>
      </c>
      <c r="X641" t="s">
        <v>74</v>
      </c>
      <c r="Y641" t="s">
        <v>12017</v>
      </c>
      <c r="Z641" t="s">
        <v>12018</v>
      </c>
      <c r="AA641" t="s">
        <v>74</v>
      </c>
      <c r="AB641" t="s">
        <v>74</v>
      </c>
      <c r="AC641" t="s">
        <v>74</v>
      </c>
      <c r="AD641" t="s">
        <v>74</v>
      </c>
      <c r="AE641" t="s">
        <v>74</v>
      </c>
      <c r="AF641" t="s">
        <v>74</v>
      </c>
      <c r="AG641">
        <v>37</v>
      </c>
      <c r="AH641">
        <v>0</v>
      </c>
      <c r="AI641">
        <v>0</v>
      </c>
      <c r="AJ641">
        <v>0</v>
      </c>
      <c r="AK641">
        <v>0</v>
      </c>
      <c r="AL641" t="s">
        <v>117</v>
      </c>
      <c r="AM641" t="s">
        <v>118</v>
      </c>
      <c r="AN641" t="s">
        <v>119</v>
      </c>
      <c r="AO641" t="s">
        <v>12019</v>
      </c>
      <c r="AP641" t="s">
        <v>12020</v>
      </c>
      <c r="AQ641" t="s">
        <v>74</v>
      </c>
      <c r="AR641" t="s">
        <v>12021</v>
      </c>
      <c r="AS641" t="s">
        <v>12022</v>
      </c>
      <c r="AT641" t="s">
        <v>11816</v>
      </c>
      <c r="AU641">
        <v>2023</v>
      </c>
      <c r="AV641">
        <v>2023</v>
      </c>
      <c r="AW641">
        <v>1</v>
      </c>
      <c r="AX641" t="s">
        <v>74</v>
      </c>
      <c r="AY641" t="s">
        <v>74</v>
      </c>
      <c r="AZ641" t="s">
        <v>74</v>
      </c>
      <c r="BA641" t="s">
        <v>74</v>
      </c>
      <c r="BB641" t="s">
        <v>74</v>
      </c>
      <c r="BC641" t="s">
        <v>74</v>
      </c>
      <c r="BD641">
        <v>84</v>
      </c>
      <c r="BE641" t="s">
        <v>12023</v>
      </c>
      <c r="BF641" t="str">
        <f>HYPERLINK("http://dx.doi.org/10.1186/s13638-023-02297-6","http://dx.doi.org/10.1186/s13638-023-02297-6")</f>
        <v>http://dx.doi.org/10.1186/s13638-023-02297-6</v>
      </c>
      <c r="BG641" t="s">
        <v>74</v>
      </c>
      <c r="BH641" t="s">
        <v>74</v>
      </c>
      <c r="BI641">
        <v>16</v>
      </c>
      <c r="BJ641" t="s">
        <v>12024</v>
      </c>
      <c r="BK641" t="s">
        <v>126</v>
      </c>
      <c r="BL641" t="s">
        <v>12025</v>
      </c>
      <c r="BM641" t="s">
        <v>12026</v>
      </c>
      <c r="BN641" t="s">
        <v>74</v>
      </c>
      <c r="BO641" t="s">
        <v>302</v>
      </c>
      <c r="BP641" t="s">
        <v>74</v>
      </c>
      <c r="BQ641" t="s">
        <v>74</v>
      </c>
      <c r="BR641" t="s">
        <v>99</v>
      </c>
      <c r="BS641" t="s">
        <v>12027</v>
      </c>
      <c r="BT641" t="str">
        <f>HYPERLINK("https%3A%2F%2Fwww.webofscience.com%2Fwos%2Fwoscc%2Ffull-record%2FWOS:001057723300001","View Full Record in Web of Science")</f>
        <v>View Full Record in Web of Science</v>
      </c>
    </row>
    <row r="642" spans="1:72" x14ac:dyDescent="0.15">
      <c r="A642" t="s">
        <v>72</v>
      </c>
      <c r="B642" t="s">
        <v>12028</v>
      </c>
      <c r="C642" t="s">
        <v>74</v>
      </c>
      <c r="D642" t="s">
        <v>74</v>
      </c>
      <c r="E642" t="s">
        <v>74</v>
      </c>
      <c r="F642" t="s">
        <v>12029</v>
      </c>
      <c r="G642" t="s">
        <v>74</v>
      </c>
      <c r="H642" t="s">
        <v>74</v>
      </c>
      <c r="I642" t="s">
        <v>12030</v>
      </c>
      <c r="J642" t="s">
        <v>12031</v>
      </c>
      <c r="K642" t="s">
        <v>74</v>
      </c>
      <c r="L642" t="s">
        <v>74</v>
      </c>
      <c r="M642" t="s">
        <v>78</v>
      </c>
      <c r="N642" t="s">
        <v>79</v>
      </c>
      <c r="O642" t="s">
        <v>74</v>
      </c>
      <c r="P642" t="s">
        <v>74</v>
      </c>
      <c r="Q642" t="s">
        <v>74</v>
      </c>
      <c r="R642" t="s">
        <v>74</v>
      </c>
      <c r="S642" t="s">
        <v>74</v>
      </c>
      <c r="T642" t="s">
        <v>12032</v>
      </c>
      <c r="U642" t="s">
        <v>12033</v>
      </c>
      <c r="V642" t="s">
        <v>12034</v>
      </c>
      <c r="W642" t="s">
        <v>12035</v>
      </c>
      <c r="X642" t="s">
        <v>12036</v>
      </c>
      <c r="Y642" t="s">
        <v>12037</v>
      </c>
      <c r="Z642" t="s">
        <v>12038</v>
      </c>
      <c r="AA642" t="s">
        <v>12039</v>
      </c>
      <c r="AB642" t="s">
        <v>12040</v>
      </c>
      <c r="AC642" t="s">
        <v>12041</v>
      </c>
      <c r="AD642" t="s">
        <v>12041</v>
      </c>
      <c r="AE642" t="s">
        <v>12042</v>
      </c>
      <c r="AF642" t="s">
        <v>74</v>
      </c>
      <c r="AG642">
        <v>31</v>
      </c>
      <c r="AH642">
        <v>0</v>
      </c>
      <c r="AI642">
        <v>0</v>
      </c>
      <c r="AJ642">
        <v>0</v>
      </c>
      <c r="AK642">
        <v>0</v>
      </c>
      <c r="AL642" t="s">
        <v>443</v>
      </c>
      <c r="AM642" t="s">
        <v>245</v>
      </c>
      <c r="AN642" t="s">
        <v>444</v>
      </c>
      <c r="AO642" t="s">
        <v>74</v>
      </c>
      <c r="AP642" t="s">
        <v>12043</v>
      </c>
      <c r="AQ642" t="s">
        <v>74</v>
      </c>
      <c r="AR642" t="s">
        <v>12044</v>
      </c>
      <c r="AS642" t="s">
        <v>12045</v>
      </c>
      <c r="AT642" t="s">
        <v>11816</v>
      </c>
      <c r="AU642">
        <v>2023</v>
      </c>
      <c r="AV642">
        <v>8</v>
      </c>
      <c r="AW642">
        <v>1</v>
      </c>
      <c r="AX642" t="s">
        <v>74</v>
      </c>
      <c r="AY642" t="s">
        <v>74</v>
      </c>
      <c r="AZ642" t="s">
        <v>74</v>
      </c>
      <c r="BA642" t="s">
        <v>74</v>
      </c>
      <c r="BB642" t="s">
        <v>74</v>
      </c>
      <c r="BC642" t="s">
        <v>74</v>
      </c>
      <c r="BD642">
        <v>15</v>
      </c>
      <c r="BE642" t="s">
        <v>12046</v>
      </c>
      <c r="BF642" t="str">
        <f>HYPERLINK("http://dx.doi.org/10.1186/s40850-023-00175-8","http://dx.doi.org/10.1186/s40850-023-00175-8")</f>
        <v>http://dx.doi.org/10.1186/s40850-023-00175-8</v>
      </c>
      <c r="BG642" t="s">
        <v>74</v>
      </c>
      <c r="BH642" t="s">
        <v>74</v>
      </c>
      <c r="BI642">
        <v>10</v>
      </c>
      <c r="BJ642" t="s">
        <v>12047</v>
      </c>
      <c r="BK642" t="s">
        <v>126</v>
      </c>
      <c r="BL642" t="s">
        <v>12047</v>
      </c>
      <c r="BM642" t="s">
        <v>12048</v>
      </c>
      <c r="BN642">
        <v>37641154</v>
      </c>
      <c r="BO642" t="s">
        <v>981</v>
      </c>
      <c r="BP642" t="s">
        <v>74</v>
      </c>
      <c r="BQ642" t="s">
        <v>74</v>
      </c>
      <c r="BR642" t="s">
        <v>99</v>
      </c>
      <c r="BS642" t="s">
        <v>12049</v>
      </c>
      <c r="BT642" t="str">
        <f>HYPERLINK("https%3A%2F%2Fwww.webofscience.com%2Fwos%2Fwoscc%2Ffull-record%2FWOS:001057025700001","View Full Record in Web of Science")</f>
        <v>View Full Record in Web of Science</v>
      </c>
    </row>
    <row r="643" spans="1:72" x14ac:dyDescent="0.15">
      <c r="A643" t="s">
        <v>72</v>
      </c>
      <c r="B643" t="s">
        <v>12050</v>
      </c>
      <c r="C643" t="s">
        <v>74</v>
      </c>
      <c r="D643" t="s">
        <v>74</v>
      </c>
      <c r="E643" t="s">
        <v>74</v>
      </c>
      <c r="F643" t="s">
        <v>12051</v>
      </c>
      <c r="G643" t="s">
        <v>74</v>
      </c>
      <c r="H643" t="s">
        <v>74</v>
      </c>
      <c r="I643" t="s">
        <v>12052</v>
      </c>
      <c r="J643" t="s">
        <v>1226</v>
      </c>
      <c r="K643" t="s">
        <v>74</v>
      </c>
      <c r="L643" t="s">
        <v>74</v>
      </c>
      <c r="M643" t="s">
        <v>78</v>
      </c>
      <c r="N643" t="s">
        <v>79</v>
      </c>
      <c r="O643" t="s">
        <v>74</v>
      </c>
      <c r="P643" t="s">
        <v>74</v>
      </c>
      <c r="Q643" t="s">
        <v>74</v>
      </c>
      <c r="R643" t="s">
        <v>74</v>
      </c>
      <c r="S643" t="s">
        <v>74</v>
      </c>
      <c r="T643" t="s">
        <v>12053</v>
      </c>
      <c r="U643" t="s">
        <v>12054</v>
      </c>
      <c r="V643" t="s">
        <v>12055</v>
      </c>
      <c r="W643" t="s">
        <v>12056</v>
      </c>
      <c r="X643" t="s">
        <v>74</v>
      </c>
      <c r="Y643" t="s">
        <v>12057</v>
      </c>
      <c r="Z643" t="s">
        <v>12058</v>
      </c>
      <c r="AA643" t="s">
        <v>74</v>
      </c>
      <c r="AB643" t="s">
        <v>74</v>
      </c>
      <c r="AC643" t="s">
        <v>74</v>
      </c>
      <c r="AD643" t="s">
        <v>74</v>
      </c>
      <c r="AE643" t="s">
        <v>74</v>
      </c>
      <c r="AF643" t="s">
        <v>74</v>
      </c>
      <c r="AG643">
        <v>16</v>
      </c>
      <c r="AH643">
        <v>0</v>
      </c>
      <c r="AI643">
        <v>0</v>
      </c>
      <c r="AJ643">
        <v>0</v>
      </c>
      <c r="AK643">
        <v>0</v>
      </c>
      <c r="AL643" t="s">
        <v>317</v>
      </c>
      <c r="AM643" t="s">
        <v>245</v>
      </c>
      <c r="AN643" t="s">
        <v>318</v>
      </c>
      <c r="AO643" t="s">
        <v>74</v>
      </c>
      <c r="AP643" t="s">
        <v>1232</v>
      </c>
      <c r="AQ643" t="s">
        <v>74</v>
      </c>
      <c r="AR643" t="s">
        <v>1233</v>
      </c>
      <c r="AS643" t="s">
        <v>1234</v>
      </c>
      <c r="AT643" t="s">
        <v>11816</v>
      </c>
      <c r="AU643">
        <v>2023</v>
      </c>
      <c r="AV643">
        <v>15</v>
      </c>
      <c r="AW643">
        <v>8</v>
      </c>
      <c r="AX643" t="s">
        <v>74</v>
      </c>
      <c r="AY643" t="s">
        <v>74</v>
      </c>
      <c r="AZ643" t="s">
        <v>74</v>
      </c>
      <c r="BA643" t="s">
        <v>74</v>
      </c>
      <c r="BB643" t="s">
        <v>74</v>
      </c>
      <c r="BC643" t="s">
        <v>74</v>
      </c>
      <c r="BD643" t="s">
        <v>12059</v>
      </c>
      <c r="BE643" t="s">
        <v>12060</v>
      </c>
      <c r="BF643" t="str">
        <f>HYPERLINK("http://dx.doi.org/10.7759/cureus.44238","http://dx.doi.org/10.7759/cureus.44238")</f>
        <v>http://dx.doi.org/10.7759/cureus.44238</v>
      </c>
      <c r="BG643" t="s">
        <v>74</v>
      </c>
      <c r="BH643" t="s">
        <v>74</v>
      </c>
      <c r="BI643">
        <v>8</v>
      </c>
      <c r="BJ643" t="s">
        <v>1238</v>
      </c>
      <c r="BK643" t="s">
        <v>97</v>
      </c>
      <c r="BL643" t="s">
        <v>1239</v>
      </c>
      <c r="BM643" t="s">
        <v>12061</v>
      </c>
      <c r="BN643">
        <v>37772219</v>
      </c>
      <c r="BO643" t="s">
        <v>302</v>
      </c>
      <c r="BP643" t="s">
        <v>74</v>
      </c>
      <c r="BQ643" t="s">
        <v>74</v>
      </c>
      <c r="BR643" t="s">
        <v>99</v>
      </c>
      <c r="BS643" t="s">
        <v>12062</v>
      </c>
      <c r="BT643" t="str">
        <f>HYPERLINK("https%3A%2F%2Fwww.webofscience.com%2Fwos%2Fwoscc%2Ffull-record%2FWOS:001063237900033","View Full Record in Web of Science")</f>
        <v>View Full Record in Web of Science</v>
      </c>
    </row>
    <row r="644" spans="1:72" x14ac:dyDescent="0.15">
      <c r="A644" t="s">
        <v>72</v>
      </c>
      <c r="B644" t="s">
        <v>12063</v>
      </c>
      <c r="C644" t="s">
        <v>74</v>
      </c>
      <c r="D644" t="s">
        <v>74</v>
      </c>
      <c r="E644" t="s">
        <v>74</v>
      </c>
      <c r="F644" t="s">
        <v>12064</v>
      </c>
      <c r="G644" t="s">
        <v>74</v>
      </c>
      <c r="H644" t="s">
        <v>74</v>
      </c>
      <c r="I644" t="s">
        <v>12065</v>
      </c>
      <c r="J644" t="s">
        <v>10670</v>
      </c>
      <c r="K644" t="s">
        <v>74</v>
      </c>
      <c r="L644" t="s">
        <v>74</v>
      </c>
      <c r="M644" t="s">
        <v>78</v>
      </c>
      <c r="N644" t="s">
        <v>105</v>
      </c>
      <c r="O644" t="s">
        <v>74</v>
      </c>
      <c r="P644" t="s">
        <v>74</v>
      </c>
      <c r="Q644" t="s">
        <v>74</v>
      </c>
      <c r="R644" t="s">
        <v>74</v>
      </c>
      <c r="S644" t="s">
        <v>74</v>
      </c>
      <c r="T644" t="s">
        <v>12066</v>
      </c>
      <c r="U644" t="s">
        <v>12067</v>
      </c>
      <c r="V644" t="s">
        <v>12068</v>
      </c>
      <c r="W644" t="s">
        <v>12069</v>
      </c>
      <c r="X644" t="s">
        <v>12070</v>
      </c>
      <c r="Y644" t="s">
        <v>12071</v>
      </c>
      <c r="Z644" t="s">
        <v>12072</v>
      </c>
      <c r="AA644" t="s">
        <v>74</v>
      </c>
      <c r="AB644" t="s">
        <v>12073</v>
      </c>
      <c r="AC644" t="s">
        <v>12074</v>
      </c>
      <c r="AD644" t="s">
        <v>12074</v>
      </c>
      <c r="AE644" t="s">
        <v>12075</v>
      </c>
      <c r="AF644" t="s">
        <v>74</v>
      </c>
      <c r="AG644">
        <v>39</v>
      </c>
      <c r="AH644">
        <v>0</v>
      </c>
      <c r="AI644">
        <v>0</v>
      </c>
      <c r="AJ644">
        <v>0</v>
      </c>
      <c r="AK644">
        <v>0</v>
      </c>
      <c r="AL644" t="s">
        <v>443</v>
      </c>
      <c r="AM644" t="s">
        <v>245</v>
      </c>
      <c r="AN644" t="s">
        <v>444</v>
      </c>
      <c r="AO644" t="s">
        <v>74</v>
      </c>
      <c r="AP644" t="s">
        <v>10678</v>
      </c>
      <c r="AQ644" t="s">
        <v>74</v>
      </c>
      <c r="AR644" t="s">
        <v>10679</v>
      </c>
      <c r="AS644" t="s">
        <v>10680</v>
      </c>
      <c r="AT644" t="s">
        <v>11816</v>
      </c>
      <c r="AU644">
        <v>2023</v>
      </c>
      <c r="AV644">
        <v>23</v>
      </c>
      <c r="AW644">
        <v>1</v>
      </c>
      <c r="AX644" t="s">
        <v>74</v>
      </c>
      <c r="AY644" t="s">
        <v>74</v>
      </c>
      <c r="AZ644" t="s">
        <v>74</v>
      </c>
      <c r="BA644" t="s">
        <v>74</v>
      </c>
      <c r="BB644" t="s">
        <v>74</v>
      </c>
      <c r="BC644" t="s">
        <v>74</v>
      </c>
      <c r="BD644">
        <v>617</v>
      </c>
      <c r="BE644" t="s">
        <v>12076</v>
      </c>
      <c r="BF644" t="str">
        <f>HYPERLINK("http://dx.doi.org/10.1186/s12884-023-05924-8","http://dx.doi.org/10.1186/s12884-023-05924-8")</f>
        <v>http://dx.doi.org/10.1186/s12884-023-05924-8</v>
      </c>
      <c r="BG644" t="s">
        <v>74</v>
      </c>
      <c r="BH644" t="s">
        <v>74</v>
      </c>
      <c r="BI644">
        <v>14</v>
      </c>
      <c r="BJ644" t="s">
        <v>96</v>
      </c>
      <c r="BK644" t="s">
        <v>126</v>
      </c>
      <c r="BL644" t="s">
        <v>96</v>
      </c>
      <c r="BM644" t="s">
        <v>12077</v>
      </c>
      <c r="BN644">
        <v>37641006</v>
      </c>
      <c r="BO644" t="s">
        <v>302</v>
      </c>
      <c r="BP644" t="s">
        <v>74</v>
      </c>
      <c r="BQ644" t="s">
        <v>74</v>
      </c>
      <c r="BR644" t="s">
        <v>99</v>
      </c>
      <c r="BS644" t="s">
        <v>12078</v>
      </c>
      <c r="BT644" t="str">
        <f>HYPERLINK("https%3A%2F%2Fwww.webofscience.com%2Fwos%2Fwoscc%2Ffull-record%2FWOS:001057137400001","View Full Record in Web of Science")</f>
        <v>View Full Record in Web of Science</v>
      </c>
    </row>
    <row r="645" spans="1:72" x14ac:dyDescent="0.15">
      <c r="A645" t="s">
        <v>72</v>
      </c>
      <c r="B645" t="s">
        <v>12079</v>
      </c>
      <c r="C645" t="s">
        <v>74</v>
      </c>
      <c r="D645" t="s">
        <v>74</v>
      </c>
      <c r="E645" t="s">
        <v>74</v>
      </c>
      <c r="F645" t="s">
        <v>12080</v>
      </c>
      <c r="G645" t="s">
        <v>74</v>
      </c>
      <c r="H645" t="s">
        <v>74</v>
      </c>
      <c r="I645" t="s">
        <v>12081</v>
      </c>
      <c r="J645" t="s">
        <v>12082</v>
      </c>
      <c r="K645" t="s">
        <v>74</v>
      </c>
      <c r="L645" t="s">
        <v>74</v>
      </c>
      <c r="M645" t="s">
        <v>78</v>
      </c>
      <c r="N645" t="s">
        <v>2174</v>
      </c>
      <c r="O645" t="s">
        <v>74</v>
      </c>
      <c r="P645" t="s">
        <v>74</v>
      </c>
      <c r="Q645" t="s">
        <v>74</v>
      </c>
      <c r="R645" t="s">
        <v>74</v>
      </c>
      <c r="S645" t="s">
        <v>74</v>
      </c>
      <c r="T645" t="s">
        <v>12083</v>
      </c>
      <c r="U645" t="s">
        <v>12084</v>
      </c>
      <c r="V645" t="s">
        <v>12085</v>
      </c>
      <c r="W645" t="s">
        <v>12086</v>
      </c>
      <c r="X645" t="s">
        <v>12087</v>
      </c>
      <c r="Y645" t="s">
        <v>12088</v>
      </c>
      <c r="Z645" t="s">
        <v>12089</v>
      </c>
      <c r="AA645" t="s">
        <v>12090</v>
      </c>
      <c r="AB645" t="s">
        <v>12091</v>
      </c>
      <c r="AC645" t="s">
        <v>12092</v>
      </c>
      <c r="AD645" t="s">
        <v>12093</v>
      </c>
      <c r="AE645" t="s">
        <v>12094</v>
      </c>
      <c r="AF645" t="s">
        <v>74</v>
      </c>
      <c r="AG645">
        <v>117</v>
      </c>
      <c r="AH645">
        <v>0</v>
      </c>
      <c r="AI645">
        <v>0</v>
      </c>
      <c r="AJ645">
        <v>2</v>
      </c>
      <c r="AK645">
        <v>2</v>
      </c>
      <c r="AL645" t="s">
        <v>117</v>
      </c>
      <c r="AM645" t="s">
        <v>118</v>
      </c>
      <c r="AN645" t="s">
        <v>119</v>
      </c>
      <c r="AO645" t="s">
        <v>12095</v>
      </c>
      <c r="AP645" t="s">
        <v>12096</v>
      </c>
      <c r="AQ645" t="s">
        <v>74</v>
      </c>
      <c r="AR645" t="s">
        <v>12097</v>
      </c>
      <c r="AS645" t="s">
        <v>12098</v>
      </c>
      <c r="AT645" t="s">
        <v>11797</v>
      </c>
      <c r="AU645">
        <v>2023</v>
      </c>
      <c r="AV645" t="s">
        <v>74</v>
      </c>
      <c r="AW645" t="s">
        <v>74</v>
      </c>
      <c r="AX645" t="s">
        <v>74</v>
      </c>
      <c r="AY645" t="s">
        <v>74</v>
      </c>
      <c r="AZ645" t="s">
        <v>74</v>
      </c>
      <c r="BA645" t="s">
        <v>74</v>
      </c>
      <c r="BB645" t="s">
        <v>74</v>
      </c>
      <c r="BC645" t="s">
        <v>74</v>
      </c>
      <c r="BD645" t="s">
        <v>74</v>
      </c>
      <c r="BE645" t="s">
        <v>12099</v>
      </c>
      <c r="BF645" t="str">
        <f>HYPERLINK("http://dx.doi.org/10.3758/s13423-023-02356-5","http://dx.doi.org/10.3758/s13423-023-02356-5")</f>
        <v>http://dx.doi.org/10.3758/s13423-023-02356-5</v>
      </c>
      <c r="BG645" t="s">
        <v>74</v>
      </c>
      <c r="BH645" t="s">
        <v>10650</v>
      </c>
      <c r="BI645">
        <v>18</v>
      </c>
      <c r="BJ645" t="s">
        <v>12100</v>
      </c>
      <c r="BK645" t="s">
        <v>425</v>
      </c>
      <c r="BL645" t="s">
        <v>2907</v>
      </c>
      <c r="BM645" t="s">
        <v>12101</v>
      </c>
      <c r="BN645">
        <v>37640835</v>
      </c>
      <c r="BO645" t="s">
        <v>327</v>
      </c>
      <c r="BP645" t="s">
        <v>74</v>
      </c>
      <c r="BQ645" t="s">
        <v>74</v>
      </c>
      <c r="BR645" t="s">
        <v>99</v>
      </c>
      <c r="BS645" t="s">
        <v>12102</v>
      </c>
      <c r="BT645" t="str">
        <f>HYPERLINK("https%3A%2F%2Fwww.webofscience.com%2Fwos%2Fwoscc%2Ffull-record%2FWOS:001060020000002","View Full Record in Web of Science")</f>
        <v>View Full Record in Web of Science</v>
      </c>
    </row>
    <row r="646" spans="1:72" x14ac:dyDescent="0.15">
      <c r="A646" t="s">
        <v>72</v>
      </c>
      <c r="B646" t="s">
        <v>12103</v>
      </c>
      <c r="C646" t="s">
        <v>74</v>
      </c>
      <c r="D646" t="s">
        <v>74</v>
      </c>
      <c r="E646" t="s">
        <v>74</v>
      </c>
      <c r="F646" t="s">
        <v>12104</v>
      </c>
      <c r="G646" t="s">
        <v>74</v>
      </c>
      <c r="H646" t="s">
        <v>74</v>
      </c>
      <c r="I646" t="s">
        <v>12105</v>
      </c>
      <c r="J646" t="s">
        <v>12106</v>
      </c>
      <c r="K646" t="s">
        <v>74</v>
      </c>
      <c r="L646" t="s">
        <v>74</v>
      </c>
      <c r="M646" t="s">
        <v>78</v>
      </c>
      <c r="N646" t="s">
        <v>79</v>
      </c>
      <c r="O646" t="s">
        <v>74</v>
      </c>
      <c r="P646" t="s">
        <v>74</v>
      </c>
      <c r="Q646" t="s">
        <v>74</v>
      </c>
      <c r="R646" t="s">
        <v>74</v>
      </c>
      <c r="S646" t="s">
        <v>74</v>
      </c>
      <c r="T646" t="s">
        <v>12107</v>
      </c>
      <c r="U646" t="s">
        <v>12108</v>
      </c>
      <c r="V646" t="s">
        <v>12109</v>
      </c>
      <c r="W646" t="s">
        <v>12110</v>
      </c>
      <c r="X646" t="s">
        <v>12111</v>
      </c>
      <c r="Y646" t="s">
        <v>12112</v>
      </c>
      <c r="Z646" t="s">
        <v>12113</v>
      </c>
      <c r="AA646" t="s">
        <v>74</v>
      </c>
      <c r="AB646" t="s">
        <v>74</v>
      </c>
      <c r="AC646" t="s">
        <v>74</v>
      </c>
      <c r="AD646" t="s">
        <v>74</v>
      </c>
      <c r="AE646" t="s">
        <v>74</v>
      </c>
      <c r="AF646" t="s">
        <v>74</v>
      </c>
      <c r="AG646">
        <v>52</v>
      </c>
      <c r="AH646">
        <v>0</v>
      </c>
      <c r="AI646">
        <v>0</v>
      </c>
      <c r="AJ646">
        <v>2</v>
      </c>
      <c r="AK646">
        <v>2</v>
      </c>
      <c r="AL646" t="s">
        <v>269</v>
      </c>
      <c r="AM646" t="s">
        <v>118</v>
      </c>
      <c r="AN646" t="s">
        <v>270</v>
      </c>
      <c r="AO646" t="s">
        <v>12114</v>
      </c>
      <c r="AP646" t="s">
        <v>12115</v>
      </c>
      <c r="AQ646" t="s">
        <v>74</v>
      </c>
      <c r="AR646" t="s">
        <v>12116</v>
      </c>
      <c r="AS646" t="s">
        <v>12117</v>
      </c>
      <c r="AT646" t="s">
        <v>11816</v>
      </c>
      <c r="AU646">
        <v>2023</v>
      </c>
      <c r="AV646">
        <v>62</v>
      </c>
      <c r="AW646">
        <v>9</v>
      </c>
      <c r="AX646" t="s">
        <v>74</v>
      </c>
      <c r="AY646" t="s">
        <v>74</v>
      </c>
      <c r="AZ646" t="s">
        <v>74</v>
      </c>
      <c r="BA646" t="s">
        <v>74</v>
      </c>
      <c r="BB646" t="s">
        <v>74</v>
      </c>
      <c r="BC646" t="s">
        <v>74</v>
      </c>
      <c r="BD646">
        <v>194</v>
      </c>
      <c r="BE646" t="s">
        <v>12118</v>
      </c>
      <c r="BF646" t="str">
        <f>HYPERLINK("http://dx.doi.org/10.1007/s10773-023-05446-1","http://dx.doi.org/10.1007/s10773-023-05446-1")</f>
        <v>http://dx.doi.org/10.1007/s10773-023-05446-1</v>
      </c>
      <c r="BG646" t="s">
        <v>74</v>
      </c>
      <c r="BH646" t="s">
        <v>74</v>
      </c>
      <c r="BI646">
        <v>16</v>
      </c>
      <c r="BJ646" t="s">
        <v>386</v>
      </c>
      <c r="BK646" t="s">
        <v>126</v>
      </c>
      <c r="BL646" t="s">
        <v>387</v>
      </c>
      <c r="BM646" t="s">
        <v>12119</v>
      </c>
      <c r="BN646" t="s">
        <v>74</v>
      </c>
      <c r="BO646" t="s">
        <v>74</v>
      </c>
      <c r="BP646" t="s">
        <v>74</v>
      </c>
      <c r="BQ646" t="s">
        <v>74</v>
      </c>
      <c r="BR646" t="s">
        <v>99</v>
      </c>
      <c r="BS646" t="s">
        <v>12120</v>
      </c>
      <c r="BT646" t="str">
        <f>HYPERLINK("https%3A%2F%2Fwww.webofscience.com%2Fwos%2Fwoscc%2Ffull-record%2FWOS:001055429600001","View Full Record in Web of Science")</f>
        <v>View Full Record in Web of Science</v>
      </c>
    </row>
    <row r="647" spans="1:72" x14ac:dyDescent="0.15">
      <c r="A647" t="s">
        <v>72</v>
      </c>
      <c r="B647" t="s">
        <v>12121</v>
      </c>
      <c r="C647" t="s">
        <v>74</v>
      </c>
      <c r="D647" t="s">
        <v>74</v>
      </c>
      <c r="E647" t="s">
        <v>74</v>
      </c>
      <c r="F647" t="s">
        <v>12122</v>
      </c>
      <c r="G647" t="s">
        <v>74</v>
      </c>
      <c r="H647" t="s">
        <v>74</v>
      </c>
      <c r="I647" t="s">
        <v>12123</v>
      </c>
      <c r="J647" t="s">
        <v>6175</v>
      </c>
      <c r="K647" t="s">
        <v>74</v>
      </c>
      <c r="L647" t="s">
        <v>74</v>
      </c>
      <c r="M647" t="s">
        <v>78</v>
      </c>
      <c r="N647" t="s">
        <v>1246</v>
      </c>
      <c r="O647" t="s">
        <v>74</v>
      </c>
      <c r="P647" t="s">
        <v>74</v>
      </c>
      <c r="Q647" t="s">
        <v>74</v>
      </c>
      <c r="R647" t="s">
        <v>74</v>
      </c>
      <c r="S647" t="s">
        <v>74</v>
      </c>
      <c r="T647" t="s">
        <v>74</v>
      </c>
      <c r="U647" t="s">
        <v>12124</v>
      </c>
      <c r="V647" t="s">
        <v>12125</v>
      </c>
      <c r="W647" t="s">
        <v>12126</v>
      </c>
      <c r="X647" t="s">
        <v>12127</v>
      </c>
      <c r="Y647" t="s">
        <v>12128</v>
      </c>
      <c r="Z647" t="s">
        <v>12129</v>
      </c>
      <c r="AA647" t="s">
        <v>74</v>
      </c>
      <c r="AB647" t="s">
        <v>12130</v>
      </c>
      <c r="AC647" t="s">
        <v>74</v>
      </c>
      <c r="AD647" t="s">
        <v>74</v>
      </c>
      <c r="AE647" t="s">
        <v>74</v>
      </c>
      <c r="AF647" t="s">
        <v>74</v>
      </c>
      <c r="AG647">
        <v>24</v>
      </c>
      <c r="AH647">
        <v>0</v>
      </c>
      <c r="AI647">
        <v>0</v>
      </c>
      <c r="AJ647">
        <v>1</v>
      </c>
      <c r="AK647">
        <v>1</v>
      </c>
      <c r="AL647" t="s">
        <v>317</v>
      </c>
      <c r="AM647" t="s">
        <v>245</v>
      </c>
      <c r="AN647" t="s">
        <v>318</v>
      </c>
      <c r="AO647" t="s">
        <v>6183</v>
      </c>
      <c r="AP647" t="s">
        <v>6184</v>
      </c>
      <c r="AQ647" t="s">
        <v>74</v>
      </c>
      <c r="AR647" t="s">
        <v>6185</v>
      </c>
      <c r="AS647" t="s">
        <v>6186</v>
      </c>
      <c r="AT647" t="s">
        <v>11797</v>
      </c>
      <c r="AU647">
        <v>2023</v>
      </c>
      <c r="AV647" t="s">
        <v>74</v>
      </c>
      <c r="AW647" t="s">
        <v>74</v>
      </c>
      <c r="AX647" t="s">
        <v>74</v>
      </c>
      <c r="AY647" t="s">
        <v>74</v>
      </c>
      <c r="AZ647" t="s">
        <v>74</v>
      </c>
      <c r="BA647" t="s">
        <v>74</v>
      </c>
      <c r="BB647" t="s">
        <v>74</v>
      </c>
      <c r="BC647" t="s">
        <v>74</v>
      </c>
      <c r="BD647" t="s">
        <v>74</v>
      </c>
      <c r="BE647" t="s">
        <v>12131</v>
      </c>
      <c r="BF647" t="str">
        <f>HYPERLINK("http://dx.doi.org/10.1038/s41372-023-01761-x","http://dx.doi.org/10.1038/s41372-023-01761-x")</f>
        <v>http://dx.doi.org/10.1038/s41372-023-01761-x</v>
      </c>
      <c r="BG647" t="s">
        <v>74</v>
      </c>
      <c r="BH647" t="s">
        <v>10650</v>
      </c>
      <c r="BI647">
        <v>7</v>
      </c>
      <c r="BJ647" t="s">
        <v>6188</v>
      </c>
      <c r="BK647" t="s">
        <v>126</v>
      </c>
      <c r="BL647" t="s">
        <v>6188</v>
      </c>
      <c r="BM647" t="s">
        <v>12132</v>
      </c>
      <c r="BN647">
        <v>37640809</v>
      </c>
      <c r="BO647" t="s">
        <v>74</v>
      </c>
      <c r="BP647" t="s">
        <v>74</v>
      </c>
      <c r="BQ647" t="s">
        <v>74</v>
      </c>
      <c r="BR647" t="s">
        <v>99</v>
      </c>
      <c r="BS647" t="s">
        <v>12133</v>
      </c>
      <c r="BT647" t="str">
        <f>HYPERLINK("https%3A%2F%2Fwww.webofscience.com%2Fwos%2Fwoscc%2Ffull-record%2FWOS:001063766300001","View Full Record in Web of Science")</f>
        <v>View Full Record in Web of Science</v>
      </c>
    </row>
    <row r="648" spans="1:72" x14ac:dyDescent="0.15">
      <c r="A648" t="s">
        <v>72</v>
      </c>
      <c r="B648" t="s">
        <v>12134</v>
      </c>
      <c r="C648" t="s">
        <v>74</v>
      </c>
      <c r="D648" t="s">
        <v>74</v>
      </c>
      <c r="E648" t="s">
        <v>74</v>
      </c>
      <c r="F648" t="s">
        <v>12135</v>
      </c>
      <c r="G648" t="s">
        <v>74</v>
      </c>
      <c r="H648" t="s">
        <v>74</v>
      </c>
      <c r="I648" t="s">
        <v>12136</v>
      </c>
      <c r="J648" t="s">
        <v>12137</v>
      </c>
      <c r="K648" t="s">
        <v>74</v>
      </c>
      <c r="L648" t="s">
        <v>74</v>
      </c>
      <c r="M648" t="s">
        <v>78</v>
      </c>
      <c r="N648" t="s">
        <v>1246</v>
      </c>
      <c r="O648" t="s">
        <v>74</v>
      </c>
      <c r="P648" t="s">
        <v>74</v>
      </c>
      <c r="Q648" t="s">
        <v>74</v>
      </c>
      <c r="R648" t="s">
        <v>74</v>
      </c>
      <c r="S648" t="s">
        <v>74</v>
      </c>
      <c r="T648" t="s">
        <v>12138</v>
      </c>
      <c r="U648" t="s">
        <v>12139</v>
      </c>
      <c r="V648" t="s">
        <v>12140</v>
      </c>
      <c r="W648" t="s">
        <v>12141</v>
      </c>
      <c r="X648" t="s">
        <v>12142</v>
      </c>
      <c r="Y648" t="s">
        <v>12143</v>
      </c>
      <c r="Z648" t="s">
        <v>12144</v>
      </c>
      <c r="AA648" t="s">
        <v>74</v>
      </c>
      <c r="AB648" t="s">
        <v>74</v>
      </c>
      <c r="AC648" t="s">
        <v>12145</v>
      </c>
      <c r="AD648" t="s">
        <v>12146</v>
      </c>
      <c r="AE648" t="s">
        <v>12147</v>
      </c>
      <c r="AF648" t="s">
        <v>74</v>
      </c>
      <c r="AG648">
        <v>104</v>
      </c>
      <c r="AH648">
        <v>0</v>
      </c>
      <c r="AI648">
        <v>0</v>
      </c>
      <c r="AJ648">
        <v>0</v>
      </c>
      <c r="AK648">
        <v>0</v>
      </c>
      <c r="AL648" t="s">
        <v>117</v>
      </c>
      <c r="AM648" t="s">
        <v>118</v>
      </c>
      <c r="AN648" t="s">
        <v>119</v>
      </c>
      <c r="AO648" t="s">
        <v>12148</v>
      </c>
      <c r="AP648" t="s">
        <v>12149</v>
      </c>
      <c r="AQ648" t="s">
        <v>74</v>
      </c>
      <c r="AR648" t="s">
        <v>12150</v>
      </c>
      <c r="AS648" t="s">
        <v>12151</v>
      </c>
      <c r="AT648" t="s">
        <v>11797</v>
      </c>
      <c r="AU648">
        <v>2023</v>
      </c>
      <c r="AV648" t="s">
        <v>74</v>
      </c>
      <c r="AW648" t="s">
        <v>74</v>
      </c>
      <c r="AX648" t="s">
        <v>74</v>
      </c>
      <c r="AY648" t="s">
        <v>74</v>
      </c>
      <c r="AZ648" t="s">
        <v>74</v>
      </c>
      <c r="BA648" t="s">
        <v>74</v>
      </c>
      <c r="BB648" t="s">
        <v>74</v>
      </c>
      <c r="BC648" t="s">
        <v>74</v>
      </c>
      <c r="BD648" t="s">
        <v>74</v>
      </c>
      <c r="BE648" t="s">
        <v>12152</v>
      </c>
      <c r="BF648" t="str">
        <f>HYPERLINK("http://dx.doi.org/10.1007/s00466-023-02383","http://dx.doi.org/10.1007/s00466-023-02383")</f>
        <v>http://dx.doi.org/10.1007/s00466-023-02383</v>
      </c>
      <c r="BG648" t="s">
        <v>74</v>
      </c>
      <c r="BH648" t="s">
        <v>10650</v>
      </c>
      <c r="BI648">
        <v>27</v>
      </c>
      <c r="BJ648" t="s">
        <v>12153</v>
      </c>
      <c r="BK648" t="s">
        <v>126</v>
      </c>
      <c r="BL648" t="s">
        <v>12154</v>
      </c>
      <c r="BM648" t="s">
        <v>12155</v>
      </c>
      <c r="BN648" t="s">
        <v>74</v>
      </c>
      <c r="BO648" t="s">
        <v>74</v>
      </c>
      <c r="BP648" t="s">
        <v>74</v>
      </c>
      <c r="BQ648" t="s">
        <v>74</v>
      </c>
      <c r="BR648" t="s">
        <v>99</v>
      </c>
      <c r="BS648" t="s">
        <v>12156</v>
      </c>
      <c r="BT648" t="str">
        <f>HYPERLINK("https%3A%2F%2Fwww.webofscience.com%2Fwos%2Fwoscc%2Ffull-record%2FWOS:001060470200001","View Full Record in Web of Science")</f>
        <v>View Full Record in Web of Science</v>
      </c>
    </row>
    <row r="649" spans="1:72" x14ac:dyDescent="0.15">
      <c r="A649" t="s">
        <v>72</v>
      </c>
      <c r="B649" t="s">
        <v>12157</v>
      </c>
      <c r="C649" t="s">
        <v>74</v>
      </c>
      <c r="D649" t="s">
        <v>74</v>
      </c>
      <c r="E649" t="s">
        <v>74</v>
      </c>
      <c r="F649" t="s">
        <v>12158</v>
      </c>
      <c r="G649" t="s">
        <v>74</v>
      </c>
      <c r="H649" t="s">
        <v>74</v>
      </c>
      <c r="I649" t="s">
        <v>12159</v>
      </c>
      <c r="J649" t="s">
        <v>12160</v>
      </c>
      <c r="K649" t="s">
        <v>74</v>
      </c>
      <c r="L649" t="s">
        <v>74</v>
      </c>
      <c r="M649" t="s">
        <v>78</v>
      </c>
      <c r="N649" t="s">
        <v>79</v>
      </c>
      <c r="O649" t="s">
        <v>74</v>
      </c>
      <c r="P649" t="s">
        <v>74</v>
      </c>
      <c r="Q649" t="s">
        <v>74</v>
      </c>
      <c r="R649" t="s">
        <v>74</v>
      </c>
      <c r="S649" t="s">
        <v>74</v>
      </c>
      <c r="T649" t="s">
        <v>12161</v>
      </c>
      <c r="U649" t="s">
        <v>12162</v>
      </c>
      <c r="V649" t="s">
        <v>12163</v>
      </c>
      <c r="W649" t="s">
        <v>12164</v>
      </c>
      <c r="X649" t="s">
        <v>12165</v>
      </c>
      <c r="Y649" t="s">
        <v>12166</v>
      </c>
      <c r="Z649" t="s">
        <v>12167</v>
      </c>
      <c r="AA649" t="s">
        <v>12168</v>
      </c>
      <c r="AB649" t="s">
        <v>12169</v>
      </c>
      <c r="AC649" t="s">
        <v>8101</v>
      </c>
      <c r="AD649" t="s">
        <v>8101</v>
      </c>
      <c r="AE649" t="s">
        <v>8101</v>
      </c>
      <c r="AF649" t="s">
        <v>74</v>
      </c>
      <c r="AG649">
        <v>27</v>
      </c>
      <c r="AH649">
        <v>0</v>
      </c>
      <c r="AI649">
        <v>0</v>
      </c>
      <c r="AJ649">
        <v>0</v>
      </c>
      <c r="AK649">
        <v>0</v>
      </c>
      <c r="AL649" t="s">
        <v>443</v>
      </c>
      <c r="AM649" t="s">
        <v>245</v>
      </c>
      <c r="AN649" t="s">
        <v>444</v>
      </c>
      <c r="AO649" t="s">
        <v>74</v>
      </c>
      <c r="AP649" t="s">
        <v>12170</v>
      </c>
      <c r="AQ649" t="s">
        <v>74</v>
      </c>
      <c r="AR649" t="s">
        <v>12171</v>
      </c>
      <c r="AS649" t="s">
        <v>12172</v>
      </c>
      <c r="AT649" t="s">
        <v>11816</v>
      </c>
      <c r="AU649">
        <v>2023</v>
      </c>
      <c r="AV649">
        <v>22</v>
      </c>
      <c r="AW649">
        <v>1</v>
      </c>
      <c r="AX649" t="s">
        <v>74</v>
      </c>
      <c r="AY649" t="s">
        <v>74</v>
      </c>
      <c r="AZ649" t="s">
        <v>74</v>
      </c>
      <c r="BA649" t="s">
        <v>74</v>
      </c>
      <c r="BB649" t="s">
        <v>74</v>
      </c>
      <c r="BC649" t="s">
        <v>74</v>
      </c>
      <c r="BD649">
        <v>84</v>
      </c>
      <c r="BE649" t="s">
        <v>12173</v>
      </c>
      <c r="BF649" t="str">
        <f>HYPERLINK("http://dx.doi.org/10.1186/s12938-023-01147-2","http://dx.doi.org/10.1186/s12938-023-01147-2")</f>
        <v>http://dx.doi.org/10.1186/s12938-023-01147-2</v>
      </c>
      <c r="BG649" t="s">
        <v>74</v>
      </c>
      <c r="BH649" t="s">
        <v>74</v>
      </c>
      <c r="BI649">
        <v>10</v>
      </c>
      <c r="BJ649" t="s">
        <v>12174</v>
      </c>
      <c r="BK649" t="s">
        <v>126</v>
      </c>
      <c r="BL649" t="s">
        <v>277</v>
      </c>
      <c r="BM649" t="s">
        <v>12175</v>
      </c>
      <c r="BN649">
        <v>37641065</v>
      </c>
      <c r="BO649" t="s">
        <v>302</v>
      </c>
      <c r="BP649" t="s">
        <v>74</v>
      </c>
      <c r="BQ649" t="s">
        <v>74</v>
      </c>
      <c r="BR649" t="s">
        <v>99</v>
      </c>
      <c r="BS649" t="s">
        <v>12176</v>
      </c>
      <c r="BT649" t="str">
        <f>HYPERLINK("https%3A%2F%2Fwww.webofscience.com%2Fwos%2Fwoscc%2Ffull-record%2FWOS:001056990100001","View Full Record in Web of Science")</f>
        <v>View Full Record in Web of Science</v>
      </c>
    </row>
    <row r="650" spans="1:72" x14ac:dyDescent="0.15">
      <c r="A650" t="s">
        <v>72</v>
      </c>
      <c r="B650" t="s">
        <v>12177</v>
      </c>
      <c r="C650" t="s">
        <v>74</v>
      </c>
      <c r="D650" t="s">
        <v>74</v>
      </c>
      <c r="E650" t="s">
        <v>74</v>
      </c>
      <c r="F650" t="s">
        <v>12178</v>
      </c>
      <c r="G650" t="s">
        <v>74</v>
      </c>
      <c r="H650" t="s">
        <v>74</v>
      </c>
      <c r="I650" t="s">
        <v>12179</v>
      </c>
      <c r="J650" t="s">
        <v>4185</v>
      </c>
      <c r="K650" t="s">
        <v>74</v>
      </c>
      <c r="L650" t="s">
        <v>74</v>
      </c>
      <c r="M650" t="s">
        <v>78</v>
      </c>
      <c r="N650" t="s">
        <v>79</v>
      </c>
      <c r="O650" t="s">
        <v>74</v>
      </c>
      <c r="P650" t="s">
        <v>74</v>
      </c>
      <c r="Q650" t="s">
        <v>74</v>
      </c>
      <c r="R650" t="s">
        <v>74</v>
      </c>
      <c r="S650" t="s">
        <v>74</v>
      </c>
      <c r="T650" t="s">
        <v>12180</v>
      </c>
      <c r="U650" t="s">
        <v>12181</v>
      </c>
      <c r="V650" t="s">
        <v>12182</v>
      </c>
      <c r="W650" t="s">
        <v>12183</v>
      </c>
      <c r="X650" t="s">
        <v>74</v>
      </c>
      <c r="Y650" t="s">
        <v>12184</v>
      </c>
      <c r="Z650" t="s">
        <v>12185</v>
      </c>
      <c r="AA650" t="s">
        <v>74</v>
      </c>
      <c r="AB650" t="s">
        <v>74</v>
      </c>
      <c r="AC650" t="s">
        <v>12186</v>
      </c>
      <c r="AD650" t="s">
        <v>12186</v>
      </c>
      <c r="AE650" t="s">
        <v>12187</v>
      </c>
      <c r="AF650" t="s">
        <v>74</v>
      </c>
      <c r="AG650">
        <v>33</v>
      </c>
      <c r="AH650">
        <v>0</v>
      </c>
      <c r="AI650">
        <v>0</v>
      </c>
      <c r="AJ650">
        <v>0</v>
      </c>
      <c r="AK650">
        <v>0</v>
      </c>
      <c r="AL650" t="s">
        <v>317</v>
      </c>
      <c r="AM650" t="s">
        <v>245</v>
      </c>
      <c r="AN650" t="s">
        <v>318</v>
      </c>
      <c r="AO650" t="s">
        <v>74</v>
      </c>
      <c r="AP650" t="s">
        <v>4196</v>
      </c>
      <c r="AQ650" t="s">
        <v>74</v>
      </c>
      <c r="AR650" t="s">
        <v>4197</v>
      </c>
      <c r="AS650" t="s">
        <v>4198</v>
      </c>
      <c r="AT650" t="s">
        <v>11816</v>
      </c>
      <c r="AU650">
        <v>2023</v>
      </c>
      <c r="AV650">
        <v>11</v>
      </c>
      <c r="AW650">
        <v>1</v>
      </c>
      <c r="AX650" t="s">
        <v>74</v>
      </c>
      <c r="AY650" t="s">
        <v>74</v>
      </c>
      <c r="AZ650" t="s">
        <v>74</v>
      </c>
      <c r="BA650" t="s">
        <v>74</v>
      </c>
      <c r="BB650" t="s">
        <v>74</v>
      </c>
      <c r="BC650" t="s">
        <v>74</v>
      </c>
      <c r="BD650">
        <v>250</v>
      </c>
      <c r="BE650" t="s">
        <v>12188</v>
      </c>
      <c r="BF650" t="str">
        <f>HYPERLINK("http://dx.doi.org/10.1186/s40359-023-01297-x","http://dx.doi.org/10.1186/s40359-023-01297-x")</f>
        <v>http://dx.doi.org/10.1186/s40359-023-01297-x</v>
      </c>
      <c r="BG650" t="s">
        <v>74</v>
      </c>
      <c r="BH650" t="s">
        <v>74</v>
      </c>
      <c r="BI650">
        <v>11</v>
      </c>
      <c r="BJ650" t="s">
        <v>2906</v>
      </c>
      <c r="BK650" t="s">
        <v>425</v>
      </c>
      <c r="BL650" t="s">
        <v>2907</v>
      </c>
      <c r="BM650" t="s">
        <v>12189</v>
      </c>
      <c r="BN650">
        <v>37641113</v>
      </c>
      <c r="BO650" t="s">
        <v>3356</v>
      </c>
      <c r="BP650" t="s">
        <v>74</v>
      </c>
      <c r="BQ650" t="s">
        <v>74</v>
      </c>
      <c r="BR650" t="s">
        <v>99</v>
      </c>
      <c r="BS650" t="s">
        <v>12190</v>
      </c>
      <c r="BT650" t="str">
        <f>HYPERLINK("https%3A%2F%2Fwww.webofscience.com%2Fwos%2Fwoscc%2Ffull-record%2FWOS:001057009100001","View Full Record in Web of Science")</f>
        <v>View Full Record in Web of Science</v>
      </c>
    </row>
    <row r="651" spans="1:72" x14ac:dyDescent="0.15">
      <c r="A651" t="s">
        <v>72</v>
      </c>
      <c r="B651" t="s">
        <v>12191</v>
      </c>
      <c r="C651" t="s">
        <v>74</v>
      </c>
      <c r="D651" t="s">
        <v>74</v>
      </c>
      <c r="E651" t="s">
        <v>74</v>
      </c>
      <c r="F651" t="s">
        <v>12192</v>
      </c>
      <c r="G651" t="s">
        <v>74</v>
      </c>
      <c r="H651" t="s">
        <v>74</v>
      </c>
      <c r="I651" t="s">
        <v>12193</v>
      </c>
      <c r="J651" t="s">
        <v>1226</v>
      </c>
      <c r="K651" t="s">
        <v>74</v>
      </c>
      <c r="L651" t="s">
        <v>74</v>
      </c>
      <c r="M651" t="s">
        <v>78</v>
      </c>
      <c r="N651" t="s">
        <v>79</v>
      </c>
      <c r="O651" t="s">
        <v>74</v>
      </c>
      <c r="P651" t="s">
        <v>74</v>
      </c>
      <c r="Q651" t="s">
        <v>74</v>
      </c>
      <c r="R651" t="s">
        <v>74</v>
      </c>
      <c r="S651" t="s">
        <v>74</v>
      </c>
      <c r="T651" t="s">
        <v>12194</v>
      </c>
      <c r="U651" t="s">
        <v>12195</v>
      </c>
      <c r="V651" t="s">
        <v>12196</v>
      </c>
      <c r="W651" t="s">
        <v>12197</v>
      </c>
      <c r="X651" t="s">
        <v>12198</v>
      </c>
      <c r="Y651" t="s">
        <v>12199</v>
      </c>
      <c r="Z651" t="s">
        <v>12200</v>
      </c>
      <c r="AA651" t="s">
        <v>74</v>
      </c>
      <c r="AB651" t="s">
        <v>74</v>
      </c>
      <c r="AC651" t="s">
        <v>74</v>
      </c>
      <c r="AD651" t="s">
        <v>74</v>
      </c>
      <c r="AE651" t="s">
        <v>74</v>
      </c>
      <c r="AF651" t="s">
        <v>74</v>
      </c>
      <c r="AG651">
        <v>8</v>
      </c>
      <c r="AH651">
        <v>0</v>
      </c>
      <c r="AI651">
        <v>0</v>
      </c>
      <c r="AJ651">
        <v>0</v>
      </c>
      <c r="AK651">
        <v>0</v>
      </c>
      <c r="AL651" t="s">
        <v>317</v>
      </c>
      <c r="AM651" t="s">
        <v>245</v>
      </c>
      <c r="AN651" t="s">
        <v>318</v>
      </c>
      <c r="AO651" t="s">
        <v>74</v>
      </c>
      <c r="AP651" t="s">
        <v>1232</v>
      </c>
      <c r="AQ651" t="s">
        <v>74</v>
      </c>
      <c r="AR651" t="s">
        <v>1233</v>
      </c>
      <c r="AS651" t="s">
        <v>1234</v>
      </c>
      <c r="AT651" t="s">
        <v>11816</v>
      </c>
      <c r="AU651">
        <v>2023</v>
      </c>
      <c r="AV651">
        <v>15</v>
      </c>
      <c r="AW651">
        <v>8</v>
      </c>
      <c r="AX651" t="s">
        <v>74</v>
      </c>
      <c r="AY651" t="s">
        <v>74</v>
      </c>
      <c r="AZ651" t="s">
        <v>74</v>
      </c>
      <c r="BA651" t="s">
        <v>74</v>
      </c>
      <c r="BB651" t="s">
        <v>74</v>
      </c>
      <c r="BC651" t="s">
        <v>74</v>
      </c>
      <c r="BD651" t="s">
        <v>12201</v>
      </c>
      <c r="BE651" t="s">
        <v>12202</v>
      </c>
      <c r="BF651" t="str">
        <f>HYPERLINK("http://dx.doi.org/10.7759/cureus.44255","http://dx.doi.org/10.7759/cureus.44255")</f>
        <v>http://dx.doi.org/10.7759/cureus.44255</v>
      </c>
      <c r="BG651" t="s">
        <v>74</v>
      </c>
      <c r="BH651" t="s">
        <v>74</v>
      </c>
      <c r="BI651">
        <v>4</v>
      </c>
      <c r="BJ651" t="s">
        <v>1238</v>
      </c>
      <c r="BK651" t="s">
        <v>97</v>
      </c>
      <c r="BL651" t="s">
        <v>1239</v>
      </c>
      <c r="BM651" t="s">
        <v>12061</v>
      </c>
      <c r="BN651">
        <v>37772243</v>
      </c>
      <c r="BO651" t="s">
        <v>302</v>
      </c>
      <c r="BP651" t="s">
        <v>74</v>
      </c>
      <c r="BQ651" t="s">
        <v>74</v>
      </c>
      <c r="BR651" t="s">
        <v>99</v>
      </c>
      <c r="BS651" t="s">
        <v>12203</v>
      </c>
      <c r="BT651" t="str">
        <f>HYPERLINK("https%3A%2F%2Fwww.webofscience.com%2Fwos%2Fwoscc%2Ffull-record%2FWOS:001063237900025","View Full Record in Web of Science")</f>
        <v>View Full Record in Web of Science</v>
      </c>
    </row>
    <row r="652" spans="1:72" x14ac:dyDescent="0.15">
      <c r="A652" t="s">
        <v>72</v>
      </c>
      <c r="B652" t="s">
        <v>12204</v>
      </c>
      <c r="C652" t="s">
        <v>74</v>
      </c>
      <c r="D652" t="s">
        <v>74</v>
      </c>
      <c r="E652" t="s">
        <v>74</v>
      </c>
      <c r="F652" t="s">
        <v>12205</v>
      </c>
      <c r="G652" t="s">
        <v>74</v>
      </c>
      <c r="H652" t="s">
        <v>74</v>
      </c>
      <c r="I652" t="s">
        <v>12206</v>
      </c>
      <c r="J652" t="s">
        <v>12207</v>
      </c>
      <c r="K652" t="s">
        <v>74</v>
      </c>
      <c r="L652" t="s">
        <v>74</v>
      </c>
      <c r="M652" t="s">
        <v>78</v>
      </c>
      <c r="N652" t="s">
        <v>1246</v>
      </c>
      <c r="O652" t="s">
        <v>74</v>
      </c>
      <c r="P652" t="s">
        <v>74</v>
      </c>
      <c r="Q652" t="s">
        <v>74</v>
      </c>
      <c r="R652" t="s">
        <v>74</v>
      </c>
      <c r="S652" t="s">
        <v>74</v>
      </c>
      <c r="T652" t="s">
        <v>12208</v>
      </c>
      <c r="U652" t="s">
        <v>12209</v>
      </c>
      <c r="V652" t="s">
        <v>12210</v>
      </c>
      <c r="W652" t="s">
        <v>12211</v>
      </c>
      <c r="X652" t="s">
        <v>12212</v>
      </c>
      <c r="Y652" t="s">
        <v>12213</v>
      </c>
      <c r="Z652" t="s">
        <v>12214</v>
      </c>
      <c r="AA652" t="s">
        <v>12215</v>
      </c>
      <c r="AB652" t="s">
        <v>12216</v>
      </c>
      <c r="AC652" t="s">
        <v>4078</v>
      </c>
      <c r="AD652" t="s">
        <v>4078</v>
      </c>
      <c r="AE652" t="s">
        <v>4078</v>
      </c>
      <c r="AF652" t="s">
        <v>74</v>
      </c>
      <c r="AG652">
        <v>140</v>
      </c>
      <c r="AH652">
        <v>0</v>
      </c>
      <c r="AI652">
        <v>0</v>
      </c>
      <c r="AJ652">
        <v>0</v>
      </c>
      <c r="AK652">
        <v>0</v>
      </c>
      <c r="AL652" t="s">
        <v>117</v>
      </c>
      <c r="AM652" t="s">
        <v>627</v>
      </c>
      <c r="AN652" t="s">
        <v>628</v>
      </c>
      <c r="AO652" t="s">
        <v>12217</v>
      </c>
      <c r="AP652" t="s">
        <v>12218</v>
      </c>
      <c r="AQ652" t="s">
        <v>74</v>
      </c>
      <c r="AR652" t="s">
        <v>12219</v>
      </c>
      <c r="AS652" t="s">
        <v>12220</v>
      </c>
      <c r="AT652" t="s">
        <v>11797</v>
      </c>
      <c r="AU652">
        <v>2023</v>
      </c>
      <c r="AV652" t="s">
        <v>74</v>
      </c>
      <c r="AW652" t="s">
        <v>74</v>
      </c>
      <c r="AX652" t="s">
        <v>74</v>
      </c>
      <c r="AY652" t="s">
        <v>74</v>
      </c>
      <c r="AZ652" t="s">
        <v>74</v>
      </c>
      <c r="BA652" t="s">
        <v>74</v>
      </c>
      <c r="BB652" t="s">
        <v>74</v>
      </c>
      <c r="BC652" t="s">
        <v>74</v>
      </c>
      <c r="BD652" t="s">
        <v>74</v>
      </c>
      <c r="BE652" t="s">
        <v>12221</v>
      </c>
      <c r="BF652" t="str">
        <f>HYPERLINK("http://dx.doi.org/10.1007/s11010-023-04832","http://dx.doi.org/10.1007/s11010-023-04832")</f>
        <v>http://dx.doi.org/10.1007/s11010-023-04832</v>
      </c>
      <c r="BG652" t="s">
        <v>74</v>
      </c>
      <c r="BH652" t="s">
        <v>10650</v>
      </c>
      <c r="BI652">
        <v>16</v>
      </c>
      <c r="BJ652" t="s">
        <v>7100</v>
      </c>
      <c r="BK652" t="s">
        <v>126</v>
      </c>
      <c r="BL652" t="s">
        <v>7100</v>
      </c>
      <c r="BM652" t="s">
        <v>12222</v>
      </c>
      <c r="BN652" t="s">
        <v>74</v>
      </c>
      <c r="BO652" t="s">
        <v>74</v>
      </c>
      <c r="BP652" t="s">
        <v>74</v>
      </c>
      <c r="BQ652" t="s">
        <v>74</v>
      </c>
      <c r="BR652" t="s">
        <v>99</v>
      </c>
      <c r="BS652" t="s">
        <v>12223</v>
      </c>
      <c r="BT652" t="str">
        <f>HYPERLINK("https%3A%2F%2Fwww.webofscience.com%2Fwos%2Fwoscc%2Ffull-record%2FWOS:001063765400001","View Full Record in Web of Science")</f>
        <v>View Full Record in Web of Science</v>
      </c>
    </row>
    <row r="653" spans="1:72" x14ac:dyDescent="0.15">
      <c r="A653" t="s">
        <v>72</v>
      </c>
      <c r="B653" t="s">
        <v>12224</v>
      </c>
      <c r="C653" t="s">
        <v>74</v>
      </c>
      <c r="D653" t="s">
        <v>74</v>
      </c>
      <c r="E653" t="s">
        <v>74</v>
      </c>
      <c r="F653" t="s">
        <v>12225</v>
      </c>
      <c r="G653" t="s">
        <v>74</v>
      </c>
      <c r="H653" t="s">
        <v>74</v>
      </c>
      <c r="I653" t="s">
        <v>12226</v>
      </c>
      <c r="J653" t="s">
        <v>12227</v>
      </c>
      <c r="K653" t="s">
        <v>74</v>
      </c>
      <c r="L653" t="s">
        <v>74</v>
      </c>
      <c r="M653" t="s">
        <v>78</v>
      </c>
      <c r="N653" t="s">
        <v>2174</v>
      </c>
      <c r="O653" t="s">
        <v>74</v>
      </c>
      <c r="P653" t="s">
        <v>74</v>
      </c>
      <c r="Q653" t="s">
        <v>74</v>
      </c>
      <c r="R653" t="s">
        <v>74</v>
      </c>
      <c r="S653" t="s">
        <v>74</v>
      </c>
      <c r="T653" t="s">
        <v>12228</v>
      </c>
      <c r="U653" t="s">
        <v>12229</v>
      </c>
      <c r="V653" t="s">
        <v>12230</v>
      </c>
      <c r="W653" t="s">
        <v>12231</v>
      </c>
      <c r="X653" t="s">
        <v>12232</v>
      </c>
      <c r="Y653" t="s">
        <v>12233</v>
      </c>
      <c r="Z653" t="s">
        <v>12234</v>
      </c>
      <c r="AA653" t="s">
        <v>74</v>
      </c>
      <c r="AB653" t="s">
        <v>12235</v>
      </c>
      <c r="AC653" t="s">
        <v>12236</v>
      </c>
      <c r="AD653" t="s">
        <v>12236</v>
      </c>
      <c r="AE653" t="s">
        <v>12237</v>
      </c>
      <c r="AF653" t="s">
        <v>74</v>
      </c>
      <c r="AG653">
        <v>71</v>
      </c>
      <c r="AH653">
        <v>0</v>
      </c>
      <c r="AI653">
        <v>0</v>
      </c>
      <c r="AJ653">
        <v>0</v>
      </c>
      <c r="AK653">
        <v>0</v>
      </c>
      <c r="AL653" t="s">
        <v>117</v>
      </c>
      <c r="AM653" t="s">
        <v>118</v>
      </c>
      <c r="AN653" t="s">
        <v>119</v>
      </c>
      <c r="AO653" t="s">
        <v>12238</v>
      </c>
      <c r="AP653" t="s">
        <v>12239</v>
      </c>
      <c r="AQ653" t="s">
        <v>74</v>
      </c>
      <c r="AR653" t="s">
        <v>12240</v>
      </c>
      <c r="AS653" t="s">
        <v>12241</v>
      </c>
      <c r="AT653" t="s">
        <v>11797</v>
      </c>
      <c r="AU653">
        <v>2023</v>
      </c>
      <c r="AV653" t="s">
        <v>74</v>
      </c>
      <c r="AW653" t="s">
        <v>74</v>
      </c>
      <c r="AX653" t="s">
        <v>74</v>
      </c>
      <c r="AY653" t="s">
        <v>74</v>
      </c>
      <c r="AZ653" t="s">
        <v>74</v>
      </c>
      <c r="BA653" t="s">
        <v>74</v>
      </c>
      <c r="BB653" t="s">
        <v>74</v>
      </c>
      <c r="BC653" t="s">
        <v>74</v>
      </c>
      <c r="BD653" t="s">
        <v>74</v>
      </c>
      <c r="BE653" t="s">
        <v>12242</v>
      </c>
      <c r="BF653" t="str">
        <f>HYPERLINK("http://dx.doi.org/10.1007/s00586-023-07900-4","http://dx.doi.org/10.1007/s00586-023-07900-4")</f>
        <v>http://dx.doi.org/10.1007/s00586-023-07900-4</v>
      </c>
      <c r="BG653" t="s">
        <v>74</v>
      </c>
      <c r="BH653" t="s">
        <v>10650</v>
      </c>
      <c r="BI653">
        <v>13</v>
      </c>
      <c r="BJ653" t="s">
        <v>12243</v>
      </c>
      <c r="BK653" t="s">
        <v>126</v>
      </c>
      <c r="BL653" t="s">
        <v>12244</v>
      </c>
      <c r="BM653" t="s">
        <v>12245</v>
      </c>
      <c r="BN653">
        <v>37640886</v>
      </c>
      <c r="BO653" t="s">
        <v>183</v>
      </c>
      <c r="BP653" t="s">
        <v>74</v>
      </c>
      <c r="BQ653" t="s">
        <v>74</v>
      </c>
      <c r="BR653" t="s">
        <v>99</v>
      </c>
      <c r="BS653" t="s">
        <v>12246</v>
      </c>
      <c r="BT653" t="str">
        <f>HYPERLINK("https%3A%2F%2Fwww.webofscience.com%2Fwos%2Fwoscc%2Ffull-record%2FWOS:001060025700001","View Full Record in Web of Science")</f>
        <v>View Full Record in Web of Science</v>
      </c>
    </row>
    <row r="654" spans="1:72" x14ac:dyDescent="0.15">
      <c r="A654" t="s">
        <v>72</v>
      </c>
      <c r="B654" t="s">
        <v>12247</v>
      </c>
      <c r="C654" t="s">
        <v>74</v>
      </c>
      <c r="D654" t="s">
        <v>74</v>
      </c>
      <c r="E654" t="s">
        <v>74</v>
      </c>
      <c r="F654" t="s">
        <v>12248</v>
      </c>
      <c r="G654" t="s">
        <v>74</v>
      </c>
      <c r="H654" t="s">
        <v>74</v>
      </c>
      <c r="I654" t="s">
        <v>12249</v>
      </c>
      <c r="J654" t="s">
        <v>8508</v>
      </c>
      <c r="K654" t="s">
        <v>74</v>
      </c>
      <c r="L654" t="s">
        <v>74</v>
      </c>
      <c r="M654" t="s">
        <v>78</v>
      </c>
      <c r="N654" t="s">
        <v>1246</v>
      </c>
      <c r="O654" t="s">
        <v>74</v>
      </c>
      <c r="P654" t="s">
        <v>74</v>
      </c>
      <c r="Q654" t="s">
        <v>74</v>
      </c>
      <c r="R654" t="s">
        <v>74</v>
      </c>
      <c r="S654" t="s">
        <v>74</v>
      </c>
      <c r="T654" t="s">
        <v>12250</v>
      </c>
      <c r="U654" t="s">
        <v>12251</v>
      </c>
      <c r="V654" t="s">
        <v>12252</v>
      </c>
      <c r="W654" t="s">
        <v>12253</v>
      </c>
      <c r="X654" t="s">
        <v>74</v>
      </c>
      <c r="Y654" t="s">
        <v>12254</v>
      </c>
      <c r="Z654" t="s">
        <v>12255</v>
      </c>
      <c r="AA654" t="s">
        <v>74</v>
      </c>
      <c r="AB654" t="s">
        <v>74</v>
      </c>
      <c r="AC654" t="s">
        <v>12256</v>
      </c>
      <c r="AD654" t="s">
        <v>12256</v>
      </c>
      <c r="AE654" t="s">
        <v>12256</v>
      </c>
      <c r="AF654" t="s">
        <v>74</v>
      </c>
      <c r="AG654">
        <v>15</v>
      </c>
      <c r="AH654">
        <v>0</v>
      </c>
      <c r="AI654">
        <v>0</v>
      </c>
      <c r="AJ654">
        <v>0</v>
      </c>
      <c r="AK654">
        <v>0</v>
      </c>
      <c r="AL654" t="s">
        <v>117</v>
      </c>
      <c r="AM654" t="s">
        <v>627</v>
      </c>
      <c r="AN654" t="s">
        <v>628</v>
      </c>
      <c r="AO654" t="s">
        <v>8519</v>
      </c>
      <c r="AP654" t="s">
        <v>8520</v>
      </c>
      <c r="AQ654" t="s">
        <v>74</v>
      </c>
      <c r="AR654" t="s">
        <v>8521</v>
      </c>
      <c r="AS654" t="s">
        <v>8522</v>
      </c>
      <c r="AT654" t="s">
        <v>11797</v>
      </c>
      <c r="AU654">
        <v>2023</v>
      </c>
      <c r="AV654" t="s">
        <v>74</v>
      </c>
      <c r="AW654" t="s">
        <v>74</v>
      </c>
      <c r="AX654" t="s">
        <v>74</v>
      </c>
      <c r="AY654" t="s">
        <v>74</v>
      </c>
      <c r="AZ654" t="s">
        <v>74</v>
      </c>
      <c r="BA654" t="s">
        <v>74</v>
      </c>
      <c r="BB654" t="s">
        <v>74</v>
      </c>
      <c r="BC654" t="s">
        <v>74</v>
      </c>
      <c r="BD654" t="s">
        <v>74</v>
      </c>
      <c r="BE654" t="s">
        <v>12257</v>
      </c>
      <c r="BF654" t="str">
        <f>HYPERLINK("http://dx.doi.org/10.1007/s11255-023-03751-6","http://dx.doi.org/10.1007/s11255-023-03751-6")</f>
        <v>http://dx.doi.org/10.1007/s11255-023-03751-6</v>
      </c>
      <c r="BG654" t="s">
        <v>74</v>
      </c>
      <c r="BH654" t="s">
        <v>10650</v>
      </c>
      <c r="BI654">
        <v>7</v>
      </c>
      <c r="BJ654" t="s">
        <v>7322</v>
      </c>
      <c r="BK654" t="s">
        <v>126</v>
      </c>
      <c r="BL654" t="s">
        <v>7322</v>
      </c>
      <c r="BM654" t="s">
        <v>12258</v>
      </c>
      <c r="BN654">
        <v>37639154</v>
      </c>
      <c r="BO654" t="s">
        <v>74</v>
      </c>
      <c r="BP654" t="s">
        <v>74</v>
      </c>
      <c r="BQ654" t="s">
        <v>74</v>
      </c>
      <c r="BR654" t="s">
        <v>99</v>
      </c>
      <c r="BS654" t="s">
        <v>12259</v>
      </c>
      <c r="BT654" t="str">
        <f>HYPERLINK("https%3A%2F%2Fwww.webofscience.com%2Fwos%2Fwoscc%2Ffull-record%2FWOS:001060428800003","View Full Record in Web of Science")</f>
        <v>View Full Record in Web of Science</v>
      </c>
    </row>
    <row r="655" spans="1:72" x14ac:dyDescent="0.15">
      <c r="A655" t="s">
        <v>72</v>
      </c>
      <c r="B655" t="s">
        <v>12260</v>
      </c>
      <c r="C655" t="s">
        <v>74</v>
      </c>
      <c r="D655" t="s">
        <v>74</v>
      </c>
      <c r="E655" t="s">
        <v>74</v>
      </c>
      <c r="F655" t="s">
        <v>12261</v>
      </c>
      <c r="G655" t="s">
        <v>74</v>
      </c>
      <c r="H655" t="s">
        <v>74</v>
      </c>
      <c r="I655" t="s">
        <v>12262</v>
      </c>
      <c r="J655" t="s">
        <v>1226</v>
      </c>
      <c r="K655" t="s">
        <v>74</v>
      </c>
      <c r="L655" t="s">
        <v>74</v>
      </c>
      <c r="M655" t="s">
        <v>78</v>
      </c>
      <c r="N655" t="s">
        <v>79</v>
      </c>
      <c r="O655" t="s">
        <v>74</v>
      </c>
      <c r="P655" t="s">
        <v>74</v>
      </c>
      <c r="Q655" t="s">
        <v>74</v>
      </c>
      <c r="R655" t="s">
        <v>74</v>
      </c>
      <c r="S655" t="s">
        <v>74</v>
      </c>
      <c r="T655" t="s">
        <v>12263</v>
      </c>
      <c r="U655" t="s">
        <v>12264</v>
      </c>
      <c r="V655" t="s">
        <v>12265</v>
      </c>
      <c r="W655" t="s">
        <v>12266</v>
      </c>
      <c r="X655" t="s">
        <v>12267</v>
      </c>
      <c r="Y655" t="s">
        <v>12268</v>
      </c>
      <c r="Z655" t="s">
        <v>12269</v>
      </c>
      <c r="AA655" t="s">
        <v>74</v>
      </c>
      <c r="AB655" t="s">
        <v>12270</v>
      </c>
      <c r="AC655" t="s">
        <v>74</v>
      </c>
      <c r="AD655" t="s">
        <v>74</v>
      </c>
      <c r="AE655" t="s">
        <v>74</v>
      </c>
      <c r="AF655" t="s">
        <v>74</v>
      </c>
      <c r="AG655">
        <v>24</v>
      </c>
      <c r="AH655">
        <v>0</v>
      </c>
      <c r="AI655">
        <v>0</v>
      </c>
      <c r="AJ655">
        <v>0</v>
      </c>
      <c r="AK655">
        <v>0</v>
      </c>
      <c r="AL655" t="s">
        <v>317</v>
      </c>
      <c r="AM655" t="s">
        <v>245</v>
      </c>
      <c r="AN655" t="s">
        <v>318</v>
      </c>
      <c r="AO655" t="s">
        <v>74</v>
      </c>
      <c r="AP655" t="s">
        <v>1232</v>
      </c>
      <c r="AQ655" t="s">
        <v>74</v>
      </c>
      <c r="AR655" t="s">
        <v>1233</v>
      </c>
      <c r="AS655" t="s">
        <v>1234</v>
      </c>
      <c r="AT655" t="s">
        <v>11816</v>
      </c>
      <c r="AU655">
        <v>2023</v>
      </c>
      <c r="AV655">
        <v>15</v>
      </c>
      <c r="AW655">
        <v>8</v>
      </c>
      <c r="AX655" t="s">
        <v>74</v>
      </c>
      <c r="AY655" t="s">
        <v>74</v>
      </c>
      <c r="AZ655" t="s">
        <v>74</v>
      </c>
      <c r="BA655" t="s">
        <v>74</v>
      </c>
      <c r="BB655" t="s">
        <v>74</v>
      </c>
      <c r="BC655" t="s">
        <v>74</v>
      </c>
      <c r="BD655" t="s">
        <v>12271</v>
      </c>
      <c r="BE655" t="s">
        <v>12272</v>
      </c>
      <c r="BF655" t="str">
        <f>HYPERLINK("http://dx.doi.org/10.7759/cureus.44278","http://dx.doi.org/10.7759/cureus.44278")</f>
        <v>http://dx.doi.org/10.7759/cureus.44278</v>
      </c>
      <c r="BG655" t="s">
        <v>74</v>
      </c>
      <c r="BH655" t="s">
        <v>74</v>
      </c>
      <c r="BI655">
        <v>9</v>
      </c>
      <c r="BJ655" t="s">
        <v>1238</v>
      </c>
      <c r="BK655" t="s">
        <v>97</v>
      </c>
      <c r="BL655" t="s">
        <v>1239</v>
      </c>
      <c r="BM655" t="s">
        <v>12273</v>
      </c>
      <c r="BN655">
        <v>37772212</v>
      </c>
      <c r="BO655" t="s">
        <v>302</v>
      </c>
      <c r="BP655" t="s">
        <v>74</v>
      </c>
      <c r="BQ655" t="s">
        <v>74</v>
      </c>
      <c r="BR655" t="s">
        <v>99</v>
      </c>
      <c r="BS655" t="s">
        <v>12274</v>
      </c>
      <c r="BT655" t="str">
        <f>HYPERLINK("https%3A%2F%2Fwww.webofscience.com%2Fwos%2Fwoscc%2Ffull-record%2FWOS:001063050600026","View Full Record in Web of Science")</f>
        <v>View Full Record in Web of Science</v>
      </c>
    </row>
    <row r="656" spans="1:72" x14ac:dyDescent="0.15">
      <c r="A656" t="s">
        <v>72</v>
      </c>
      <c r="B656" t="s">
        <v>12275</v>
      </c>
      <c r="C656" t="s">
        <v>74</v>
      </c>
      <c r="D656" t="s">
        <v>74</v>
      </c>
      <c r="E656" t="s">
        <v>74</v>
      </c>
      <c r="F656" t="s">
        <v>12276</v>
      </c>
      <c r="G656" t="s">
        <v>74</v>
      </c>
      <c r="H656" t="s">
        <v>74</v>
      </c>
      <c r="I656" t="s">
        <v>12277</v>
      </c>
      <c r="J656" t="s">
        <v>12278</v>
      </c>
      <c r="K656" t="s">
        <v>74</v>
      </c>
      <c r="L656" t="s">
        <v>74</v>
      </c>
      <c r="M656" t="s">
        <v>78</v>
      </c>
      <c r="N656" t="s">
        <v>1246</v>
      </c>
      <c r="O656" t="s">
        <v>74</v>
      </c>
      <c r="P656" t="s">
        <v>74</v>
      </c>
      <c r="Q656" t="s">
        <v>74</v>
      </c>
      <c r="R656" t="s">
        <v>74</v>
      </c>
      <c r="S656" t="s">
        <v>74</v>
      </c>
      <c r="T656" t="s">
        <v>12279</v>
      </c>
      <c r="U656" t="s">
        <v>12280</v>
      </c>
      <c r="V656" t="s">
        <v>12281</v>
      </c>
      <c r="W656" t="s">
        <v>12282</v>
      </c>
      <c r="X656" t="s">
        <v>12283</v>
      </c>
      <c r="Y656" t="s">
        <v>12284</v>
      </c>
      <c r="Z656" t="s">
        <v>12285</v>
      </c>
      <c r="AA656" t="s">
        <v>12286</v>
      </c>
      <c r="AB656" t="s">
        <v>12287</v>
      </c>
      <c r="AC656" t="s">
        <v>12288</v>
      </c>
      <c r="AD656" t="s">
        <v>12289</v>
      </c>
      <c r="AE656" t="s">
        <v>12290</v>
      </c>
      <c r="AF656" t="s">
        <v>74</v>
      </c>
      <c r="AG656">
        <v>128</v>
      </c>
      <c r="AH656">
        <v>0</v>
      </c>
      <c r="AI656">
        <v>0</v>
      </c>
      <c r="AJ656">
        <v>1</v>
      </c>
      <c r="AK656">
        <v>1</v>
      </c>
      <c r="AL656" t="s">
        <v>117</v>
      </c>
      <c r="AM656" t="s">
        <v>627</v>
      </c>
      <c r="AN656" t="s">
        <v>628</v>
      </c>
      <c r="AO656" t="s">
        <v>12291</v>
      </c>
      <c r="AP656" t="s">
        <v>12292</v>
      </c>
      <c r="AQ656" t="s">
        <v>74</v>
      </c>
      <c r="AR656" t="s">
        <v>12293</v>
      </c>
      <c r="AS656" t="s">
        <v>12294</v>
      </c>
      <c r="AT656" t="s">
        <v>12295</v>
      </c>
      <c r="AU656">
        <v>2023</v>
      </c>
      <c r="AV656" t="s">
        <v>74</v>
      </c>
      <c r="AW656" t="s">
        <v>74</v>
      </c>
      <c r="AX656" t="s">
        <v>74</v>
      </c>
      <c r="AY656" t="s">
        <v>74</v>
      </c>
      <c r="AZ656" t="s">
        <v>74</v>
      </c>
      <c r="BA656" t="s">
        <v>74</v>
      </c>
      <c r="BB656" t="s">
        <v>74</v>
      </c>
      <c r="BC656" t="s">
        <v>74</v>
      </c>
      <c r="BD656" t="s">
        <v>74</v>
      </c>
      <c r="BE656" t="s">
        <v>12296</v>
      </c>
      <c r="BF656" t="str">
        <f>HYPERLINK("http://dx.doi.org/10.1007/s10530-023-03140-1","http://dx.doi.org/10.1007/s10530-023-03140-1")</f>
        <v>http://dx.doi.org/10.1007/s10530-023-03140-1</v>
      </c>
      <c r="BG656" t="s">
        <v>74</v>
      </c>
      <c r="BH656" t="s">
        <v>10650</v>
      </c>
      <c r="BI656">
        <v>20</v>
      </c>
      <c r="BJ656" t="s">
        <v>1508</v>
      </c>
      <c r="BK656" t="s">
        <v>126</v>
      </c>
      <c r="BL656" t="s">
        <v>1509</v>
      </c>
      <c r="BM656" t="s">
        <v>12297</v>
      </c>
      <c r="BN656" t="s">
        <v>74</v>
      </c>
      <c r="BO656" t="s">
        <v>183</v>
      </c>
      <c r="BP656" t="s">
        <v>74</v>
      </c>
      <c r="BQ656" t="s">
        <v>74</v>
      </c>
      <c r="BR656" t="s">
        <v>99</v>
      </c>
      <c r="BS656" t="s">
        <v>12298</v>
      </c>
      <c r="BT656" t="str">
        <f>HYPERLINK("https%3A%2F%2Fwww.webofscience.com%2Fwos%2Fwoscc%2Ffull-record%2FWOS:001060030700001","View Full Record in Web of Science")</f>
        <v>View Full Record in Web of Science</v>
      </c>
    </row>
    <row r="657" spans="1:72" x14ac:dyDescent="0.15">
      <c r="A657" t="s">
        <v>72</v>
      </c>
      <c r="B657" t="s">
        <v>12299</v>
      </c>
      <c r="C657" t="s">
        <v>74</v>
      </c>
      <c r="D657" t="s">
        <v>74</v>
      </c>
      <c r="E657" t="s">
        <v>74</v>
      </c>
      <c r="F657" t="s">
        <v>12300</v>
      </c>
      <c r="G657" t="s">
        <v>74</v>
      </c>
      <c r="H657" t="s">
        <v>74</v>
      </c>
      <c r="I657" t="s">
        <v>12301</v>
      </c>
      <c r="J657" t="s">
        <v>12302</v>
      </c>
      <c r="K657" t="s">
        <v>74</v>
      </c>
      <c r="L657" t="s">
        <v>74</v>
      </c>
      <c r="M657" t="s">
        <v>78</v>
      </c>
      <c r="N657" t="s">
        <v>2174</v>
      </c>
      <c r="O657" t="s">
        <v>74</v>
      </c>
      <c r="P657" t="s">
        <v>74</v>
      </c>
      <c r="Q657" t="s">
        <v>74</v>
      </c>
      <c r="R657" t="s">
        <v>74</v>
      </c>
      <c r="S657" t="s">
        <v>74</v>
      </c>
      <c r="T657" t="s">
        <v>12303</v>
      </c>
      <c r="U657" t="s">
        <v>12304</v>
      </c>
      <c r="V657" t="s">
        <v>12305</v>
      </c>
      <c r="W657" t="s">
        <v>12306</v>
      </c>
      <c r="X657" t="s">
        <v>12307</v>
      </c>
      <c r="Y657" t="s">
        <v>12308</v>
      </c>
      <c r="Z657" t="s">
        <v>12309</v>
      </c>
      <c r="AA657" t="s">
        <v>74</v>
      </c>
      <c r="AB657" t="s">
        <v>74</v>
      </c>
      <c r="AC657" t="s">
        <v>12310</v>
      </c>
      <c r="AD657" t="s">
        <v>12311</v>
      </c>
      <c r="AE657" t="s">
        <v>12312</v>
      </c>
      <c r="AF657" t="s">
        <v>74</v>
      </c>
      <c r="AG657">
        <v>57</v>
      </c>
      <c r="AH657">
        <v>0</v>
      </c>
      <c r="AI657">
        <v>0</v>
      </c>
      <c r="AJ657">
        <v>0</v>
      </c>
      <c r="AK657">
        <v>0</v>
      </c>
      <c r="AL657" t="s">
        <v>117</v>
      </c>
      <c r="AM657" t="s">
        <v>627</v>
      </c>
      <c r="AN657" t="s">
        <v>628</v>
      </c>
      <c r="AO657" t="s">
        <v>12313</v>
      </c>
      <c r="AP657" t="s">
        <v>12314</v>
      </c>
      <c r="AQ657" t="s">
        <v>74</v>
      </c>
      <c r="AR657" t="s">
        <v>12315</v>
      </c>
      <c r="AS657" t="s">
        <v>12316</v>
      </c>
      <c r="AT657" t="s">
        <v>12295</v>
      </c>
      <c r="AU657">
        <v>2023</v>
      </c>
      <c r="AV657" t="s">
        <v>74</v>
      </c>
      <c r="AW657" t="s">
        <v>74</v>
      </c>
      <c r="AX657" t="s">
        <v>74</v>
      </c>
      <c r="AY657" t="s">
        <v>74</v>
      </c>
      <c r="AZ657" t="s">
        <v>74</v>
      </c>
      <c r="BA657" t="s">
        <v>74</v>
      </c>
      <c r="BB657" t="s">
        <v>74</v>
      </c>
      <c r="BC657" t="s">
        <v>74</v>
      </c>
      <c r="BD657" t="s">
        <v>74</v>
      </c>
      <c r="BE657" t="s">
        <v>12317</v>
      </c>
      <c r="BF657" t="str">
        <f>HYPERLINK("http://dx.doi.org/10.1007/s10531-023-02703-x","http://dx.doi.org/10.1007/s10531-023-02703-x")</f>
        <v>http://dx.doi.org/10.1007/s10531-023-02703-x</v>
      </c>
      <c r="BG657" t="s">
        <v>74</v>
      </c>
      <c r="BH657" t="s">
        <v>10650</v>
      </c>
      <c r="BI657">
        <v>17</v>
      </c>
      <c r="BJ657" t="s">
        <v>12318</v>
      </c>
      <c r="BK657" t="s">
        <v>126</v>
      </c>
      <c r="BL657" t="s">
        <v>1509</v>
      </c>
      <c r="BM657" t="s">
        <v>12319</v>
      </c>
      <c r="BN657" t="s">
        <v>74</v>
      </c>
      <c r="BO657" t="s">
        <v>183</v>
      </c>
      <c r="BP657" t="s">
        <v>74</v>
      </c>
      <c r="BQ657" t="s">
        <v>74</v>
      </c>
      <c r="BR657" t="s">
        <v>99</v>
      </c>
      <c r="BS657" t="s">
        <v>12320</v>
      </c>
      <c r="BT657" t="str">
        <f>HYPERLINK("https%3A%2F%2Fwww.webofscience.com%2Fwos%2Fwoscc%2Ffull-record%2FWOS:001061991300001","View Full Record in Web of Science")</f>
        <v>View Full Record in Web of Science</v>
      </c>
    </row>
    <row r="658" spans="1:72" x14ac:dyDescent="0.15">
      <c r="A658" t="s">
        <v>72</v>
      </c>
      <c r="B658" t="s">
        <v>12321</v>
      </c>
      <c r="C658" t="s">
        <v>74</v>
      </c>
      <c r="D658" t="s">
        <v>74</v>
      </c>
      <c r="E658" t="s">
        <v>74</v>
      </c>
      <c r="F658" t="s">
        <v>12322</v>
      </c>
      <c r="G658" t="s">
        <v>74</v>
      </c>
      <c r="H658" t="s">
        <v>74</v>
      </c>
      <c r="I658" t="s">
        <v>12323</v>
      </c>
      <c r="J658" t="s">
        <v>12324</v>
      </c>
      <c r="K658" t="s">
        <v>74</v>
      </c>
      <c r="L658" t="s">
        <v>74</v>
      </c>
      <c r="M658" t="s">
        <v>78</v>
      </c>
      <c r="N658" t="s">
        <v>1246</v>
      </c>
      <c r="O658" t="s">
        <v>74</v>
      </c>
      <c r="P658" t="s">
        <v>74</v>
      </c>
      <c r="Q658" t="s">
        <v>74</v>
      </c>
      <c r="R658" t="s">
        <v>74</v>
      </c>
      <c r="S658" t="s">
        <v>74</v>
      </c>
      <c r="T658" t="s">
        <v>12325</v>
      </c>
      <c r="U658" t="s">
        <v>12326</v>
      </c>
      <c r="V658" t="s">
        <v>12327</v>
      </c>
      <c r="W658" t="s">
        <v>12328</v>
      </c>
      <c r="X658" t="s">
        <v>12329</v>
      </c>
      <c r="Y658" t="s">
        <v>12330</v>
      </c>
      <c r="Z658" t="s">
        <v>12331</v>
      </c>
      <c r="AA658" t="s">
        <v>74</v>
      </c>
      <c r="AB658" t="s">
        <v>74</v>
      </c>
      <c r="AC658" t="s">
        <v>74</v>
      </c>
      <c r="AD658" t="s">
        <v>74</v>
      </c>
      <c r="AE658" t="s">
        <v>74</v>
      </c>
      <c r="AF658" t="s">
        <v>74</v>
      </c>
      <c r="AG658">
        <v>116</v>
      </c>
      <c r="AH658">
        <v>0</v>
      </c>
      <c r="AI658">
        <v>0</v>
      </c>
      <c r="AJ658">
        <v>5</v>
      </c>
      <c r="AK658">
        <v>5</v>
      </c>
      <c r="AL658" t="s">
        <v>117</v>
      </c>
      <c r="AM658" t="s">
        <v>627</v>
      </c>
      <c r="AN658" t="s">
        <v>628</v>
      </c>
      <c r="AO658" t="s">
        <v>12332</v>
      </c>
      <c r="AP658" t="s">
        <v>12333</v>
      </c>
      <c r="AQ658" t="s">
        <v>74</v>
      </c>
      <c r="AR658" t="s">
        <v>12334</v>
      </c>
      <c r="AS658" t="s">
        <v>12335</v>
      </c>
      <c r="AT658" t="s">
        <v>12295</v>
      </c>
      <c r="AU658">
        <v>2023</v>
      </c>
      <c r="AV658" t="s">
        <v>74</v>
      </c>
      <c r="AW658" t="s">
        <v>74</v>
      </c>
      <c r="AX658" t="s">
        <v>74</v>
      </c>
      <c r="AY658" t="s">
        <v>74</v>
      </c>
      <c r="AZ658" t="s">
        <v>74</v>
      </c>
      <c r="BA658" t="s">
        <v>74</v>
      </c>
      <c r="BB658" t="s">
        <v>74</v>
      </c>
      <c r="BC658" t="s">
        <v>74</v>
      </c>
      <c r="BD658" t="s">
        <v>74</v>
      </c>
      <c r="BE658" t="s">
        <v>12336</v>
      </c>
      <c r="BF658" t="str">
        <f>HYPERLINK("http://dx.doi.org/10.1007/s10668-023-03597","http://dx.doi.org/10.1007/s10668-023-03597")</f>
        <v>http://dx.doi.org/10.1007/s10668-023-03597</v>
      </c>
      <c r="BG658" t="s">
        <v>74</v>
      </c>
      <c r="BH658" t="s">
        <v>10650</v>
      </c>
      <c r="BI658">
        <v>29</v>
      </c>
      <c r="BJ658" t="s">
        <v>12337</v>
      </c>
      <c r="BK658" t="s">
        <v>126</v>
      </c>
      <c r="BL658" t="s">
        <v>12338</v>
      </c>
      <c r="BM658" t="s">
        <v>12339</v>
      </c>
      <c r="BN658" t="s">
        <v>74</v>
      </c>
      <c r="BO658" t="s">
        <v>74</v>
      </c>
      <c r="BP658" t="s">
        <v>74</v>
      </c>
      <c r="BQ658" t="s">
        <v>74</v>
      </c>
      <c r="BR658" t="s">
        <v>99</v>
      </c>
      <c r="BS658" t="s">
        <v>12340</v>
      </c>
      <c r="BT658" t="str">
        <f>HYPERLINK("https%3A%2F%2Fwww.webofscience.com%2Fwos%2Fwoscc%2Ffull-record%2FWOS:001060429300001","View Full Record in Web of Science")</f>
        <v>View Full Record in Web of Science</v>
      </c>
    </row>
    <row r="659" spans="1:72" x14ac:dyDescent="0.15">
      <c r="A659" t="s">
        <v>72</v>
      </c>
      <c r="B659" t="s">
        <v>12341</v>
      </c>
      <c r="C659" t="s">
        <v>74</v>
      </c>
      <c r="D659" t="s">
        <v>74</v>
      </c>
      <c r="E659" t="s">
        <v>74</v>
      </c>
      <c r="F659" t="s">
        <v>12342</v>
      </c>
      <c r="G659" t="s">
        <v>74</v>
      </c>
      <c r="H659" t="s">
        <v>74</v>
      </c>
      <c r="I659" t="s">
        <v>12343</v>
      </c>
      <c r="J659" t="s">
        <v>12344</v>
      </c>
      <c r="K659" t="s">
        <v>74</v>
      </c>
      <c r="L659" t="s">
        <v>74</v>
      </c>
      <c r="M659" t="s">
        <v>78</v>
      </c>
      <c r="N659" t="s">
        <v>1246</v>
      </c>
      <c r="O659" t="s">
        <v>74</v>
      </c>
      <c r="P659" t="s">
        <v>74</v>
      </c>
      <c r="Q659" t="s">
        <v>74</v>
      </c>
      <c r="R659" t="s">
        <v>74</v>
      </c>
      <c r="S659" t="s">
        <v>74</v>
      </c>
      <c r="T659" t="s">
        <v>12345</v>
      </c>
      <c r="U659" t="s">
        <v>12346</v>
      </c>
      <c r="V659" t="s">
        <v>12347</v>
      </c>
      <c r="W659" t="s">
        <v>12348</v>
      </c>
      <c r="X659" t="s">
        <v>12349</v>
      </c>
      <c r="Y659" t="s">
        <v>12350</v>
      </c>
      <c r="Z659" t="s">
        <v>12351</v>
      </c>
      <c r="AA659" t="s">
        <v>74</v>
      </c>
      <c r="AB659" t="s">
        <v>74</v>
      </c>
      <c r="AC659" t="s">
        <v>12352</v>
      </c>
      <c r="AD659" t="s">
        <v>12352</v>
      </c>
      <c r="AE659" t="s">
        <v>12353</v>
      </c>
      <c r="AF659" t="s">
        <v>74</v>
      </c>
      <c r="AG659">
        <v>50</v>
      </c>
      <c r="AH659">
        <v>0</v>
      </c>
      <c r="AI659">
        <v>0</v>
      </c>
      <c r="AJ659">
        <v>0</v>
      </c>
      <c r="AK659">
        <v>0</v>
      </c>
      <c r="AL659" t="s">
        <v>117</v>
      </c>
      <c r="AM659" t="s">
        <v>627</v>
      </c>
      <c r="AN659" t="s">
        <v>628</v>
      </c>
      <c r="AO659" t="s">
        <v>12354</v>
      </c>
      <c r="AP659" t="s">
        <v>12355</v>
      </c>
      <c r="AQ659" t="s">
        <v>74</v>
      </c>
      <c r="AR659" t="s">
        <v>12344</v>
      </c>
      <c r="AS659" t="s">
        <v>12356</v>
      </c>
      <c r="AT659" t="s">
        <v>12295</v>
      </c>
      <c r="AU659">
        <v>2023</v>
      </c>
      <c r="AV659" t="s">
        <v>74</v>
      </c>
      <c r="AW659" t="s">
        <v>74</v>
      </c>
      <c r="AX659" t="s">
        <v>74</v>
      </c>
      <c r="AY659" t="s">
        <v>74</v>
      </c>
      <c r="AZ659" t="s">
        <v>74</v>
      </c>
      <c r="BA659" t="s">
        <v>74</v>
      </c>
      <c r="BB659" t="s">
        <v>74</v>
      </c>
      <c r="BC659" t="s">
        <v>74</v>
      </c>
      <c r="BD659" t="s">
        <v>74</v>
      </c>
      <c r="BE659" t="s">
        <v>12357</v>
      </c>
      <c r="BF659" t="str">
        <f>HYPERLINK("http://dx.doi.org/10.1007/s11127-023-01093-6","http://dx.doi.org/10.1007/s11127-023-01093-6")</f>
        <v>http://dx.doi.org/10.1007/s11127-023-01093-6</v>
      </c>
      <c r="BG659" t="s">
        <v>74</v>
      </c>
      <c r="BH659" t="s">
        <v>10650</v>
      </c>
      <c r="BI659">
        <v>25</v>
      </c>
      <c r="BJ659" t="s">
        <v>12358</v>
      </c>
      <c r="BK659" t="s">
        <v>425</v>
      </c>
      <c r="BL659" t="s">
        <v>11892</v>
      </c>
      <c r="BM659" t="s">
        <v>12359</v>
      </c>
      <c r="BN659" t="s">
        <v>74</v>
      </c>
      <c r="BO659" t="s">
        <v>74</v>
      </c>
      <c r="BP659" t="s">
        <v>74</v>
      </c>
      <c r="BQ659" t="s">
        <v>74</v>
      </c>
      <c r="BR659" t="s">
        <v>99</v>
      </c>
      <c r="BS659" t="s">
        <v>12360</v>
      </c>
      <c r="BT659" t="str">
        <f>HYPERLINK("https%3A%2F%2Fwww.webofscience.com%2Fwos%2Fwoscc%2Ffull-record%2FWOS:001059980000002","View Full Record in Web of Science")</f>
        <v>View Full Record in Web of Science</v>
      </c>
    </row>
    <row r="660" spans="1:72" x14ac:dyDescent="0.15">
      <c r="A660" t="s">
        <v>72</v>
      </c>
      <c r="B660" t="s">
        <v>12361</v>
      </c>
      <c r="C660" t="s">
        <v>74</v>
      </c>
      <c r="D660" t="s">
        <v>74</v>
      </c>
      <c r="E660" t="s">
        <v>74</v>
      </c>
      <c r="F660" t="s">
        <v>12362</v>
      </c>
      <c r="G660" t="s">
        <v>74</v>
      </c>
      <c r="H660" t="s">
        <v>74</v>
      </c>
      <c r="I660" t="s">
        <v>12363</v>
      </c>
      <c r="J660" t="s">
        <v>12364</v>
      </c>
      <c r="K660" t="s">
        <v>74</v>
      </c>
      <c r="L660" t="s">
        <v>74</v>
      </c>
      <c r="M660" t="s">
        <v>78</v>
      </c>
      <c r="N660" t="s">
        <v>1246</v>
      </c>
      <c r="O660" t="s">
        <v>74</v>
      </c>
      <c r="P660" t="s">
        <v>74</v>
      </c>
      <c r="Q660" t="s">
        <v>74</v>
      </c>
      <c r="R660" t="s">
        <v>74</v>
      </c>
      <c r="S660" t="s">
        <v>74</v>
      </c>
      <c r="T660" t="s">
        <v>12365</v>
      </c>
      <c r="U660" t="s">
        <v>12366</v>
      </c>
      <c r="V660" t="s">
        <v>12367</v>
      </c>
      <c r="W660" t="s">
        <v>12368</v>
      </c>
      <c r="X660" t="s">
        <v>12369</v>
      </c>
      <c r="Y660" t="s">
        <v>12370</v>
      </c>
      <c r="Z660" t="s">
        <v>12371</v>
      </c>
      <c r="AA660" t="s">
        <v>74</v>
      </c>
      <c r="AB660" t="s">
        <v>12372</v>
      </c>
      <c r="AC660" t="s">
        <v>12373</v>
      </c>
      <c r="AD660" t="s">
        <v>12373</v>
      </c>
      <c r="AE660" t="s">
        <v>12373</v>
      </c>
      <c r="AF660" t="s">
        <v>74</v>
      </c>
      <c r="AG660">
        <v>60</v>
      </c>
      <c r="AH660">
        <v>0</v>
      </c>
      <c r="AI660">
        <v>0</v>
      </c>
      <c r="AJ660">
        <v>3</v>
      </c>
      <c r="AK660">
        <v>3</v>
      </c>
      <c r="AL660" t="s">
        <v>117</v>
      </c>
      <c r="AM660" t="s">
        <v>627</v>
      </c>
      <c r="AN660" t="s">
        <v>628</v>
      </c>
      <c r="AO660" t="s">
        <v>12374</v>
      </c>
      <c r="AP660" t="s">
        <v>12375</v>
      </c>
      <c r="AQ660" t="s">
        <v>74</v>
      </c>
      <c r="AR660" t="s">
        <v>12376</v>
      </c>
      <c r="AS660" t="s">
        <v>12377</v>
      </c>
      <c r="AT660" t="s">
        <v>12295</v>
      </c>
      <c r="AU660">
        <v>2023</v>
      </c>
      <c r="AV660" t="s">
        <v>74</v>
      </c>
      <c r="AW660" t="s">
        <v>74</v>
      </c>
      <c r="AX660" t="s">
        <v>74</v>
      </c>
      <c r="AY660" t="s">
        <v>74</v>
      </c>
      <c r="AZ660" t="s">
        <v>74</v>
      </c>
      <c r="BA660" t="s">
        <v>74</v>
      </c>
      <c r="BB660" t="s">
        <v>74</v>
      </c>
      <c r="BC660" t="s">
        <v>74</v>
      </c>
      <c r="BD660" t="s">
        <v>74</v>
      </c>
      <c r="BE660" t="s">
        <v>12378</v>
      </c>
      <c r="BF660" t="str">
        <f>HYPERLINK("http://dx.doi.org/10.1007/s11013-023-09831-7","http://dx.doi.org/10.1007/s11013-023-09831-7")</f>
        <v>http://dx.doi.org/10.1007/s11013-023-09831-7</v>
      </c>
      <c r="BG660" t="s">
        <v>74</v>
      </c>
      <c r="BH660" t="s">
        <v>10650</v>
      </c>
      <c r="BI660">
        <v>21</v>
      </c>
      <c r="BJ660" t="s">
        <v>12379</v>
      </c>
      <c r="BK660" t="s">
        <v>425</v>
      </c>
      <c r="BL660" t="s">
        <v>12380</v>
      </c>
      <c r="BM660" t="s">
        <v>12381</v>
      </c>
      <c r="BN660">
        <v>37634233</v>
      </c>
      <c r="BO660" t="s">
        <v>74</v>
      </c>
      <c r="BP660" t="s">
        <v>74</v>
      </c>
      <c r="BQ660" t="s">
        <v>74</v>
      </c>
      <c r="BR660" t="s">
        <v>99</v>
      </c>
      <c r="BS660" t="s">
        <v>12382</v>
      </c>
      <c r="BT660" t="str">
        <f>HYPERLINK("https%3A%2F%2Fwww.webofscience.com%2Fwos%2Fwoscc%2Ffull-record%2FWOS:001060024300001","View Full Record in Web of Science")</f>
        <v>View Full Record in Web of Science</v>
      </c>
    </row>
    <row r="661" spans="1:72" x14ac:dyDescent="0.15">
      <c r="A661" t="s">
        <v>72</v>
      </c>
      <c r="B661" t="s">
        <v>12383</v>
      </c>
      <c r="C661" t="s">
        <v>74</v>
      </c>
      <c r="D661" t="s">
        <v>74</v>
      </c>
      <c r="E661" t="s">
        <v>74</v>
      </c>
      <c r="F661" t="s">
        <v>12384</v>
      </c>
      <c r="G661" t="s">
        <v>74</v>
      </c>
      <c r="H661" t="s">
        <v>74</v>
      </c>
      <c r="I661" t="s">
        <v>12385</v>
      </c>
      <c r="J661" t="s">
        <v>12386</v>
      </c>
      <c r="K661" t="s">
        <v>74</v>
      </c>
      <c r="L661" t="s">
        <v>74</v>
      </c>
      <c r="M661" t="s">
        <v>78</v>
      </c>
      <c r="N661" t="s">
        <v>79</v>
      </c>
      <c r="O661" t="s">
        <v>74</v>
      </c>
      <c r="P661" t="s">
        <v>74</v>
      </c>
      <c r="Q661" t="s">
        <v>74</v>
      </c>
      <c r="R661" t="s">
        <v>74</v>
      </c>
      <c r="S661" t="s">
        <v>74</v>
      </c>
      <c r="T661" t="s">
        <v>12387</v>
      </c>
      <c r="U661" t="s">
        <v>12388</v>
      </c>
      <c r="V661" t="s">
        <v>12389</v>
      </c>
      <c r="W661" t="s">
        <v>12390</v>
      </c>
      <c r="X661" t="s">
        <v>12391</v>
      </c>
      <c r="Y661" t="s">
        <v>12392</v>
      </c>
      <c r="Z661" t="s">
        <v>12393</v>
      </c>
      <c r="AA661" t="s">
        <v>74</v>
      </c>
      <c r="AB661" t="s">
        <v>74</v>
      </c>
      <c r="AC661" t="s">
        <v>932</v>
      </c>
      <c r="AD661" t="s">
        <v>932</v>
      </c>
      <c r="AE661" t="s">
        <v>932</v>
      </c>
      <c r="AF661" t="s">
        <v>74</v>
      </c>
      <c r="AG661">
        <v>20</v>
      </c>
      <c r="AH661">
        <v>0</v>
      </c>
      <c r="AI661">
        <v>0</v>
      </c>
      <c r="AJ661">
        <v>0</v>
      </c>
      <c r="AK661">
        <v>0</v>
      </c>
      <c r="AL661" t="s">
        <v>317</v>
      </c>
      <c r="AM661" t="s">
        <v>245</v>
      </c>
      <c r="AN661" t="s">
        <v>318</v>
      </c>
      <c r="AO661" t="s">
        <v>74</v>
      </c>
      <c r="AP661" t="s">
        <v>12394</v>
      </c>
      <c r="AQ661" t="s">
        <v>74</v>
      </c>
      <c r="AR661" t="s">
        <v>12395</v>
      </c>
      <c r="AS661" t="s">
        <v>12396</v>
      </c>
      <c r="AT661" t="s">
        <v>12397</v>
      </c>
      <c r="AU661">
        <v>2023</v>
      </c>
      <c r="AV661">
        <v>6</v>
      </c>
      <c r="AW661">
        <v>1</v>
      </c>
      <c r="AX661" t="s">
        <v>74</v>
      </c>
      <c r="AY661" t="s">
        <v>74</v>
      </c>
      <c r="AZ661" t="s">
        <v>74</v>
      </c>
      <c r="BA661" t="s">
        <v>74</v>
      </c>
      <c r="BB661" t="s">
        <v>74</v>
      </c>
      <c r="BC661" t="s">
        <v>74</v>
      </c>
      <c r="BD661">
        <v>43</v>
      </c>
      <c r="BE661" t="s">
        <v>12398</v>
      </c>
      <c r="BF661" t="str">
        <f>HYPERLINK("http://dx.doi.org/10.1186/s42155-023-00393-8","http://dx.doi.org/10.1186/s42155-023-00393-8")</f>
        <v>http://dx.doi.org/10.1186/s42155-023-00393-8</v>
      </c>
      <c r="BG661" t="s">
        <v>74</v>
      </c>
      <c r="BH661" t="s">
        <v>74</v>
      </c>
      <c r="BI661">
        <v>6</v>
      </c>
      <c r="BJ661" t="s">
        <v>12399</v>
      </c>
      <c r="BK661" t="s">
        <v>97</v>
      </c>
      <c r="BL661" t="s">
        <v>3151</v>
      </c>
      <c r="BM661" t="s">
        <v>12400</v>
      </c>
      <c r="BN661">
        <v>37632599</v>
      </c>
      <c r="BO661" t="s">
        <v>302</v>
      </c>
      <c r="BP661" t="s">
        <v>74</v>
      </c>
      <c r="BQ661" t="s">
        <v>74</v>
      </c>
      <c r="BR661" t="s">
        <v>99</v>
      </c>
      <c r="BS661" t="s">
        <v>12401</v>
      </c>
      <c r="BT661" t="str">
        <f>HYPERLINK("https%3A%2F%2Fwww.webofscience.com%2Fwos%2Fwoscc%2Ffull-record%2FWOS:001054741700001","View Full Record in Web of Science")</f>
        <v>View Full Record in Web of Science</v>
      </c>
    </row>
    <row r="662" spans="1:72" x14ac:dyDescent="0.15">
      <c r="A662" t="s">
        <v>72</v>
      </c>
      <c r="B662" t="s">
        <v>12402</v>
      </c>
      <c r="C662" t="s">
        <v>74</v>
      </c>
      <c r="D662" t="s">
        <v>74</v>
      </c>
      <c r="E662" t="s">
        <v>74</v>
      </c>
      <c r="F662" t="s">
        <v>12403</v>
      </c>
      <c r="G662" t="s">
        <v>74</v>
      </c>
      <c r="H662" t="s">
        <v>74</v>
      </c>
      <c r="I662" t="s">
        <v>12404</v>
      </c>
      <c r="J662" t="s">
        <v>12405</v>
      </c>
      <c r="K662" t="s">
        <v>74</v>
      </c>
      <c r="L662" t="s">
        <v>74</v>
      </c>
      <c r="M662" t="s">
        <v>78</v>
      </c>
      <c r="N662" t="s">
        <v>1246</v>
      </c>
      <c r="O662" t="s">
        <v>74</v>
      </c>
      <c r="P662" t="s">
        <v>74</v>
      </c>
      <c r="Q662" t="s">
        <v>74</v>
      </c>
      <c r="R662" t="s">
        <v>74</v>
      </c>
      <c r="S662" t="s">
        <v>74</v>
      </c>
      <c r="T662" t="s">
        <v>12406</v>
      </c>
      <c r="U662" t="s">
        <v>12407</v>
      </c>
      <c r="V662" t="s">
        <v>12408</v>
      </c>
      <c r="W662" t="s">
        <v>12409</v>
      </c>
      <c r="X662" t="s">
        <v>12410</v>
      </c>
      <c r="Y662" t="s">
        <v>12411</v>
      </c>
      <c r="Z662" t="s">
        <v>12412</v>
      </c>
      <c r="AA662" t="s">
        <v>74</v>
      </c>
      <c r="AB662" t="s">
        <v>12413</v>
      </c>
      <c r="AC662" t="s">
        <v>12414</v>
      </c>
      <c r="AD662" t="s">
        <v>12415</v>
      </c>
      <c r="AE662" t="s">
        <v>12416</v>
      </c>
      <c r="AF662" t="s">
        <v>74</v>
      </c>
      <c r="AG662">
        <v>56</v>
      </c>
      <c r="AH662">
        <v>0</v>
      </c>
      <c r="AI662">
        <v>0</v>
      </c>
      <c r="AJ662">
        <v>0</v>
      </c>
      <c r="AK662">
        <v>0</v>
      </c>
      <c r="AL662" t="s">
        <v>117</v>
      </c>
      <c r="AM662" t="s">
        <v>627</v>
      </c>
      <c r="AN662" t="s">
        <v>628</v>
      </c>
      <c r="AO662" t="s">
        <v>12417</v>
      </c>
      <c r="AP662" t="s">
        <v>12418</v>
      </c>
      <c r="AQ662" t="s">
        <v>74</v>
      </c>
      <c r="AR662" t="s">
        <v>12419</v>
      </c>
      <c r="AS662" t="s">
        <v>12420</v>
      </c>
      <c r="AT662" t="s">
        <v>12421</v>
      </c>
      <c r="AU662">
        <v>2023</v>
      </c>
      <c r="AV662" t="s">
        <v>74</v>
      </c>
      <c r="AW662" t="s">
        <v>74</v>
      </c>
      <c r="AX662" t="s">
        <v>74</v>
      </c>
      <c r="AY662" t="s">
        <v>74</v>
      </c>
      <c r="AZ662" t="s">
        <v>74</v>
      </c>
      <c r="BA662" t="s">
        <v>74</v>
      </c>
      <c r="BB662" t="s">
        <v>74</v>
      </c>
      <c r="BC662" t="s">
        <v>74</v>
      </c>
      <c r="BD662" t="s">
        <v>74</v>
      </c>
      <c r="BE662" t="s">
        <v>12422</v>
      </c>
      <c r="BF662" t="str">
        <f>HYPERLINK("http://dx.doi.org/10.1007/s10479-023-05552-7","http://dx.doi.org/10.1007/s10479-023-05552-7")</f>
        <v>http://dx.doi.org/10.1007/s10479-023-05552-7</v>
      </c>
      <c r="BG662" t="s">
        <v>74</v>
      </c>
      <c r="BH662" t="s">
        <v>10650</v>
      </c>
      <c r="BI662">
        <v>26</v>
      </c>
      <c r="BJ662" t="s">
        <v>12423</v>
      </c>
      <c r="BK662" t="s">
        <v>126</v>
      </c>
      <c r="BL662" t="s">
        <v>12423</v>
      </c>
      <c r="BM662" t="s">
        <v>12424</v>
      </c>
      <c r="BN662" t="s">
        <v>74</v>
      </c>
      <c r="BO662" t="s">
        <v>74</v>
      </c>
      <c r="BP662" t="s">
        <v>74</v>
      </c>
      <c r="BQ662" t="s">
        <v>74</v>
      </c>
      <c r="BR662" t="s">
        <v>99</v>
      </c>
      <c r="BS662" t="s">
        <v>12425</v>
      </c>
      <c r="BT662" t="str">
        <f>HYPERLINK("https%3A%2F%2Fwww.webofscience.com%2Fwos%2Fwoscc%2Ffull-record%2FWOS:001059964800001","View Full Record in Web of Science")</f>
        <v>View Full Record in Web of Science</v>
      </c>
    </row>
    <row r="663" spans="1:72" x14ac:dyDescent="0.15">
      <c r="A663" t="s">
        <v>72</v>
      </c>
      <c r="B663" t="s">
        <v>12426</v>
      </c>
      <c r="C663" t="s">
        <v>74</v>
      </c>
      <c r="D663" t="s">
        <v>74</v>
      </c>
      <c r="E663" t="s">
        <v>74</v>
      </c>
      <c r="F663" t="s">
        <v>12427</v>
      </c>
      <c r="G663" t="s">
        <v>74</v>
      </c>
      <c r="H663" t="s">
        <v>74</v>
      </c>
      <c r="I663" t="s">
        <v>12428</v>
      </c>
      <c r="J663" t="s">
        <v>6927</v>
      </c>
      <c r="K663" t="s">
        <v>74</v>
      </c>
      <c r="L663" t="s">
        <v>74</v>
      </c>
      <c r="M663" t="s">
        <v>78</v>
      </c>
      <c r="N663" t="s">
        <v>3139</v>
      </c>
      <c r="O663" t="s">
        <v>74</v>
      </c>
      <c r="P663" t="s">
        <v>74</v>
      </c>
      <c r="Q663" t="s">
        <v>74</v>
      </c>
      <c r="R663" t="s">
        <v>74</v>
      </c>
      <c r="S663" t="s">
        <v>74</v>
      </c>
      <c r="T663" t="s">
        <v>74</v>
      </c>
      <c r="U663" t="s">
        <v>74</v>
      </c>
      <c r="V663" t="s">
        <v>74</v>
      </c>
      <c r="W663" t="s">
        <v>12429</v>
      </c>
      <c r="X663" t="s">
        <v>12430</v>
      </c>
      <c r="Y663" t="s">
        <v>12431</v>
      </c>
      <c r="Z663" t="s">
        <v>12432</v>
      </c>
      <c r="AA663" t="s">
        <v>74</v>
      </c>
      <c r="AB663" t="s">
        <v>12433</v>
      </c>
      <c r="AC663" t="s">
        <v>74</v>
      </c>
      <c r="AD663" t="s">
        <v>74</v>
      </c>
      <c r="AE663" t="s">
        <v>74</v>
      </c>
      <c r="AF663" t="s">
        <v>74</v>
      </c>
      <c r="AG663">
        <v>0</v>
      </c>
      <c r="AH663">
        <v>0</v>
      </c>
      <c r="AI663">
        <v>0</v>
      </c>
      <c r="AJ663">
        <v>0</v>
      </c>
      <c r="AK663">
        <v>0</v>
      </c>
      <c r="AL663" t="s">
        <v>117</v>
      </c>
      <c r="AM663" t="s">
        <v>118</v>
      </c>
      <c r="AN663" t="s">
        <v>119</v>
      </c>
      <c r="AO663" t="s">
        <v>6933</v>
      </c>
      <c r="AP663" t="s">
        <v>6934</v>
      </c>
      <c r="AQ663" t="s">
        <v>74</v>
      </c>
      <c r="AR663" t="s">
        <v>6935</v>
      </c>
      <c r="AS663" t="s">
        <v>6936</v>
      </c>
      <c r="AT663" t="s">
        <v>12421</v>
      </c>
      <c r="AU663">
        <v>2023</v>
      </c>
      <c r="AV663" t="s">
        <v>74</v>
      </c>
      <c r="AW663" t="s">
        <v>74</v>
      </c>
      <c r="AX663" t="s">
        <v>74</v>
      </c>
      <c r="AY663" t="s">
        <v>74</v>
      </c>
      <c r="AZ663" t="s">
        <v>74</v>
      </c>
      <c r="BA663" t="s">
        <v>74</v>
      </c>
      <c r="BB663" t="s">
        <v>74</v>
      </c>
      <c r="BC663" t="s">
        <v>74</v>
      </c>
      <c r="BD663" t="s">
        <v>74</v>
      </c>
      <c r="BE663" t="s">
        <v>12434</v>
      </c>
      <c r="BF663" t="str">
        <f>HYPERLINK("http://dx.doi.org/10.1245/s10434-023-13992-5","http://dx.doi.org/10.1245/s10434-023-13992-5")</f>
        <v>http://dx.doi.org/10.1245/s10434-023-13992-5</v>
      </c>
      <c r="BG663" t="s">
        <v>74</v>
      </c>
      <c r="BH663" t="s">
        <v>10650</v>
      </c>
      <c r="BI663">
        <v>1</v>
      </c>
      <c r="BJ663" t="s">
        <v>6938</v>
      </c>
      <c r="BK663" t="s">
        <v>126</v>
      </c>
      <c r="BL663" t="s">
        <v>6938</v>
      </c>
      <c r="BM663" t="s">
        <v>12435</v>
      </c>
      <c r="BN663">
        <v>37626253</v>
      </c>
      <c r="BO663" t="s">
        <v>762</v>
      </c>
      <c r="BP663" t="s">
        <v>74</v>
      </c>
      <c r="BQ663" t="s">
        <v>74</v>
      </c>
      <c r="BR663" t="s">
        <v>99</v>
      </c>
      <c r="BS663" t="s">
        <v>12436</v>
      </c>
      <c r="BT663" t="str">
        <f>HYPERLINK("https%3A%2F%2Fwww.webofscience.com%2Fwos%2Fwoscc%2Ffull-record%2FWOS:001064749900001","View Full Record in Web of Science")</f>
        <v>View Full Record in Web of Science</v>
      </c>
    </row>
    <row r="664" spans="1:72" x14ac:dyDescent="0.15">
      <c r="A664" t="s">
        <v>72</v>
      </c>
      <c r="B664" t="s">
        <v>12437</v>
      </c>
      <c r="C664" t="s">
        <v>74</v>
      </c>
      <c r="D664" t="s">
        <v>74</v>
      </c>
      <c r="E664" t="s">
        <v>74</v>
      </c>
      <c r="F664" t="s">
        <v>12438</v>
      </c>
      <c r="G664" t="s">
        <v>74</v>
      </c>
      <c r="H664" t="s">
        <v>74</v>
      </c>
      <c r="I664" t="s">
        <v>12439</v>
      </c>
      <c r="J664" t="s">
        <v>12440</v>
      </c>
      <c r="K664" t="s">
        <v>74</v>
      </c>
      <c r="L664" t="s">
        <v>74</v>
      </c>
      <c r="M664" t="s">
        <v>78</v>
      </c>
      <c r="N664" t="s">
        <v>1246</v>
      </c>
      <c r="O664" t="s">
        <v>74</v>
      </c>
      <c r="P664" t="s">
        <v>74</v>
      </c>
      <c r="Q664" t="s">
        <v>74</v>
      </c>
      <c r="R664" t="s">
        <v>74</v>
      </c>
      <c r="S664" t="s">
        <v>74</v>
      </c>
      <c r="T664" t="s">
        <v>12441</v>
      </c>
      <c r="U664" t="s">
        <v>74</v>
      </c>
      <c r="V664" t="s">
        <v>12442</v>
      </c>
      <c r="W664" t="s">
        <v>12443</v>
      </c>
      <c r="X664" t="s">
        <v>12444</v>
      </c>
      <c r="Y664" t="s">
        <v>12445</v>
      </c>
      <c r="Z664" t="s">
        <v>12446</v>
      </c>
      <c r="AA664" t="s">
        <v>74</v>
      </c>
      <c r="AB664" t="s">
        <v>74</v>
      </c>
      <c r="AC664" t="s">
        <v>74</v>
      </c>
      <c r="AD664" t="s">
        <v>74</v>
      </c>
      <c r="AE664" t="s">
        <v>74</v>
      </c>
      <c r="AF664" t="s">
        <v>74</v>
      </c>
      <c r="AG664">
        <v>20</v>
      </c>
      <c r="AH664">
        <v>0</v>
      </c>
      <c r="AI664">
        <v>0</v>
      </c>
      <c r="AJ664">
        <v>0</v>
      </c>
      <c r="AK664">
        <v>0</v>
      </c>
      <c r="AL664" t="s">
        <v>117</v>
      </c>
      <c r="AM664" t="s">
        <v>118</v>
      </c>
      <c r="AN664" t="s">
        <v>119</v>
      </c>
      <c r="AO664" t="s">
        <v>12447</v>
      </c>
      <c r="AP664" t="s">
        <v>12448</v>
      </c>
      <c r="AQ664" t="s">
        <v>74</v>
      </c>
      <c r="AR664" t="s">
        <v>12449</v>
      </c>
      <c r="AS664" t="s">
        <v>12450</v>
      </c>
      <c r="AT664" t="s">
        <v>12421</v>
      </c>
      <c r="AU664">
        <v>2023</v>
      </c>
      <c r="AV664" t="s">
        <v>74</v>
      </c>
      <c r="AW664" t="s">
        <v>74</v>
      </c>
      <c r="AX664" t="s">
        <v>74</v>
      </c>
      <c r="AY664" t="s">
        <v>74</v>
      </c>
      <c r="AZ664" t="s">
        <v>74</v>
      </c>
      <c r="BA664" t="s">
        <v>74</v>
      </c>
      <c r="BB664">
        <v>731</v>
      </c>
      <c r="BC664">
        <v>739</v>
      </c>
      <c r="BD664" t="s">
        <v>74</v>
      </c>
      <c r="BE664" t="s">
        <v>12451</v>
      </c>
      <c r="BF664" t="str">
        <f>HYPERLINK("http://dx.doi.org/10.1007/s11003-023-00723-0","http://dx.doi.org/10.1007/s11003-023-00723-0")</f>
        <v>http://dx.doi.org/10.1007/s11003-023-00723-0</v>
      </c>
      <c r="BG664" t="s">
        <v>74</v>
      </c>
      <c r="BH664" t="s">
        <v>10650</v>
      </c>
      <c r="BI664">
        <v>9</v>
      </c>
      <c r="BJ664" t="s">
        <v>5216</v>
      </c>
      <c r="BK664" t="s">
        <v>126</v>
      </c>
      <c r="BL664" t="s">
        <v>2293</v>
      </c>
      <c r="BM664" t="s">
        <v>12452</v>
      </c>
      <c r="BN664" t="s">
        <v>74</v>
      </c>
      <c r="BO664" t="s">
        <v>74</v>
      </c>
      <c r="BP664" t="s">
        <v>74</v>
      </c>
      <c r="BQ664" t="s">
        <v>74</v>
      </c>
      <c r="BR664" t="s">
        <v>99</v>
      </c>
      <c r="BS664" t="s">
        <v>12453</v>
      </c>
      <c r="BT664" t="str">
        <f>HYPERLINK("https%3A%2F%2Fwww.webofscience.com%2Fwos%2Fwoscc%2Ffull-record%2FWOS:001060284500009","View Full Record in Web of Science")</f>
        <v>View Full Record in Web of Science</v>
      </c>
    </row>
    <row r="665" spans="1:72" x14ac:dyDescent="0.15">
      <c r="A665" t="s">
        <v>72</v>
      </c>
      <c r="B665" t="s">
        <v>12454</v>
      </c>
      <c r="C665" t="s">
        <v>74</v>
      </c>
      <c r="D665" t="s">
        <v>74</v>
      </c>
      <c r="E665" t="s">
        <v>74</v>
      </c>
      <c r="F665" t="s">
        <v>12455</v>
      </c>
      <c r="G665" t="s">
        <v>74</v>
      </c>
      <c r="H665" t="s">
        <v>74</v>
      </c>
      <c r="I665" t="s">
        <v>12456</v>
      </c>
      <c r="J665" t="s">
        <v>12457</v>
      </c>
      <c r="K665" t="s">
        <v>74</v>
      </c>
      <c r="L665" t="s">
        <v>74</v>
      </c>
      <c r="M665" t="s">
        <v>78</v>
      </c>
      <c r="N665" t="s">
        <v>1246</v>
      </c>
      <c r="O665" t="s">
        <v>74</v>
      </c>
      <c r="P665" t="s">
        <v>74</v>
      </c>
      <c r="Q665" t="s">
        <v>74</v>
      </c>
      <c r="R665" t="s">
        <v>74</v>
      </c>
      <c r="S665" t="s">
        <v>74</v>
      </c>
      <c r="T665" t="s">
        <v>12458</v>
      </c>
      <c r="U665" t="s">
        <v>12459</v>
      </c>
      <c r="V665" t="s">
        <v>12460</v>
      </c>
      <c r="W665" t="s">
        <v>12461</v>
      </c>
      <c r="X665" t="s">
        <v>12462</v>
      </c>
      <c r="Y665" t="s">
        <v>12463</v>
      </c>
      <c r="Z665" t="s">
        <v>12464</v>
      </c>
      <c r="AA665" t="s">
        <v>74</v>
      </c>
      <c r="AB665" t="s">
        <v>74</v>
      </c>
      <c r="AC665" t="s">
        <v>12465</v>
      </c>
      <c r="AD665" t="s">
        <v>4917</v>
      </c>
      <c r="AE665" t="s">
        <v>12466</v>
      </c>
      <c r="AF665" t="s">
        <v>74</v>
      </c>
      <c r="AG665">
        <v>82</v>
      </c>
      <c r="AH665">
        <v>0</v>
      </c>
      <c r="AI665">
        <v>0</v>
      </c>
      <c r="AJ665">
        <v>6</v>
      </c>
      <c r="AK665">
        <v>6</v>
      </c>
      <c r="AL665" t="s">
        <v>269</v>
      </c>
      <c r="AM665" t="s">
        <v>118</v>
      </c>
      <c r="AN665" t="s">
        <v>270</v>
      </c>
      <c r="AO665" t="s">
        <v>12467</v>
      </c>
      <c r="AP665" t="s">
        <v>12468</v>
      </c>
      <c r="AQ665" t="s">
        <v>74</v>
      </c>
      <c r="AR665" t="s">
        <v>12469</v>
      </c>
      <c r="AS665" t="s">
        <v>12470</v>
      </c>
      <c r="AT665" t="s">
        <v>12421</v>
      </c>
      <c r="AU665">
        <v>2023</v>
      </c>
      <c r="AV665" t="s">
        <v>74</v>
      </c>
      <c r="AW665" t="s">
        <v>74</v>
      </c>
      <c r="AX665" t="s">
        <v>74</v>
      </c>
      <c r="AY665" t="s">
        <v>74</v>
      </c>
      <c r="AZ665" t="s">
        <v>74</v>
      </c>
      <c r="BA665" t="s">
        <v>74</v>
      </c>
      <c r="BB665" t="s">
        <v>74</v>
      </c>
      <c r="BC665" t="s">
        <v>74</v>
      </c>
      <c r="BD665" t="s">
        <v>74</v>
      </c>
      <c r="BE665" t="s">
        <v>12471</v>
      </c>
      <c r="BF665" t="str">
        <f>HYPERLINK("http://dx.doi.org/10.1007/s10964-023-01842-2","http://dx.doi.org/10.1007/s10964-023-01842-2")</f>
        <v>http://dx.doi.org/10.1007/s10964-023-01842-2</v>
      </c>
      <c r="BG665" t="s">
        <v>74</v>
      </c>
      <c r="BH665" t="s">
        <v>10650</v>
      </c>
      <c r="BI665">
        <v>14</v>
      </c>
      <c r="BJ665" t="s">
        <v>11680</v>
      </c>
      <c r="BK665" t="s">
        <v>425</v>
      </c>
      <c r="BL665" t="s">
        <v>2907</v>
      </c>
      <c r="BM665" t="s">
        <v>12472</v>
      </c>
      <c r="BN665">
        <v>37633858</v>
      </c>
      <c r="BO665" t="s">
        <v>74</v>
      </c>
      <c r="BP665" t="s">
        <v>74</v>
      </c>
      <c r="BQ665" t="s">
        <v>74</v>
      </c>
      <c r="BR665" t="s">
        <v>99</v>
      </c>
      <c r="BS665" t="s">
        <v>12473</v>
      </c>
      <c r="BT665" t="str">
        <f>HYPERLINK("https%3A%2F%2Fwww.webofscience.com%2Fwos%2Fwoscc%2Ffull-record%2FWOS:001060283600001","View Full Record in Web of Science")</f>
        <v>View Full Record in Web of Science</v>
      </c>
    </row>
    <row r="666" spans="1:72" x14ac:dyDescent="0.15">
      <c r="A666" t="s">
        <v>72</v>
      </c>
      <c r="B666" t="s">
        <v>12474</v>
      </c>
      <c r="C666" t="s">
        <v>74</v>
      </c>
      <c r="D666" t="s">
        <v>74</v>
      </c>
      <c r="E666" t="s">
        <v>74</v>
      </c>
      <c r="F666" t="s">
        <v>12475</v>
      </c>
      <c r="G666" t="s">
        <v>74</v>
      </c>
      <c r="H666" t="s">
        <v>74</v>
      </c>
      <c r="I666" t="s">
        <v>12476</v>
      </c>
      <c r="J666" t="s">
        <v>12477</v>
      </c>
      <c r="K666" t="s">
        <v>74</v>
      </c>
      <c r="L666" t="s">
        <v>74</v>
      </c>
      <c r="M666" t="s">
        <v>78</v>
      </c>
      <c r="N666" t="s">
        <v>3139</v>
      </c>
      <c r="O666" t="s">
        <v>74</v>
      </c>
      <c r="P666" t="s">
        <v>74</v>
      </c>
      <c r="Q666" t="s">
        <v>74</v>
      </c>
      <c r="R666" t="s">
        <v>74</v>
      </c>
      <c r="S666" t="s">
        <v>74</v>
      </c>
      <c r="T666" t="s">
        <v>12478</v>
      </c>
      <c r="U666" t="s">
        <v>74</v>
      </c>
      <c r="V666" t="s">
        <v>12479</v>
      </c>
      <c r="W666" t="s">
        <v>12480</v>
      </c>
      <c r="X666" t="s">
        <v>12481</v>
      </c>
      <c r="Y666" t="s">
        <v>12482</v>
      </c>
      <c r="Z666" t="s">
        <v>12483</v>
      </c>
      <c r="AA666" t="s">
        <v>74</v>
      </c>
      <c r="AB666" t="s">
        <v>74</v>
      </c>
      <c r="AC666" t="s">
        <v>12484</v>
      </c>
      <c r="AD666" t="s">
        <v>12484</v>
      </c>
      <c r="AE666" t="s">
        <v>12484</v>
      </c>
      <c r="AF666" t="s">
        <v>74</v>
      </c>
      <c r="AG666">
        <v>29</v>
      </c>
      <c r="AH666">
        <v>0</v>
      </c>
      <c r="AI666">
        <v>0</v>
      </c>
      <c r="AJ666">
        <v>0</v>
      </c>
      <c r="AK666">
        <v>0</v>
      </c>
      <c r="AL666" t="s">
        <v>317</v>
      </c>
      <c r="AM666" t="s">
        <v>245</v>
      </c>
      <c r="AN666" t="s">
        <v>318</v>
      </c>
      <c r="AO666" t="s">
        <v>12485</v>
      </c>
      <c r="AP666" t="s">
        <v>12486</v>
      </c>
      <c r="AQ666" t="s">
        <v>74</v>
      </c>
      <c r="AR666" t="s">
        <v>12487</v>
      </c>
      <c r="AS666" t="s">
        <v>12488</v>
      </c>
      <c r="AT666" t="s">
        <v>12421</v>
      </c>
      <c r="AU666">
        <v>2023</v>
      </c>
      <c r="AV666" t="s">
        <v>74</v>
      </c>
      <c r="AW666" t="s">
        <v>74</v>
      </c>
      <c r="AX666" t="s">
        <v>74</v>
      </c>
      <c r="AY666" t="s">
        <v>74</v>
      </c>
      <c r="AZ666" t="s">
        <v>74</v>
      </c>
      <c r="BA666" t="s">
        <v>74</v>
      </c>
      <c r="BB666" t="s">
        <v>74</v>
      </c>
      <c r="BC666" t="s">
        <v>74</v>
      </c>
      <c r="BD666" t="s">
        <v>74</v>
      </c>
      <c r="BE666" t="s">
        <v>12489</v>
      </c>
      <c r="BF666" t="str">
        <f>HYPERLINK("http://dx.doi.org/10.1007/s41809-023-00129","http://dx.doi.org/10.1007/s41809-023-00129")</f>
        <v>http://dx.doi.org/10.1007/s41809-023-00129</v>
      </c>
      <c r="BG666" t="s">
        <v>74</v>
      </c>
      <c r="BH666" t="s">
        <v>10650</v>
      </c>
      <c r="BI666">
        <v>7</v>
      </c>
      <c r="BJ666" t="s">
        <v>3311</v>
      </c>
      <c r="BK666" t="s">
        <v>97</v>
      </c>
      <c r="BL666" t="s">
        <v>2907</v>
      </c>
      <c r="BM666" t="s">
        <v>12490</v>
      </c>
      <c r="BN666" t="s">
        <v>74</v>
      </c>
      <c r="BO666" t="s">
        <v>74</v>
      </c>
      <c r="BP666" t="s">
        <v>74</v>
      </c>
      <c r="BQ666" t="s">
        <v>74</v>
      </c>
      <c r="BR666" t="s">
        <v>99</v>
      </c>
      <c r="BS666" t="s">
        <v>12491</v>
      </c>
      <c r="BT666" t="str">
        <f>HYPERLINK("https%3A%2F%2Fwww.webofscience.com%2Fwos%2Fwoscc%2Ffull-record%2FWOS:001069569700001","View Full Record in Web of Science")</f>
        <v>View Full Record in Web of Science</v>
      </c>
    </row>
    <row r="667" spans="1:72" x14ac:dyDescent="0.15">
      <c r="A667" t="s">
        <v>72</v>
      </c>
      <c r="B667" t="s">
        <v>12492</v>
      </c>
      <c r="C667" t="s">
        <v>74</v>
      </c>
      <c r="D667" t="s">
        <v>74</v>
      </c>
      <c r="E667" t="s">
        <v>74</v>
      </c>
      <c r="F667" t="s">
        <v>12493</v>
      </c>
      <c r="G667" t="s">
        <v>74</v>
      </c>
      <c r="H667" t="s">
        <v>74</v>
      </c>
      <c r="I667" t="s">
        <v>12494</v>
      </c>
      <c r="J667" t="s">
        <v>11977</v>
      </c>
      <c r="K667" t="s">
        <v>74</v>
      </c>
      <c r="L667" t="s">
        <v>74</v>
      </c>
      <c r="M667" t="s">
        <v>78</v>
      </c>
      <c r="N667" t="s">
        <v>1246</v>
      </c>
      <c r="O667" t="s">
        <v>74</v>
      </c>
      <c r="P667" t="s">
        <v>74</v>
      </c>
      <c r="Q667" t="s">
        <v>74</v>
      </c>
      <c r="R667" t="s">
        <v>74</v>
      </c>
      <c r="S667" t="s">
        <v>74</v>
      </c>
      <c r="T667" t="s">
        <v>12495</v>
      </c>
      <c r="U667" t="s">
        <v>12496</v>
      </c>
      <c r="V667" t="s">
        <v>12497</v>
      </c>
      <c r="W667" t="s">
        <v>12498</v>
      </c>
      <c r="X667" t="s">
        <v>12499</v>
      </c>
      <c r="Y667" t="s">
        <v>12500</v>
      </c>
      <c r="Z667" t="s">
        <v>12501</v>
      </c>
      <c r="AA667" t="s">
        <v>12502</v>
      </c>
      <c r="AB667" t="s">
        <v>12503</v>
      </c>
      <c r="AC667" t="s">
        <v>12504</v>
      </c>
      <c r="AD667" t="s">
        <v>12505</v>
      </c>
      <c r="AE667" t="s">
        <v>12506</v>
      </c>
      <c r="AF667" t="s">
        <v>74</v>
      </c>
      <c r="AG667">
        <v>36</v>
      </c>
      <c r="AH667">
        <v>0</v>
      </c>
      <c r="AI667">
        <v>0</v>
      </c>
      <c r="AJ667">
        <v>4</v>
      </c>
      <c r="AK667">
        <v>4</v>
      </c>
      <c r="AL667" t="s">
        <v>117</v>
      </c>
      <c r="AM667" t="s">
        <v>118</v>
      </c>
      <c r="AN667" t="s">
        <v>119</v>
      </c>
      <c r="AO667" t="s">
        <v>11986</v>
      </c>
      <c r="AP667" t="s">
        <v>11987</v>
      </c>
      <c r="AQ667" t="s">
        <v>74</v>
      </c>
      <c r="AR667" t="s">
        <v>11988</v>
      </c>
      <c r="AS667" t="s">
        <v>11989</v>
      </c>
      <c r="AT667" t="s">
        <v>12421</v>
      </c>
      <c r="AU667">
        <v>2023</v>
      </c>
      <c r="AV667" t="s">
        <v>74</v>
      </c>
      <c r="AW667" t="s">
        <v>74</v>
      </c>
      <c r="AX667" t="s">
        <v>74</v>
      </c>
      <c r="AY667" t="s">
        <v>74</v>
      </c>
      <c r="AZ667" t="s">
        <v>74</v>
      </c>
      <c r="BA667" t="s">
        <v>74</v>
      </c>
      <c r="BB667" t="s">
        <v>74</v>
      </c>
      <c r="BC667" t="s">
        <v>74</v>
      </c>
      <c r="BD667" t="s">
        <v>74</v>
      </c>
      <c r="BE667" t="s">
        <v>12507</v>
      </c>
      <c r="BF667" t="str">
        <f>HYPERLINK("http://dx.doi.org/10.1007/s41779-023-00938","http://dx.doi.org/10.1007/s41779-023-00938")</f>
        <v>http://dx.doi.org/10.1007/s41779-023-00938</v>
      </c>
      <c r="BG667" t="s">
        <v>74</v>
      </c>
      <c r="BH667" t="s">
        <v>10650</v>
      </c>
      <c r="BI667">
        <v>12</v>
      </c>
      <c r="BJ667" t="s">
        <v>2292</v>
      </c>
      <c r="BK667" t="s">
        <v>126</v>
      </c>
      <c r="BL667" t="s">
        <v>2293</v>
      </c>
      <c r="BM667" t="s">
        <v>12508</v>
      </c>
      <c r="BN667" t="s">
        <v>74</v>
      </c>
      <c r="BO667" t="s">
        <v>74</v>
      </c>
      <c r="BP667" t="s">
        <v>74</v>
      </c>
      <c r="BQ667" t="s">
        <v>74</v>
      </c>
      <c r="BR667" t="s">
        <v>99</v>
      </c>
      <c r="BS667" t="s">
        <v>12509</v>
      </c>
      <c r="BT667" t="str">
        <f>HYPERLINK("https%3A%2F%2Fwww.webofscience.com%2Fwos%2Fwoscc%2Ffull-record%2FWOS:001060281200001","View Full Record in Web of Science")</f>
        <v>View Full Record in Web of Science</v>
      </c>
    </row>
    <row r="668" spans="1:72" x14ac:dyDescent="0.15">
      <c r="A668" t="s">
        <v>72</v>
      </c>
      <c r="B668" t="s">
        <v>12510</v>
      </c>
      <c r="C668" t="s">
        <v>74</v>
      </c>
      <c r="D668" t="s">
        <v>74</v>
      </c>
      <c r="E668" t="s">
        <v>74</v>
      </c>
      <c r="F668" t="s">
        <v>12511</v>
      </c>
      <c r="G668" t="s">
        <v>74</v>
      </c>
      <c r="H668" t="s">
        <v>74</v>
      </c>
      <c r="I668" t="s">
        <v>12512</v>
      </c>
      <c r="J668" t="s">
        <v>4381</v>
      </c>
      <c r="K668" t="s">
        <v>74</v>
      </c>
      <c r="L668" t="s">
        <v>74</v>
      </c>
      <c r="M668" t="s">
        <v>78</v>
      </c>
      <c r="N668" t="s">
        <v>79</v>
      </c>
      <c r="O668" t="s">
        <v>74</v>
      </c>
      <c r="P668" t="s">
        <v>74</v>
      </c>
      <c r="Q668" t="s">
        <v>74</v>
      </c>
      <c r="R668" t="s">
        <v>74</v>
      </c>
      <c r="S668" t="s">
        <v>74</v>
      </c>
      <c r="T668" t="s">
        <v>12513</v>
      </c>
      <c r="U668" t="s">
        <v>12514</v>
      </c>
      <c r="V668" t="s">
        <v>12515</v>
      </c>
      <c r="W668" t="s">
        <v>12516</v>
      </c>
      <c r="X668" t="s">
        <v>74</v>
      </c>
      <c r="Y668" t="s">
        <v>12517</v>
      </c>
      <c r="Z668" t="s">
        <v>12518</v>
      </c>
      <c r="AA668" t="s">
        <v>74</v>
      </c>
      <c r="AB668" t="s">
        <v>74</v>
      </c>
      <c r="AC668" t="s">
        <v>12519</v>
      </c>
      <c r="AD668" t="s">
        <v>12519</v>
      </c>
      <c r="AE668" t="s">
        <v>12519</v>
      </c>
      <c r="AF668" t="s">
        <v>74</v>
      </c>
      <c r="AG668">
        <v>26</v>
      </c>
      <c r="AH668">
        <v>0</v>
      </c>
      <c r="AI668">
        <v>0</v>
      </c>
      <c r="AJ668">
        <v>0</v>
      </c>
      <c r="AK668">
        <v>0</v>
      </c>
      <c r="AL668" t="s">
        <v>443</v>
      </c>
      <c r="AM668" t="s">
        <v>245</v>
      </c>
      <c r="AN668" t="s">
        <v>444</v>
      </c>
      <c r="AO668" t="s">
        <v>74</v>
      </c>
      <c r="AP668" t="s">
        <v>4390</v>
      </c>
      <c r="AQ668" t="s">
        <v>74</v>
      </c>
      <c r="AR668" t="s">
        <v>4391</v>
      </c>
      <c r="AS668" t="s">
        <v>4392</v>
      </c>
      <c r="AT668" t="s">
        <v>12397</v>
      </c>
      <c r="AU668">
        <v>2023</v>
      </c>
      <c r="AV668">
        <v>23</v>
      </c>
      <c r="AW668">
        <v>1</v>
      </c>
      <c r="AX668" t="s">
        <v>74</v>
      </c>
      <c r="AY668" t="s">
        <v>74</v>
      </c>
      <c r="AZ668" t="s">
        <v>74</v>
      </c>
      <c r="BA668" t="s">
        <v>74</v>
      </c>
      <c r="BB668" t="s">
        <v>74</v>
      </c>
      <c r="BC668" t="s">
        <v>74</v>
      </c>
      <c r="BD668">
        <v>427</v>
      </c>
      <c r="BE668" t="s">
        <v>12520</v>
      </c>
      <c r="BF668" t="str">
        <f>HYPERLINK("http://dx.doi.org/10.1186/s12887-023-04248-y","http://dx.doi.org/10.1186/s12887-023-04248-y")</f>
        <v>http://dx.doi.org/10.1186/s12887-023-04248-y</v>
      </c>
      <c r="BG668" t="s">
        <v>74</v>
      </c>
      <c r="BH668" t="s">
        <v>74</v>
      </c>
      <c r="BI668">
        <v>9</v>
      </c>
      <c r="BJ668" t="s">
        <v>3066</v>
      </c>
      <c r="BK668" t="s">
        <v>126</v>
      </c>
      <c r="BL668" t="s">
        <v>3066</v>
      </c>
      <c r="BM668" t="s">
        <v>12521</v>
      </c>
      <c r="BN668">
        <v>37633885</v>
      </c>
      <c r="BO668" t="s">
        <v>302</v>
      </c>
      <c r="BP668" t="s">
        <v>74</v>
      </c>
      <c r="BQ668" t="s">
        <v>74</v>
      </c>
      <c r="BR668" t="s">
        <v>99</v>
      </c>
      <c r="BS668" t="s">
        <v>12522</v>
      </c>
      <c r="BT668" t="str">
        <f>HYPERLINK("https%3A%2F%2Fwww.webofscience.com%2Fwos%2Fwoscc%2Ffull-record%2FWOS:001054753800001","View Full Record in Web of Science")</f>
        <v>View Full Record in Web of Science</v>
      </c>
    </row>
    <row r="669" spans="1:72" x14ac:dyDescent="0.15">
      <c r="A669" t="s">
        <v>72</v>
      </c>
      <c r="B669" t="s">
        <v>12523</v>
      </c>
      <c r="C669" t="s">
        <v>74</v>
      </c>
      <c r="D669" t="s">
        <v>74</v>
      </c>
      <c r="E669" t="s">
        <v>74</v>
      </c>
      <c r="F669" t="s">
        <v>12524</v>
      </c>
      <c r="G669" t="s">
        <v>74</v>
      </c>
      <c r="H669" t="s">
        <v>74</v>
      </c>
      <c r="I669" t="s">
        <v>12525</v>
      </c>
      <c r="J669" t="s">
        <v>9863</v>
      </c>
      <c r="K669" t="s">
        <v>74</v>
      </c>
      <c r="L669" t="s">
        <v>74</v>
      </c>
      <c r="M669" t="s">
        <v>78</v>
      </c>
      <c r="N669" t="s">
        <v>1246</v>
      </c>
      <c r="O669" t="s">
        <v>74</v>
      </c>
      <c r="P669" t="s">
        <v>74</v>
      </c>
      <c r="Q669" t="s">
        <v>74</v>
      </c>
      <c r="R669" t="s">
        <v>74</v>
      </c>
      <c r="S669" t="s">
        <v>74</v>
      </c>
      <c r="T669" t="s">
        <v>12526</v>
      </c>
      <c r="U669" t="s">
        <v>12527</v>
      </c>
      <c r="V669" t="s">
        <v>12528</v>
      </c>
      <c r="W669" t="s">
        <v>12529</v>
      </c>
      <c r="X669" t="s">
        <v>12530</v>
      </c>
      <c r="Y669" t="s">
        <v>12531</v>
      </c>
      <c r="Z669" t="s">
        <v>12532</v>
      </c>
      <c r="AA669" t="s">
        <v>74</v>
      </c>
      <c r="AB669" t="s">
        <v>74</v>
      </c>
      <c r="AC669" t="s">
        <v>12533</v>
      </c>
      <c r="AD669" t="s">
        <v>12534</v>
      </c>
      <c r="AE669" t="s">
        <v>12535</v>
      </c>
      <c r="AF669" t="s">
        <v>74</v>
      </c>
      <c r="AG669">
        <v>29</v>
      </c>
      <c r="AH669">
        <v>0</v>
      </c>
      <c r="AI669">
        <v>0</v>
      </c>
      <c r="AJ669">
        <v>1</v>
      </c>
      <c r="AK669">
        <v>1</v>
      </c>
      <c r="AL669" t="s">
        <v>117</v>
      </c>
      <c r="AM669" t="s">
        <v>627</v>
      </c>
      <c r="AN669" t="s">
        <v>628</v>
      </c>
      <c r="AO669" t="s">
        <v>9874</v>
      </c>
      <c r="AP669" t="s">
        <v>9875</v>
      </c>
      <c r="AQ669" t="s">
        <v>74</v>
      </c>
      <c r="AR669" t="s">
        <v>9876</v>
      </c>
      <c r="AS669" t="s">
        <v>9877</v>
      </c>
      <c r="AT669" t="s">
        <v>12421</v>
      </c>
      <c r="AU669">
        <v>2023</v>
      </c>
      <c r="AV669" t="s">
        <v>74</v>
      </c>
      <c r="AW669" t="s">
        <v>74</v>
      </c>
      <c r="AX669" t="s">
        <v>74</v>
      </c>
      <c r="AY669" t="s">
        <v>74</v>
      </c>
      <c r="AZ669" t="s">
        <v>74</v>
      </c>
      <c r="BA669" t="s">
        <v>74</v>
      </c>
      <c r="BB669" t="s">
        <v>74</v>
      </c>
      <c r="BC669" t="s">
        <v>74</v>
      </c>
      <c r="BD669" t="s">
        <v>74</v>
      </c>
      <c r="BE669" t="s">
        <v>12536</v>
      </c>
      <c r="BF669" t="str">
        <f>HYPERLINK("http://dx.doi.org/10.1007/s10489-023-04876","http://dx.doi.org/10.1007/s10489-023-04876")</f>
        <v>http://dx.doi.org/10.1007/s10489-023-04876</v>
      </c>
      <c r="BG669" t="s">
        <v>74</v>
      </c>
      <c r="BH669" t="s">
        <v>10650</v>
      </c>
      <c r="BI669">
        <v>18</v>
      </c>
      <c r="BJ669" t="s">
        <v>5390</v>
      </c>
      <c r="BK669" t="s">
        <v>126</v>
      </c>
      <c r="BL669" t="s">
        <v>1139</v>
      </c>
      <c r="BM669" t="s">
        <v>12537</v>
      </c>
      <c r="BN669" t="s">
        <v>74</v>
      </c>
      <c r="BO669" t="s">
        <v>74</v>
      </c>
      <c r="BP669" t="s">
        <v>74</v>
      </c>
      <c r="BQ669" t="s">
        <v>74</v>
      </c>
      <c r="BR669" t="s">
        <v>99</v>
      </c>
      <c r="BS669" t="s">
        <v>12538</v>
      </c>
      <c r="BT669" t="str">
        <f>HYPERLINK("https%3A%2F%2Fwww.webofscience.com%2Fwos%2Fwoscc%2Ffull-record%2FWOS:001060217700002","View Full Record in Web of Science")</f>
        <v>View Full Record in Web of Science</v>
      </c>
    </row>
    <row r="670" spans="1:72" x14ac:dyDescent="0.15">
      <c r="A670" t="s">
        <v>72</v>
      </c>
      <c r="B670" t="s">
        <v>12539</v>
      </c>
      <c r="C670" t="s">
        <v>74</v>
      </c>
      <c r="D670" t="s">
        <v>74</v>
      </c>
      <c r="E670" t="s">
        <v>74</v>
      </c>
      <c r="F670" t="s">
        <v>12540</v>
      </c>
      <c r="G670" t="s">
        <v>74</v>
      </c>
      <c r="H670" t="s">
        <v>74</v>
      </c>
      <c r="I670" t="s">
        <v>12541</v>
      </c>
      <c r="J670" t="s">
        <v>12542</v>
      </c>
      <c r="K670" t="s">
        <v>74</v>
      </c>
      <c r="L670" t="s">
        <v>74</v>
      </c>
      <c r="M670" t="s">
        <v>78</v>
      </c>
      <c r="N670" t="s">
        <v>1246</v>
      </c>
      <c r="O670" t="s">
        <v>74</v>
      </c>
      <c r="P670" t="s">
        <v>74</v>
      </c>
      <c r="Q670" t="s">
        <v>74</v>
      </c>
      <c r="R670" t="s">
        <v>74</v>
      </c>
      <c r="S670" t="s">
        <v>74</v>
      </c>
      <c r="T670" t="s">
        <v>12543</v>
      </c>
      <c r="U670" t="s">
        <v>12544</v>
      </c>
      <c r="V670" t="s">
        <v>12545</v>
      </c>
      <c r="W670" t="s">
        <v>12546</v>
      </c>
      <c r="X670" t="s">
        <v>12547</v>
      </c>
      <c r="Y670" t="s">
        <v>12548</v>
      </c>
      <c r="Z670" t="s">
        <v>12549</v>
      </c>
      <c r="AA670" t="s">
        <v>74</v>
      </c>
      <c r="AB670" t="s">
        <v>74</v>
      </c>
      <c r="AC670" t="s">
        <v>12550</v>
      </c>
      <c r="AD670" t="s">
        <v>12551</v>
      </c>
      <c r="AE670" t="s">
        <v>12552</v>
      </c>
      <c r="AF670" t="s">
        <v>74</v>
      </c>
      <c r="AG670">
        <v>41</v>
      </c>
      <c r="AH670">
        <v>0</v>
      </c>
      <c r="AI670">
        <v>0</v>
      </c>
      <c r="AJ670">
        <v>5</v>
      </c>
      <c r="AK670">
        <v>5</v>
      </c>
      <c r="AL670" t="s">
        <v>117</v>
      </c>
      <c r="AM670" t="s">
        <v>118</v>
      </c>
      <c r="AN670" t="s">
        <v>119</v>
      </c>
      <c r="AO670" t="s">
        <v>12553</v>
      </c>
      <c r="AP670" t="s">
        <v>12554</v>
      </c>
      <c r="AQ670" t="s">
        <v>74</v>
      </c>
      <c r="AR670" t="s">
        <v>12555</v>
      </c>
      <c r="AS670" t="s">
        <v>12556</v>
      </c>
      <c r="AT670" t="s">
        <v>12421</v>
      </c>
      <c r="AU670">
        <v>2023</v>
      </c>
      <c r="AV670" t="s">
        <v>74</v>
      </c>
      <c r="AW670" t="s">
        <v>74</v>
      </c>
      <c r="AX670" t="s">
        <v>74</v>
      </c>
      <c r="AY670" t="s">
        <v>74</v>
      </c>
      <c r="AZ670" t="s">
        <v>74</v>
      </c>
      <c r="BA670" t="s">
        <v>74</v>
      </c>
      <c r="BB670" t="s">
        <v>74</v>
      </c>
      <c r="BC670" t="s">
        <v>74</v>
      </c>
      <c r="BD670" t="s">
        <v>74</v>
      </c>
      <c r="BE670" t="s">
        <v>12557</v>
      </c>
      <c r="BF670" t="str">
        <f>HYPERLINK("http://dx.doi.org/10.1007/s00436-023-07947-8","http://dx.doi.org/10.1007/s00436-023-07947-8")</f>
        <v>http://dx.doi.org/10.1007/s00436-023-07947-8</v>
      </c>
      <c r="BG670" t="s">
        <v>74</v>
      </c>
      <c r="BH670" t="s">
        <v>10650</v>
      </c>
      <c r="BI670">
        <v>11</v>
      </c>
      <c r="BJ670" t="s">
        <v>12558</v>
      </c>
      <c r="BK670" t="s">
        <v>126</v>
      </c>
      <c r="BL670" t="s">
        <v>12558</v>
      </c>
      <c r="BM670" t="s">
        <v>12559</v>
      </c>
      <c r="BN670">
        <v>37632544</v>
      </c>
      <c r="BO670" t="s">
        <v>1328</v>
      </c>
      <c r="BP670" t="s">
        <v>74</v>
      </c>
      <c r="BQ670" t="s">
        <v>74</v>
      </c>
      <c r="BR670" t="s">
        <v>99</v>
      </c>
      <c r="BS670" t="s">
        <v>12560</v>
      </c>
      <c r="BT670" t="str">
        <f>HYPERLINK("https%3A%2F%2Fwww.webofscience.com%2Fwos%2Fwoscc%2Ffull-record%2FWOS:001063648200001","View Full Record in Web of Science")</f>
        <v>View Full Record in Web of Science</v>
      </c>
    </row>
    <row r="671" spans="1:72" x14ac:dyDescent="0.15">
      <c r="A671" t="s">
        <v>72</v>
      </c>
      <c r="B671" t="s">
        <v>12561</v>
      </c>
      <c r="C671" t="s">
        <v>74</v>
      </c>
      <c r="D671" t="s">
        <v>74</v>
      </c>
      <c r="E671" t="s">
        <v>74</v>
      </c>
      <c r="F671" t="s">
        <v>12562</v>
      </c>
      <c r="G671" t="s">
        <v>74</v>
      </c>
      <c r="H671" t="s">
        <v>74</v>
      </c>
      <c r="I671" t="s">
        <v>12563</v>
      </c>
      <c r="J671" t="s">
        <v>4164</v>
      </c>
      <c r="K671" t="s">
        <v>74</v>
      </c>
      <c r="L671" t="s">
        <v>74</v>
      </c>
      <c r="M671" t="s">
        <v>78</v>
      </c>
      <c r="N671" t="s">
        <v>3139</v>
      </c>
      <c r="O671" t="s">
        <v>74</v>
      </c>
      <c r="P671" t="s">
        <v>74</v>
      </c>
      <c r="Q671" t="s">
        <v>74</v>
      </c>
      <c r="R671" t="s">
        <v>74</v>
      </c>
      <c r="S671" t="s">
        <v>74</v>
      </c>
      <c r="T671" t="s">
        <v>74</v>
      </c>
      <c r="U671" t="s">
        <v>74</v>
      </c>
      <c r="V671" t="s">
        <v>74</v>
      </c>
      <c r="W671" t="s">
        <v>12564</v>
      </c>
      <c r="X671" t="s">
        <v>3771</v>
      </c>
      <c r="Y671" t="s">
        <v>12565</v>
      </c>
      <c r="Z671" t="s">
        <v>12566</v>
      </c>
      <c r="AA671" t="s">
        <v>74</v>
      </c>
      <c r="AB671" t="s">
        <v>74</v>
      </c>
      <c r="AC671" t="s">
        <v>74</v>
      </c>
      <c r="AD671" t="s">
        <v>74</v>
      </c>
      <c r="AE671" t="s">
        <v>74</v>
      </c>
      <c r="AF671" t="s">
        <v>74</v>
      </c>
      <c r="AG671">
        <v>0</v>
      </c>
      <c r="AH671">
        <v>0</v>
      </c>
      <c r="AI671">
        <v>0</v>
      </c>
      <c r="AJ671">
        <v>0</v>
      </c>
      <c r="AK671">
        <v>0</v>
      </c>
      <c r="AL671" t="s">
        <v>317</v>
      </c>
      <c r="AM671" t="s">
        <v>245</v>
      </c>
      <c r="AN671" t="s">
        <v>318</v>
      </c>
      <c r="AO671" t="s">
        <v>4174</v>
      </c>
      <c r="AP671" t="s">
        <v>4175</v>
      </c>
      <c r="AQ671" t="s">
        <v>74</v>
      </c>
      <c r="AR671" t="s">
        <v>4176</v>
      </c>
      <c r="AS671" t="s">
        <v>4177</v>
      </c>
      <c r="AT671" t="s">
        <v>12421</v>
      </c>
      <c r="AU671">
        <v>2023</v>
      </c>
      <c r="AV671" t="s">
        <v>74</v>
      </c>
      <c r="AW671" t="s">
        <v>74</v>
      </c>
      <c r="AX671" t="s">
        <v>74</v>
      </c>
      <c r="AY671" t="s">
        <v>74</v>
      </c>
      <c r="AZ671" t="s">
        <v>74</v>
      </c>
      <c r="BA671" t="s">
        <v>74</v>
      </c>
      <c r="BB671" t="s">
        <v>74</v>
      </c>
      <c r="BC671" t="s">
        <v>74</v>
      </c>
      <c r="BD671" t="s">
        <v>74</v>
      </c>
      <c r="BE671" t="s">
        <v>12567</v>
      </c>
      <c r="BF671" t="str">
        <f>HYPERLINK("http://dx.doi.org/10.1007/s12551-023-01118","http://dx.doi.org/10.1007/s12551-023-01118")</f>
        <v>http://dx.doi.org/10.1007/s12551-023-01118</v>
      </c>
      <c r="BG671" t="s">
        <v>74</v>
      </c>
      <c r="BH671" t="s">
        <v>10650</v>
      </c>
      <c r="BI671">
        <v>2</v>
      </c>
      <c r="BJ671" t="s">
        <v>4179</v>
      </c>
      <c r="BK671" t="s">
        <v>97</v>
      </c>
      <c r="BL671" t="s">
        <v>4179</v>
      </c>
      <c r="BM671" t="s">
        <v>12568</v>
      </c>
      <c r="BN671" t="s">
        <v>74</v>
      </c>
      <c r="BO671" t="s">
        <v>74</v>
      </c>
      <c r="BP671" t="s">
        <v>74</v>
      </c>
      <c r="BQ671" t="s">
        <v>74</v>
      </c>
      <c r="BR671" t="s">
        <v>99</v>
      </c>
      <c r="BS671" t="s">
        <v>12569</v>
      </c>
      <c r="BT671" t="str">
        <f>HYPERLINK("https%3A%2F%2Fwww.webofscience.com%2Fwos%2Fwoscc%2Ffull-record%2FWOS:001063701600001","View Full Record in Web of Science")</f>
        <v>View Full Record in Web of Science</v>
      </c>
    </row>
    <row r="672" spans="1:72" x14ac:dyDescent="0.15">
      <c r="A672" t="s">
        <v>72</v>
      </c>
      <c r="B672" t="s">
        <v>12570</v>
      </c>
      <c r="C672" t="s">
        <v>74</v>
      </c>
      <c r="D672" t="s">
        <v>74</v>
      </c>
      <c r="E672" t="s">
        <v>74</v>
      </c>
      <c r="F672" t="s">
        <v>12571</v>
      </c>
      <c r="G672" t="s">
        <v>74</v>
      </c>
      <c r="H672" t="s">
        <v>74</v>
      </c>
      <c r="I672" t="s">
        <v>12572</v>
      </c>
      <c r="J672" t="s">
        <v>12573</v>
      </c>
      <c r="K672" t="s">
        <v>74</v>
      </c>
      <c r="L672" t="s">
        <v>74</v>
      </c>
      <c r="M672" t="s">
        <v>78</v>
      </c>
      <c r="N672" t="s">
        <v>2174</v>
      </c>
      <c r="O672" t="s">
        <v>74</v>
      </c>
      <c r="P672" t="s">
        <v>74</v>
      </c>
      <c r="Q672" t="s">
        <v>74</v>
      </c>
      <c r="R672" t="s">
        <v>74</v>
      </c>
      <c r="S672" t="s">
        <v>74</v>
      </c>
      <c r="T672" t="s">
        <v>12574</v>
      </c>
      <c r="U672" t="s">
        <v>12575</v>
      </c>
      <c r="V672" t="s">
        <v>12576</v>
      </c>
      <c r="W672" t="s">
        <v>12577</v>
      </c>
      <c r="X672" t="s">
        <v>12578</v>
      </c>
      <c r="Y672" t="s">
        <v>12579</v>
      </c>
      <c r="Z672" t="s">
        <v>12580</v>
      </c>
      <c r="AA672" t="s">
        <v>74</v>
      </c>
      <c r="AB672" t="s">
        <v>74</v>
      </c>
      <c r="AC672" t="s">
        <v>74</v>
      </c>
      <c r="AD672" t="s">
        <v>74</v>
      </c>
      <c r="AE672" t="s">
        <v>74</v>
      </c>
      <c r="AF672" t="s">
        <v>74</v>
      </c>
      <c r="AG672">
        <v>101</v>
      </c>
      <c r="AH672">
        <v>0</v>
      </c>
      <c r="AI672">
        <v>0</v>
      </c>
      <c r="AJ672">
        <v>0</v>
      </c>
      <c r="AK672">
        <v>0</v>
      </c>
      <c r="AL672" t="s">
        <v>117</v>
      </c>
      <c r="AM672" t="s">
        <v>118</v>
      </c>
      <c r="AN672" t="s">
        <v>119</v>
      </c>
      <c r="AO672" t="s">
        <v>12581</v>
      </c>
      <c r="AP672" t="s">
        <v>12582</v>
      </c>
      <c r="AQ672" t="s">
        <v>74</v>
      </c>
      <c r="AR672" t="s">
        <v>12583</v>
      </c>
      <c r="AS672" t="s">
        <v>12584</v>
      </c>
      <c r="AT672" t="s">
        <v>12421</v>
      </c>
      <c r="AU672">
        <v>2023</v>
      </c>
      <c r="AV672" t="s">
        <v>74</v>
      </c>
      <c r="AW672" t="s">
        <v>74</v>
      </c>
      <c r="AX672" t="s">
        <v>74</v>
      </c>
      <c r="AY672" t="s">
        <v>74</v>
      </c>
      <c r="AZ672" t="s">
        <v>74</v>
      </c>
      <c r="BA672" t="s">
        <v>74</v>
      </c>
      <c r="BB672" t="s">
        <v>74</v>
      </c>
      <c r="BC672" t="s">
        <v>74</v>
      </c>
      <c r="BD672" t="s">
        <v>74</v>
      </c>
      <c r="BE672" t="s">
        <v>12585</v>
      </c>
      <c r="BF672" t="str">
        <f>HYPERLINK("http://dx.doi.org/10.1007/s11916-023-01161","http://dx.doi.org/10.1007/s11916-023-01161")</f>
        <v>http://dx.doi.org/10.1007/s11916-023-01161</v>
      </c>
      <c r="BG672" t="s">
        <v>74</v>
      </c>
      <c r="BH672" t="s">
        <v>10650</v>
      </c>
      <c r="BI672">
        <v>9</v>
      </c>
      <c r="BJ672" t="s">
        <v>2056</v>
      </c>
      <c r="BK672" t="s">
        <v>126</v>
      </c>
      <c r="BL672" t="s">
        <v>2057</v>
      </c>
      <c r="BM672" t="s">
        <v>12586</v>
      </c>
      <c r="BN672" t="s">
        <v>74</v>
      </c>
      <c r="BO672" t="s">
        <v>74</v>
      </c>
      <c r="BP672" t="s">
        <v>74</v>
      </c>
      <c r="BQ672" t="s">
        <v>74</v>
      </c>
      <c r="BR672" t="s">
        <v>99</v>
      </c>
      <c r="BS672" t="s">
        <v>12587</v>
      </c>
      <c r="BT672" t="str">
        <f>HYPERLINK("https%3A%2F%2Fwww.webofscience.com%2Fwos%2Fwoscc%2Ffull-record%2FWOS:001060297900001","View Full Record in Web of Science")</f>
        <v>View Full Record in Web of Science</v>
      </c>
    </row>
    <row r="673" spans="1:72" x14ac:dyDescent="0.15">
      <c r="A673" t="s">
        <v>72</v>
      </c>
      <c r="B673" t="s">
        <v>12588</v>
      </c>
      <c r="C673" t="s">
        <v>74</v>
      </c>
      <c r="D673" t="s">
        <v>74</v>
      </c>
      <c r="E673" t="s">
        <v>74</v>
      </c>
      <c r="F673" t="s">
        <v>12589</v>
      </c>
      <c r="G673" t="s">
        <v>74</v>
      </c>
      <c r="H673" t="s">
        <v>12590</v>
      </c>
      <c r="I673" t="s">
        <v>12591</v>
      </c>
      <c r="J673" t="s">
        <v>11062</v>
      </c>
      <c r="K673" t="s">
        <v>74</v>
      </c>
      <c r="L673" t="s">
        <v>74</v>
      </c>
      <c r="M673" t="s">
        <v>78</v>
      </c>
      <c r="N673" t="s">
        <v>1246</v>
      </c>
      <c r="O673" t="s">
        <v>74</v>
      </c>
      <c r="P673" t="s">
        <v>74</v>
      </c>
      <c r="Q673" t="s">
        <v>74</v>
      </c>
      <c r="R673" t="s">
        <v>74</v>
      </c>
      <c r="S673" t="s">
        <v>74</v>
      </c>
      <c r="T673" t="s">
        <v>12592</v>
      </c>
      <c r="U673" t="s">
        <v>12593</v>
      </c>
      <c r="V673" t="s">
        <v>12594</v>
      </c>
      <c r="W673" t="s">
        <v>12595</v>
      </c>
      <c r="X673" t="s">
        <v>12596</v>
      </c>
      <c r="Y673" t="s">
        <v>12597</v>
      </c>
      <c r="Z673" t="s">
        <v>12598</v>
      </c>
      <c r="AA673" t="s">
        <v>12599</v>
      </c>
      <c r="AB673" t="s">
        <v>12600</v>
      </c>
      <c r="AC673" t="s">
        <v>12601</v>
      </c>
      <c r="AD673" t="s">
        <v>12601</v>
      </c>
      <c r="AE673" t="s">
        <v>12602</v>
      </c>
      <c r="AF673" t="s">
        <v>74</v>
      </c>
      <c r="AG673">
        <v>21</v>
      </c>
      <c r="AH673">
        <v>0</v>
      </c>
      <c r="AI673">
        <v>0</v>
      </c>
      <c r="AJ673">
        <v>0</v>
      </c>
      <c r="AK673">
        <v>0</v>
      </c>
      <c r="AL673" t="s">
        <v>1295</v>
      </c>
      <c r="AM673" t="s">
        <v>1296</v>
      </c>
      <c r="AN673" t="s">
        <v>1297</v>
      </c>
      <c r="AO673" t="s">
        <v>11075</v>
      </c>
      <c r="AP673" t="s">
        <v>11076</v>
      </c>
      <c r="AQ673" t="s">
        <v>74</v>
      </c>
      <c r="AR673" t="s">
        <v>11077</v>
      </c>
      <c r="AS673" t="s">
        <v>11078</v>
      </c>
      <c r="AT673" t="s">
        <v>12421</v>
      </c>
      <c r="AU673">
        <v>2023</v>
      </c>
      <c r="AV673" t="s">
        <v>74</v>
      </c>
      <c r="AW673" t="s">
        <v>74</v>
      </c>
      <c r="AX673" t="s">
        <v>74</v>
      </c>
      <c r="AY673" t="s">
        <v>74</v>
      </c>
      <c r="AZ673" t="s">
        <v>74</v>
      </c>
      <c r="BA673" t="s">
        <v>74</v>
      </c>
      <c r="BB673" t="s">
        <v>74</v>
      </c>
      <c r="BC673" t="s">
        <v>74</v>
      </c>
      <c r="BD673" t="s">
        <v>74</v>
      </c>
      <c r="BE673" t="s">
        <v>12603</v>
      </c>
      <c r="BF673" t="str">
        <f>HYPERLINK("http://dx.doi.org/10.1007/s40336-023-00591-3","http://dx.doi.org/10.1007/s40336-023-00591-3")</f>
        <v>http://dx.doi.org/10.1007/s40336-023-00591-3</v>
      </c>
      <c r="BG673" t="s">
        <v>74</v>
      </c>
      <c r="BH673" t="s">
        <v>10650</v>
      </c>
      <c r="BI673">
        <v>9</v>
      </c>
      <c r="BJ673" t="s">
        <v>2396</v>
      </c>
      <c r="BK673" t="s">
        <v>126</v>
      </c>
      <c r="BL673" t="s">
        <v>2396</v>
      </c>
      <c r="BM673" t="s">
        <v>12604</v>
      </c>
      <c r="BN673" t="s">
        <v>74</v>
      </c>
      <c r="BO673" t="s">
        <v>183</v>
      </c>
      <c r="BP673" t="s">
        <v>74</v>
      </c>
      <c r="BQ673" t="s">
        <v>74</v>
      </c>
      <c r="BR673" t="s">
        <v>99</v>
      </c>
      <c r="BS673" t="s">
        <v>12605</v>
      </c>
      <c r="BT673" t="str">
        <f>HYPERLINK("https%3A%2F%2Fwww.webofscience.com%2Fwos%2Fwoscc%2Ffull-record%2FWOS:001059978400001","View Full Record in Web of Science")</f>
        <v>View Full Record in Web of Science</v>
      </c>
    </row>
    <row r="674" spans="1:72" x14ac:dyDescent="0.15">
      <c r="A674" t="s">
        <v>72</v>
      </c>
      <c r="B674" t="s">
        <v>12606</v>
      </c>
      <c r="C674" t="s">
        <v>74</v>
      </c>
      <c r="D674" t="s">
        <v>74</v>
      </c>
      <c r="E674" t="s">
        <v>74</v>
      </c>
      <c r="F674" t="s">
        <v>12607</v>
      </c>
      <c r="G674" t="s">
        <v>74</v>
      </c>
      <c r="H674" t="s">
        <v>74</v>
      </c>
      <c r="I674" t="s">
        <v>12608</v>
      </c>
      <c r="J674" t="s">
        <v>5072</v>
      </c>
      <c r="K674" t="s">
        <v>74</v>
      </c>
      <c r="L674" t="s">
        <v>74</v>
      </c>
      <c r="M674" t="s">
        <v>78</v>
      </c>
      <c r="N674" t="s">
        <v>1246</v>
      </c>
      <c r="O674" t="s">
        <v>74</v>
      </c>
      <c r="P674" t="s">
        <v>74</v>
      </c>
      <c r="Q674" t="s">
        <v>74</v>
      </c>
      <c r="R674" t="s">
        <v>74</v>
      </c>
      <c r="S674" t="s">
        <v>74</v>
      </c>
      <c r="T674" t="s">
        <v>12609</v>
      </c>
      <c r="U674" t="s">
        <v>12610</v>
      </c>
      <c r="V674" t="s">
        <v>12611</v>
      </c>
      <c r="W674" t="s">
        <v>12612</v>
      </c>
      <c r="X674" t="s">
        <v>12613</v>
      </c>
      <c r="Y674" t="s">
        <v>12614</v>
      </c>
      <c r="Z674" t="s">
        <v>12615</v>
      </c>
      <c r="AA674" t="s">
        <v>74</v>
      </c>
      <c r="AB674" t="s">
        <v>74</v>
      </c>
      <c r="AC674" t="s">
        <v>74</v>
      </c>
      <c r="AD674" t="s">
        <v>74</v>
      </c>
      <c r="AE674" t="s">
        <v>74</v>
      </c>
      <c r="AF674" t="s">
        <v>74</v>
      </c>
      <c r="AG674">
        <v>25</v>
      </c>
      <c r="AH674">
        <v>0</v>
      </c>
      <c r="AI674">
        <v>0</v>
      </c>
      <c r="AJ674">
        <v>0</v>
      </c>
      <c r="AK674">
        <v>0</v>
      </c>
      <c r="AL674" t="s">
        <v>172</v>
      </c>
      <c r="AM674" t="s">
        <v>173</v>
      </c>
      <c r="AN674" t="s">
        <v>174</v>
      </c>
      <c r="AO674" t="s">
        <v>5085</v>
      </c>
      <c r="AP674" t="s">
        <v>5086</v>
      </c>
      <c r="AQ674" t="s">
        <v>74</v>
      </c>
      <c r="AR674" t="s">
        <v>5087</v>
      </c>
      <c r="AS674" t="s">
        <v>5088</v>
      </c>
      <c r="AT674" t="s">
        <v>12421</v>
      </c>
      <c r="AU674">
        <v>2023</v>
      </c>
      <c r="AV674" t="s">
        <v>74</v>
      </c>
      <c r="AW674" t="s">
        <v>74</v>
      </c>
      <c r="AX674" t="s">
        <v>74</v>
      </c>
      <c r="AY674" t="s">
        <v>74</v>
      </c>
      <c r="AZ674" t="s">
        <v>74</v>
      </c>
      <c r="BA674" t="s">
        <v>74</v>
      </c>
      <c r="BB674" t="s">
        <v>74</v>
      </c>
      <c r="BC674" t="s">
        <v>74</v>
      </c>
      <c r="BD674" t="s">
        <v>74</v>
      </c>
      <c r="BE674" t="s">
        <v>12616</v>
      </c>
      <c r="BF674" t="str">
        <f>HYPERLINK("http://dx.doi.org/10.1007/s12008-023-01497-0","http://dx.doi.org/10.1007/s12008-023-01497-0")</f>
        <v>http://dx.doi.org/10.1007/s12008-023-01497-0</v>
      </c>
      <c r="BG674" t="s">
        <v>74</v>
      </c>
      <c r="BH674" t="s">
        <v>10650</v>
      </c>
      <c r="BI674">
        <v>11</v>
      </c>
      <c r="BJ674" t="s">
        <v>5090</v>
      </c>
      <c r="BK674" t="s">
        <v>97</v>
      </c>
      <c r="BL674" t="s">
        <v>277</v>
      </c>
      <c r="BM674" t="s">
        <v>12617</v>
      </c>
      <c r="BN674" t="s">
        <v>74</v>
      </c>
      <c r="BO674" t="s">
        <v>74</v>
      </c>
      <c r="BP674" t="s">
        <v>74</v>
      </c>
      <c r="BQ674" t="s">
        <v>74</v>
      </c>
      <c r="BR674" t="s">
        <v>99</v>
      </c>
      <c r="BS674" t="s">
        <v>12618</v>
      </c>
      <c r="BT674" t="str">
        <f>HYPERLINK("https%3A%2F%2Fwww.webofscience.com%2Fwos%2Fwoscc%2Ffull-record%2FWOS:001060306200002","View Full Record in Web of Science")</f>
        <v>View Full Record in Web of Science</v>
      </c>
    </row>
    <row r="675" spans="1:72" x14ac:dyDescent="0.15">
      <c r="A675" t="s">
        <v>72</v>
      </c>
      <c r="B675" t="s">
        <v>12619</v>
      </c>
      <c r="C675" t="s">
        <v>74</v>
      </c>
      <c r="D675" t="s">
        <v>74</v>
      </c>
      <c r="E675" t="s">
        <v>74</v>
      </c>
      <c r="F675" t="s">
        <v>12620</v>
      </c>
      <c r="G675" t="s">
        <v>74</v>
      </c>
      <c r="H675" t="s">
        <v>74</v>
      </c>
      <c r="I675" t="s">
        <v>12621</v>
      </c>
      <c r="J675" t="s">
        <v>12622</v>
      </c>
      <c r="K675" t="s">
        <v>74</v>
      </c>
      <c r="L675" t="s">
        <v>74</v>
      </c>
      <c r="M675" t="s">
        <v>78</v>
      </c>
      <c r="N675" t="s">
        <v>1246</v>
      </c>
      <c r="O675" t="s">
        <v>74</v>
      </c>
      <c r="P675" t="s">
        <v>74</v>
      </c>
      <c r="Q675" t="s">
        <v>74</v>
      </c>
      <c r="R675" t="s">
        <v>74</v>
      </c>
      <c r="S675" t="s">
        <v>74</v>
      </c>
      <c r="T675" t="s">
        <v>12623</v>
      </c>
      <c r="U675" t="s">
        <v>12624</v>
      </c>
      <c r="V675" t="s">
        <v>12625</v>
      </c>
      <c r="W675" t="s">
        <v>12626</v>
      </c>
      <c r="X675" t="s">
        <v>12627</v>
      </c>
      <c r="Y675" t="s">
        <v>12628</v>
      </c>
      <c r="Z675" t="s">
        <v>12629</v>
      </c>
      <c r="AA675" t="s">
        <v>74</v>
      </c>
      <c r="AB675" t="s">
        <v>74</v>
      </c>
      <c r="AC675" t="s">
        <v>12630</v>
      </c>
      <c r="AD675" t="s">
        <v>12630</v>
      </c>
      <c r="AE675" t="s">
        <v>12631</v>
      </c>
      <c r="AF675" t="s">
        <v>74</v>
      </c>
      <c r="AG675">
        <v>46</v>
      </c>
      <c r="AH675">
        <v>0</v>
      </c>
      <c r="AI675">
        <v>0</v>
      </c>
      <c r="AJ675">
        <v>0</v>
      </c>
      <c r="AK675">
        <v>0</v>
      </c>
      <c r="AL675" t="s">
        <v>117</v>
      </c>
      <c r="AM675" t="s">
        <v>627</v>
      </c>
      <c r="AN675" t="s">
        <v>628</v>
      </c>
      <c r="AO675" t="s">
        <v>12632</v>
      </c>
      <c r="AP675" t="s">
        <v>12633</v>
      </c>
      <c r="AQ675" t="s">
        <v>74</v>
      </c>
      <c r="AR675" t="s">
        <v>12634</v>
      </c>
      <c r="AS675" t="s">
        <v>12635</v>
      </c>
      <c r="AT675" t="s">
        <v>12421</v>
      </c>
      <c r="AU675">
        <v>2023</v>
      </c>
      <c r="AV675" t="s">
        <v>74</v>
      </c>
      <c r="AW675" t="s">
        <v>74</v>
      </c>
      <c r="AX675" t="s">
        <v>74</v>
      </c>
      <c r="AY675" t="s">
        <v>74</v>
      </c>
      <c r="AZ675" t="s">
        <v>74</v>
      </c>
      <c r="BA675" t="s">
        <v>74</v>
      </c>
      <c r="BB675" t="s">
        <v>74</v>
      </c>
      <c r="BC675" t="s">
        <v>74</v>
      </c>
      <c r="BD675" t="s">
        <v>74</v>
      </c>
      <c r="BE675" t="s">
        <v>12636</v>
      </c>
      <c r="BF675" t="str">
        <f>HYPERLINK("http://dx.doi.org/10.1007/s10755-023-09669-2","http://dx.doi.org/10.1007/s10755-023-09669-2")</f>
        <v>http://dx.doi.org/10.1007/s10755-023-09669-2</v>
      </c>
      <c r="BG675" t="s">
        <v>74</v>
      </c>
      <c r="BH675" t="s">
        <v>10650</v>
      </c>
      <c r="BI675">
        <v>20</v>
      </c>
      <c r="BJ675" t="s">
        <v>3226</v>
      </c>
      <c r="BK675" t="s">
        <v>97</v>
      </c>
      <c r="BL675" t="s">
        <v>3226</v>
      </c>
      <c r="BM675" t="s">
        <v>12637</v>
      </c>
      <c r="BN675" t="s">
        <v>74</v>
      </c>
      <c r="BO675" t="s">
        <v>74</v>
      </c>
      <c r="BP675" t="s">
        <v>74</v>
      </c>
      <c r="BQ675" t="s">
        <v>74</v>
      </c>
      <c r="BR675" t="s">
        <v>99</v>
      </c>
      <c r="BS675" t="s">
        <v>12638</v>
      </c>
      <c r="BT675" t="str">
        <f>HYPERLINK("https%3A%2F%2Fwww.webofscience.com%2Fwos%2Fwoscc%2Ffull-record%2FWOS:001060329200001","View Full Record in Web of Science")</f>
        <v>View Full Record in Web of Science</v>
      </c>
    </row>
    <row r="676" spans="1:72" x14ac:dyDescent="0.15">
      <c r="A676" t="s">
        <v>72</v>
      </c>
      <c r="B676" t="s">
        <v>12639</v>
      </c>
      <c r="C676" t="s">
        <v>74</v>
      </c>
      <c r="D676" t="s">
        <v>74</v>
      </c>
      <c r="E676" t="s">
        <v>74</v>
      </c>
      <c r="F676" t="s">
        <v>12640</v>
      </c>
      <c r="G676" t="s">
        <v>74</v>
      </c>
      <c r="H676" t="s">
        <v>74</v>
      </c>
      <c r="I676" t="s">
        <v>12641</v>
      </c>
      <c r="J676" t="s">
        <v>12642</v>
      </c>
      <c r="K676" t="s">
        <v>74</v>
      </c>
      <c r="L676" t="s">
        <v>74</v>
      </c>
      <c r="M676" t="s">
        <v>78</v>
      </c>
      <c r="N676" t="s">
        <v>1246</v>
      </c>
      <c r="O676" t="s">
        <v>74</v>
      </c>
      <c r="P676" t="s">
        <v>74</v>
      </c>
      <c r="Q676" t="s">
        <v>74</v>
      </c>
      <c r="R676" t="s">
        <v>74</v>
      </c>
      <c r="S676" t="s">
        <v>74</v>
      </c>
      <c r="T676" t="s">
        <v>12643</v>
      </c>
      <c r="U676" t="s">
        <v>12644</v>
      </c>
      <c r="V676" t="s">
        <v>12645</v>
      </c>
      <c r="W676" t="s">
        <v>12646</v>
      </c>
      <c r="X676" t="s">
        <v>12647</v>
      </c>
      <c r="Y676" t="s">
        <v>12648</v>
      </c>
      <c r="Z676" t="s">
        <v>12649</v>
      </c>
      <c r="AA676" t="s">
        <v>74</v>
      </c>
      <c r="AB676" t="s">
        <v>74</v>
      </c>
      <c r="AC676" t="s">
        <v>12650</v>
      </c>
      <c r="AD676" t="s">
        <v>12650</v>
      </c>
      <c r="AE676" t="s">
        <v>12650</v>
      </c>
      <c r="AF676" t="s">
        <v>74</v>
      </c>
      <c r="AG676">
        <v>81</v>
      </c>
      <c r="AH676">
        <v>0</v>
      </c>
      <c r="AI676">
        <v>0</v>
      </c>
      <c r="AJ676">
        <v>0</v>
      </c>
      <c r="AK676">
        <v>0</v>
      </c>
      <c r="AL676" t="s">
        <v>117</v>
      </c>
      <c r="AM676" t="s">
        <v>118</v>
      </c>
      <c r="AN676" t="s">
        <v>119</v>
      </c>
      <c r="AO676" t="s">
        <v>12651</v>
      </c>
      <c r="AP676" t="s">
        <v>12652</v>
      </c>
      <c r="AQ676" t="s">
        <v>74</v>
      </c>
      <c r="AR676" t="s">
        <v>12653</v>
      </c>
      <c r="AS676" t="s">
        <v>12654</v>
      </c>
      <c r="AT676" t="s">
        <v>12421</v>
      </c>
      <c r="AU676">
        <v>2023</v>
      </c>
      <c r="AV676" t="s">
        <v>74</v>
      </c>
      <c r="AW676" t="s">
        <v>74</v>
      </c>
      <c r="AX676" t="s">
        <v>74</v>
      </c>
      <c r="AY676" t="s">
        <v>74</v>
      </c>
      <c r="AZ676" t="s">
        <v>74</v>
      </c>
      <c r="BA676" t="s">
        <v>74</v>
      </c>
      <c r="BB676" t="s">
        <v>74</v>
      </c>
      <c r="BC676" t="s">
        <v>74</v>
      </c>
      <c r="BD676" t="s">
        <v>12655</v>
      </c>
      <c r="BE676" t="s">
        <v>12656</v>
      </c>
      <c r="BF676" t="str">
        <f>HYPERLINK("http://dx.doi.org/10.1007/s12063-023-00401","http://dx.doi.org/10.1007/s12063-023-00401")</f>
        <v>http://dx.doi.org/10.1007/s12063-023-00401</v>
      </c>
      <c r="BG676" t="s">
        <v>74</v>
      </c>
      <c r="BH676" t="s">
        <v>10650</v>
      </c>
      <c r="BI676">
        <v>26</v>
      </c>
      <c r="BJ676" t="s">
        <v>2473</v>
      </c>
      <c r="BK676" t="s">
        <v>425</v>
      </c>
      <c r="BL676" t="s">
        <v>426</v>
      </c>
      <c r="BM676" t="s">
        <v>12657</v>
      </c>
      <c r="BN676" t="s">
        <v>74</v>
      </c>
      <c r="BO676" t="s">
        <v>74</v>
      </c>
      <c r="BP676" t="s">
        <v>74</v>
      </c>
      <c r="BQ676" t="s">
        <v>74</v>
      </c>
      <c r="BR676" t="s">
        <v>99</v>
      </c>
      <c r="BS676" t="s">
        <v>12658</v>
      </c>
      <c r="BT676" t="str">
        <f>HYPERLINK("https%3A%2F%2Fwww.webofscience.com%2Fwos%2Fwoscc%2Ffull-record%2FWOS:001058151700002","View Full Record in Web of Science")</f>
        <v>View Full Record in Web of Science</v>
      </c>
    </row>
    <row r="677" spans="1:72" x14ac:dyDescent="0.15">
      <c r="A677" t="s">
        <v>72</v>
      </c>
      <c r="B677" t="s">
        <v>12659</v>
      </c>
      <c r="C677" t="s">
        <v>74</v>
      </c>
      <c r="D677" t="s">
        <v>74</v>
      </c>
      <c r="E677" t="s">
        <v>74</v>
      </c>
      <c r="F677" t="s">
        <v>12660</v>
      </c>
      <c r="G677" t="s">
        <v>74</v>
      </c>
      <c r="H677" t="s">
        <v>74</v>
      </c>
      <c r="I677" t="s">
        <v>12661</v>
      </c>
      <c r="J677" t="s">
        <v>3232</v>
      </c>
      <c r="K677" t="s">
        <v>74</v>
      </c>
      <c r="L677" t="s">
        <v>74</v>
      </c>
      <c r="M677" t="s">
        <v>78</v>
      </c>
      <c r="N677" t="s">
        <v>1246</v>
      </c>
      <c r="O677" t="s">
        <v>74</v>
      </c>
      <c r="P677" t="s">
        <v>74</v>
      </c>
      <c r="Q677" t="s">
        <v>74</v>
      </c>
      <c r="R677" t="s">
        <v>74</v>
      </c>
      <c r="S677" t="s">
        <v>74</v>
      </c>
      <c r="T677" t="s">
        <v>12662</v>
      </c>
      <c r="U677" t="s">
        <v>74</v>
      </c>
      <c r="V677" t="s">
        <v>12663</v>
      </c>
      <c r="W677" t="s">
        <v>12664</v>
      </c>
      <c r="X677" t="s">
        <v>74</v>
      </c>
      <c r="Y677" t="s">
        <v>12665</v>
      </c>
      <c r="Z677" t="s">
        <v>12666</v>
      </c>
      <c r="AA677" t="s">
        <v>12667</v>
      </c>
      <c r="AB677" t="s">
        <v>12668</v>
      </c>
      <c r="AC677" t="s">
        <v>74</v>
      </c>
      <c r="AD677" t="s">
        <v>74</v>
      </c>
      <c r="AE677" t="s">
        <v>74</v>
      </c>
      <c r="AF677" t="s">
        <v>74</v>
      </c>
      <c r="AG677">
        <v>16</v>
      </c>
      <c r="AH677">
        <v>0</v>
      </c>
      <c r="AI677">
        <v>0</v>
      </c>
      <c r="AJ677">
        <v>0</v>
      </c>
      <c r="AK677">
        <v>0</v>
      </c>
      <c r="AL677" t="s">
        <v>269</v>
      </c>
      <c r="AM677" t="s">
        <v>118</v>
      </c>
      <c r="AN677" t="s">
        <v>270</v>
      </c>
      <c r="AO677" t="s">
        <v>3242</v>
      </c>
      <c r="AP677" t="s">
        <v>3243</v>
      </c>
      <c r="AQ677" t="s">
        <v>74</v>
      </c>
      <c r="AR677" t="s">
        <v>3244</v>
      </c>
      <c r="AS677" t="s">
        <v>3245</v>
      </c>
      <c r="AT677" t="s">
        <v>12421</v>
      </c>
      <c r="AU677">
        <v>2023</v>
      </c>
      <c r="AV677" t="s">
        <v>74</v>
      </c>
      <c r="AW677" t="s">
        <v>74</v>
      </c>
      <c r="AX677" t="s">
        <v>74</v>
      </c>
      <c r="AY677" t="s">
        <v>74</v>
      </c>
      <c r="AZ677" t="s">
        <v>74</v>
      </c>
      <c r="BA677" t="s">
        <v>74</v>
      </c>
      <c r="BB677" t="s">
        <v>74</v>
      </c>
      <c r="BC677" t="s">
        <v>74</v>
      </c>
      <c r="BD677" t="s">
        <v>74</v>
      </c>
      <c r="BE677" t="s">
        <v>12669</v>
      </c>
      <c r="BF677" t="str">
        <f>HYPERLINK("http://dx.doi.org/10.1007/s10815-023-02922-9","http://dx.doi.org/10.1007/s10815-023-02922-9")</f>
        <v>http://dx.doi.org/10.1007/s10815-023-02922-9</v>
      </c>
      <c r="BG677" t="s">
        <v>74</v>
      </c>
      <c r="BH677" t="s">
        <v>10650</v>
      </c>
      <c r="BI677">
        <v>9</v>
      </c>
      <c r="BJ677" t="s">
        <v>3247</v>
      </c>
      <c r="BK677" t="s">
        <v>126</v>
      </c>
      <c r="BL677" t="s">
        <v>3247</v>
      </c>
      <c r="BM677" t="s">
        <v>12670</v>
      </c>
      <c r="BN677">
        <v>37632639</v>
      </c>
      <c r="BO677" t="s">
        <v>74</v>
      </c>
      <c r="BP677" t="s">
        <v>74</v>
      </c>
      <c r="BQ677" t="s">
        <v>74</v>
      </c>
      <c r="BR677" t="s">
        <v>99</v>
      </c>
      <c r="BS677" t="s">
        <v>12671</v>
      </c>
      <c r="BT677" t="str">
        <f>HYPERLINK("https%3A%2F%2Fwww.webofscience.com%2Fwos%2Fwoscc%2Ffull-record%2FWOS:001063664600001","View Full Record in Web of Science")</f>
        <v>View Full Record in Web of Science</v>
      </c>
    </row>
    <row r="678" spans="1:72" x14ac:dyDescent="0.15">
      <c r="A678" t="s">
        <v>72</v>
      </c>
      <c r="B678" t="s">
        <v>12672</v>
      </c>
      <c r="C678" t="s">
        <v>74</v>
      </c>
      <c r="D678" t="s">
        <v>74</v>
      </c>
      <c r="E678" t="s">
        <v>74</v>
      </c>
      <c r="F678" t="s">
        <v>12673</v>
      </c>
      <c r="G678" t="s">
        <v>74</v>
      </c>
      <c r="H678" t="s">
        <v>74</v>
      </c>
      <c r="I678" t="s">
        <v>12674</v>
      </c>
      <c r="J678" t="s">
        <v>12675</v>
      </c>
      <c r="K678" t="s">
        <v>74</v>
      </c>
      <c r="L678" t="s">
        <v>74</v>
      </c>
      <c r="M678" t="s">
        <v>78</v>
      </c>
      <c r="N678" t="s">
        <v>79</v>
      </c>
      <c r="O678" t="s">
        <v>74</v>
      </c>
      <c r="P678" t="s">
        <v>74</v>
      </c>
      <c r="Q678" t="s">
        <v>74</v>
      </c>
      <c r="R678" t="s">
        <v>74</v>
      </c>
      <c r="S678" t="s">
        <v>74</v>
      </c>
      <c r="T678" t="s">
        <v>12676</v>
      </c>
      <c r="U678" t="s">
        <v>74</v>
      </c>
      <c r="V678" t="s">
        <v>12677</v>
      </c>
      <c r="W678" t="s">
        <v>12678</v>
      </c>
      <c r="X678" t="s">
        <v>12679</v>
      </c>
      <c r="Y678" t="s">
        <v>12680</v>
      </c>
      <c r="Z678" t="s">
        <v>12681</v>
      </c>
      <c r="AA678" t="s">
        <v>74</v>
      </c>
      <c r="AB678" t="s">
        <v>74</v>
      </c>
      <c r="AC678" t="s">
        <v>12682</v>
      </c>
      <c r="AD678" t="s">
        <v>12683</v>
      </c>
      <c r="AE678" t="s">
        <v>12684</v>
      </c>
      <c r="AF678" t="s">
        <v>74</v>
      </c>
      <c r="AG678">
        <v>24</v>
      </c>
      <c r="AH678">
        <v>0</v>
      </c>
      <c r="AI678">
        <v>0</v>
      </c>
      <c r="AJ678">
        <v>0</v>
      </c>
      <c r="AK678">
        <v>0</v>
      </c>
      <c r="AL678" t="s">
        <v>172</v>
      </c>
      <c r="AM678" t="s">
        <v>173</v>
      </c>
      <c r="AN678" t="s">
        <v>174</v>
      </c>
      <c r="AO678" t="s">
        <v>12685</v>
      </c>
      <c r="AP678" t="s">
        <v>12686</v>
      </c>
      <c r="AQ678" t="s">
        <v>74</v>
      </c>
      <c r="AR678" t="s">
        <v>12687</v>
      </c>
      <c r="AS678" t="s">
        <v>12688</v>
      </c>
      <c r="AT678" t="s">
        <v>8614</v>
      </c>
      <c r="AU678">
        <v>2023</v>
      </c>
      <c r="AV678">
        <v>42</v>
      </c>
      <c r="AW678">
        <v>3</v>
      </c>
      <c r="AX678" t="s">
        <v>74</v>
      </c>
      <c r="AY678" t="s">
        <v>74</v>
      </c>
      <c r="AZ678" t="s">
        <v>74</v>
      </c>
      <c r="BA678" t="s">
        <v>74</v>
      </c>
      <c r="BB678">
        <v>500</v>
      </c>
      <c r="BC678">
        <v>512</v>
      </c>
      <c r="BD678" t="s">
        <v>74</v>
      </c>
      <c r="BE678" t="s">
        <v>12689</v>
      </c>
      <c r="BF678" t="str">
        <f>HYPERLINK("http://dx.doi.org/10.1007/s10230-023-00950-6","http://dx.doi.org/10.1007/s10230-023-00950-6")</f>
        <v>http://dx.doi.org/10.1007/s10230-023-00950-6</v>
      </c>
      <c r="BG678" t="s">
        <v>74</v>
      </c>
      <c r="BH678" t="s">
        <v>10650</v>
      </c>
      <c r="BI678">
        <v>13</v>
      </c>
      <c r="BJ678" t="s">
        <v>12690</v>
      </c>
      <c r="BK678" t="s">
        <v>126</v>
      </c>
      <c r="BL678" t="s">
        <v>12690</v>
      </c>
      <c r="BM678" t="s">
        <v>12691</v>
      </c>
      <c r="BN678" t="s">
        <v>74</v>
      </c>
      <c r="BO678" t="s">
        <v>74</v>
      </c>
      <c r="BP678" t="s">
        <v>74</v>
      </c>
      <c r="BQ678" t="s">
        <v>74</v>
      </c>
      <c r="BR678" t="s">
        <v>99</v>
      </c>
      <c r="BS678" t="s">
        <v>12692</v>
      </c>
      <c r="BT678" t="str">
        <f>HYPERLINK("https%3A%2F%2Fwww.webofscience.com%2Fwos%2Fwoscc%2Ffull-record%2FWOS:001063690400001","View Full Record in Web of Science")</f>
        <v>View Full Record in Web of Science</v>
      </c>
    </row>
    <row r="679" spans="1:72" x14ac:dyDescent="0.15">
      <c r="A679" t="s">
        <v>72</v>
      </c>
      <c r="B679" t="s">
        <v>12693</v>
      </c>
      <c r="C679" t="s">
        <v>74</v>
      </c>
      <c r="D679" t="s">
        <v>74</v>
      </c>
      <c r="E679" t="s">
        <v>74</v>
      </c>
      <c r="F679" t="s">
        <v>12694</v>
      </c>
      <c r="G679" t="s">
        <v>74</v>
      </c>
      <c r="H679" t="s">
        <v>74</v>
      </c>
      <c r="I679" t="s">
        <v>12695</v>
      </c>
      <c r="J679" t="s">
        <v>9863</v>
      </c>
      <c r="K679" t="s">
        <v>74</v>
      </c>
      <c r="L679" t="s">
        <v>74</v>
      </c>
      <c r="M679" t="s">
        <v>78</v>
      </c>
      <c r="N679" t="s">
        <v>1246</v>
      </c>
      <c r="O679" t="s">
        <v>74</v>
      </c>
      <c r="P679" t="s">
        <v>74</v>
      </c>
      <c r="Q679" t="s">
        <v>74</v>
      </c>
      <c r="R679" t="s">
        <v>74</v>
      </c>
      <c r="S679" t="s">
        <v>74</v>
      </c>
      <c r="T679" t="s">
        <v>12696</v>
      </c>
      <c r="U679" t="s">
        <v>12697</v>
      </c>
      <c r="V679" t="s">
        <v>12698</v>
      </c>
      <c r="W679" t="s">
        <v>12699</v>
      </c>
      <c r="X679" t="s">
        <v>12700</v>
      </c>
      <c r="Y679" t="s">
        <v>12701</v>
      </c>
      <c r="Z679" t="s">
        <v>12702</v>
      </c>
      <c r="AA679" t="s">
        <v>74</v>
      </c>
      <c r="AB679" t="s">
        <v>74</v>
      </c>
      <c r="AC679" t="s">
        <v>12703</v>
      </c>
      <c r="AD679" t="s">
        <v>12704</v>
      </c>
      <c r="AE679" t="s">
        <v>12705</v>
      </c>
      <c r="AF679" t="s">
        <v>74</v>
      </c>
      <c r="AG679">
        <v>45</v>
      </c>
      <c r="AH679">
        <v>0</v>
      </c>
      <c r="AI679">
        <v>0</v>
      </c>
      <c r="AJ679">
        <v>0</v>
      </c>
      <c r="AK679">
        <v>0</v>
      </c>
      <c r="AL679" t="s">
        <v>117</v>
      </c>
      <c r="AM679" t="s">
        <v>627</v>
      </c>
      <c r="AN679" t="s">
        <v>628</v>
      </c>
      <c r="AO679" t="s">
        <v>9874</v>
      </c>
      <c r="AP679" t="s">
        <v>9875</v>
      </c>
      <c r="AQ679" t="s">
        <v>74</v>
      </c>
      <c r="AR679" t="s">
        <v>9876</v>
      </c>
      <c r="AS679" t="s">
        <v>9877</v>
      </c>
      <c r="AT679" t="s">
        <v>12706</v>
      </c>
      <c r="AU679">
        <v>2023</v>
      </c>
      <c r="AV679" t="s">
        <v>74</v>
      </c>
      <c r="AW679" t="s">
        <v>74</v>
      </c>
      <c r="AX679" t="s">
        <v>74</v>
      </c>
      <c r="AY679" t="s">
        <v>74</v>
      </c>
      <c r="AZ679" t="s">
        <v>74</v>
      </c>
      <c r="BA679" t="s">
        <v>74</v>
      </c>
      <c r="BB679" t="s">
        <v>74</v>
      </c>
      <c r="BC679" t="s">
        <v>74</v>
      </c>
      <c r="BD679" t="s">
        <v>74</v>
      </c>
      <c r="BE679" t="s">
        <v>12707</v>
      </c>
      <c r="BF679" t="str">
        <f>HYPERLINK("http://dx.doi.org/10.1007/s10489-023-04846-4","http://dx.doi.org/10.1007/s10489-023-04846-4")</f>
        <v>http://dx.doi.org/10.1007/s10489-023-04846-4</v>
      </c>
      <c r="BG679" t="s">
        <v>74</v>
      </c>
      <c r="BH679" t="s">
        <v>10650</v>
      </c>
      <c r="BI679">
        <v>24</v>
      </c>
      <c r="BJ679" t="s">
        <v>5390</v>
      </c>
      <c r="BK679" t="s">
        <v>126</v>
      </c>
      <c r="BL679" t="s">
        <v>1139</v>
      </c>
      <c r="BM679" t="s">
        <v>12708</v>
      </c>
      <c r="BN679" t="s">
        <v>74</v>
      </c>
      <c r="BO679" t="s">
        <v>74</v>
      </c>
      <c r="BP679" t="s">
        <v>74</v>
      </c>
      <c r="BQ679" t="s">
        <v>74</v>
      </c>
      <c r="BR679" t="s">
        <v>99</v>
      </c>
      <c r="BS679" t="s">
        <v>12709</v>
      </c>
      <c r="BT679" t="str">
        <f>HYPERLINK("https%3A%2F%2Fwww.webofscience.com%2Fwos%2Fwoscc%2Ffull-record%2FWOS:001063584500005","View Full Record in Web of Science")</f>
        <v>View Full Record in Web of Science</v>
      </c>
    </row>
    <row r="680" spans="1:72" x14ac:dyDescent="0.15">
      <c r="A680" t="s">
        <v>72</v>
      </c>
      <c r="B680" t="s">
        <v>12710</v>
      </c>
      <c r="C680" t="s">
        <v>74</v>
      </c>
      <c r="D680" t="s">
        <v>74</v>
      </c>
      <c r="E680" t="s">
        <v>74</v>
      </c>
      <c r="F680" t="s">
        <v>12711</v>
      </c>
      <c r="G680" t="s">
        <v>74</v>
      </c>
      <c r="H680" t="s">
        <v>74</v>
      </c>
      <c r="I680" t="s">
        <v>12712</v>
      </c>
      <c r="J680" t="s">
        <v>12713</v>
      </c>
      <c r="K680" t="s">
        <v>74</v>
      </c>
      <c r="L680" t="s">
        <v>74</v>
      </c>
      <c r="M680" t="s">
        <v>78</v>
      </c>
      <c r="N680" t="s">
        <v>1246</v>
      </c>
      <c r="O680" t="s">
        <v>74</v>
      </c>
      <c r="P680" t="s">
        <v>74</v>
      </c>
      <c r="Q680" t="s">
        <v>74</v>
      </c>
      <c r="R680" t="s">
        <v>74</v>
      </c>
      <c r="S680" t="s">
        <v>74</v>
      </c>
      <c r="T680" t="s">
        <v>12714</v>
      </c>
      <c r="U680" t="s">
        <v>12715</v>
      </c>
      <c r="V680" t="s">
        <v>12716</v>
      </c>
      <c r="W680" t="s">
        <v>12717</v>
      </c>
      <c r="X680" t="s">
        <v>12718</v>
      </c>
      <c r="Y680" t="s">
        <v>12719</v>
      </c>
      <c r="Z680" t="s">
        <v>12720</v>
      </c>
      <c r="AA680" t="s">
        <v>74</v>
      </c>
      <c r="AB680" t="s">
        <v>74</v>
      </c>
      <c r="AC680" t="s">
        <v>12721</v>
      </c>
      <c r="AD680" t="s">
        <v>12722</v>
      </c>
      <c r="AE680" t="s">
        <v>12723</v>
      </c>
      <c r="AF680" t="s">
        <v>74</v>
      </c>
      <c r="AG680">
        <v>42</v>
      </c>
      <c r="AH680">
        <v>0</v>
      </c>
      <c r="AI680">
        <v>0</v>
      </c>
      <c r="AJ680">
        <v>0</v>
      </c>
      <c r="AK680">
        <v>0</v>
      </c>
      <c r="AL680" t="s">
        <v>172</v>
      </c>
      <c r="AM680" t="s">
        <v>173</v>
      </c>
      <c r="AN680" t="s">
        <v>174</v>
      </c>
      <c r="AO680" t="s">
        <v>12724</v>
      </c>
      <c r="AP680" t="s">
        <v>12725</v>
      </c>
      <c r="AQ680" t="s">
        <v>74</v>
      </c>
      <c r="AR680" t="s">
        <v>12726</v>
      </c>
      <c r="AS680" t="s">
        <v>12727</v>
      </c>
      <c r="AT680" t="s">
        <v>12706</v>
      </c>
      <c r="AU680">
        <v>2023</v>
      </c>
      <c r="AV680" t="s">
        <v>74</v>
      </c>
      <c r="AW680" t="s">
        <v>74</v>
      </c>
      <c r="AX680" t="s">
        <v>74</v>
      </c>
      <c r="AY680" t="s">
        <v>74</v>
      </c>
      <c r="AZ680" t="s">
        <v>74</v>
      </c>
      <c r="BA680" t="s">
        <v>74</v>
      </c>
      <c r="BB680" t="s">
        <v>74</v>
      </c>
      <c r="BC680" t="s">
        <v>74</v>
      </c>
      <c r="BD680" t="s">
        <v>74</v>
      </c>
      <c r="BE680" t="s">
        <v>12728</v>
      </c>
      <c r="BF680" t="str">
        <f>HYPERLINK("http://dx.doi.org/10.1007/s00127-023-02553-6","http://dx.doi.org/10.1007/s00127-023-02553-6")</f>
        <v>http://dx.doi.org/10.1007/s00127-023-02553-6</v>
      </c>
      <c r="BG680" t="s">
        <v>74</v>
      </c>
      <c r="BH680" t="s">
        <v>10650</v>
      </c>
      <c r="BI680">
        <v>11</v>
      </c>
      <c r="BJ680" t="s">
        <v>3373</v>
      </c>
      <c r="BK680" t="s">
        <v>2431</v>
      </c>
      <c r="BL680" t="s">
        <v>3373</v>
      </c>
      <c r="BM680" t="s">
        <v>12729</v>
      </c>
      <c r="BN680">
        <v>37624465</v>
      </c>
      <c r="BO680" t="s">
        <v>74</v>
      </c>
      <c r="BP680" t="s">
        <v>74</v>
      </c>
      <c r="BQ680" t="s">
        <v>74</v>
      </c>
      <c r="BR680" t="s">
        <v>99</v>
      </c>
      <c r="BS680" t="s">
        <v>12730</v>
      </c>
      <c r="BT680" t="str">
        <f>HYPERLINK("https%3A%2F%2Fwww.webofscience.com%2Fwos%2Fwoscc%2Ffull-record%2FWOS:001063528200001","View Full Record in Web of Science")</f>
        <v>View Full Record in Web of Science</v>
      </c>
    </row>
    <row r="681" spans="1:72" x14ac:dyDescent="0.15">
      <c r="A681" t="s">
        <v>72</v>
      </c>
      <c r="B681" t="s">
        <v>12731</v>
      </c>
      <c r="C681" t="s">
        <v>74</v>
      </c>
      <c r="D681" t="s">
        <v>74</v>
      </c>
      <c r="E681" t="s">
        <v>74</v>
      </c>
      <c r="F681" t="s">
        <v>12732</v>
      </c>
      <c r="G681" t="s">
        <v>74</v>
      </c>
      <c r="H681" t="s">
        <v>74</v>
      </c>
      <c r="I681" t="s">
        <v>12733</v>
      </c>
      <c r="J681" t="s">
        <v>12734</v>
      </c>
      <c r="K681" t="s">
        <v>74</v>
      </c>
      <c r="L681" t="s">
        <v>74</v>
      </c>
      <c r="M681" t="s">
        <v>78</v>
      </c>
      <c r="N681" t="s">
        <v>79</v>
      </c>
      <c r="O681" t="s">
        <v>74</v>
      </c>
      <c r="P681" t="s">
        <v>74</v>
      </c>
      <c r="Q681" t="s">
        <v>74</v>
      </c>
      <c r="R681" t="s">
        <v>74</v>
      </c>
      <c r="S681" t="s">
        <v>74</v>
      </c>
      <c r="T681" t="s">
        <v>12735</v>
      </c>
      <c r="U681" t="s">
        <v>12736</v>
      </c>
      <c r="V681" t="s">
        <v>12737</v>
      </c>
      <c r="W681" t="s">
        <v>12738</v>
      </c>
      <c r="X681" t="s">
        <v>12739</v>
      </c>
      <c r="Y681" t="s">
        <v>12740</v>
      </c>
      <c r="Z681" t="s">
        <v>12741</v>
      </c>
      <c r="AA681" t="s">
        <v>74</v>
      </c>
      <c r="AB681" t="s">
        <v>74</v>
      </c>
      <c r="AC681" t="s">
        <v>932</v>
      </c>
      <c r="AD681" t="s">
        <v>932</v>
      </c>
      <c r="AE681" t="s">
        <v>932</v>
      </c>
      <c r="AF681" t="s">
        <v>74</v>
      </c>
      <c r="AG681">
        <v>33</v>
      </c>
      <c r="AH681">
        <v>0</v>
      </c>
      <c r="AI681">
        <v>0</v>
      </c>
      <c r="AJ681">
        <v>0</v>
      </c>
      <c r="AK681">
        <v>0</v>
      </c>
      <c r="AL681" t="s">
        <v>443</v>
      </c>
      <c r="AM681" t="s">
        <v>245</v>
      </c>
      <c r="AN681" t="s">
        <v>444</v>
      </c>
      <c r="AO681" t="s">
        <v>74</v>
      </c>
      <c r="AP681" t="s">
        <v>12742</v>
      </c>
      <c r="AQ681" t="s">
        <v>74</v>
      </c>
      <c r="AR681" t="s">
        <v>12743</v>
      </c>
      <c r="AS681" t="s">
        <v>12744</v>
      </c>
      <c r="AT681" t="s">
        <v>12745</v>
      </c>
      <c r="AU681">
        <v>2023</v>
      </c>
      <c r="AV681">
        <v>24</v>
      </c>
      <c r="AW681">
        <v>1</v>
      </c>
      <c r="AX681" t="s">
        <v>74</v>
      </c>
      <c r="AY681" t="s">
        <v>74</v>
      </c>
      <c r="AZ681" t="s">
        <v>74</v>
      </c>
      <c r="BA681" t="s">
        <v>74</v>
      </c>
      <c r="BB681" t="s">
        <v>74</v>
      </c>
      <c r="BC681" t="s">
        <v>74</v>
      </c>
      <c r="BD681">
        <v>164</v>
      </c>
      <c r="BE681" t="s">
        <v>12746</v>
      </c>
      <c r="BF681" t="str">
        <f>HYPERLINK("http://dx.doi.org/10.1186/s12875-023-02120-7","http://dx.doi.org/10.1186/s12875-023-02120-7")</f>
        <v>http://dx.doi.org/10.1186/s12875-023-02120-7</v>
      </c>
      <c r="BG681" t="s">
        <v>74</v>
      </c>
      <c r="BH681" t="s">
        <v>74</v>
      </c>
      <c r="BI681">
        <v>9</v>
      </c>
      <c r="BJ681" t="s">
        <v>12747</v>
      </c>
      <c r="BK681" t="s">
        <v>126</v>
      </c>
      <c r="BL681" t="s">
        <v>1239</v>
      </c>
      <c r="BM681" t="s">
        <v>12748</v>
      </c>
      <c r="BN681">
        <v>37626283</v>
      </c>
      <c r="BO681" t="s">
        <v>302</v>
      </c>
      <c r="BP681" t="s">
        <v>74</v>
      </c>
      <c r="BQ681" t="s">
        <v>74</v>
      </c>
      <c r="BR681" t="s">
        <v>99</v>
      </c>
      <c r="BS681" t="s">
        <v>12749</v>
      </c>
      <c r="BT681" t="str">
        <f>HYPERLINK("https%3A%2F%2Fwww.webofscience.com%2Fwos%2Fwoscc%2Ffull-record%2FWOS:001054688800003","View Full Record in Web of Science")</f>
        <v>View Full Record in Web of Science</v>
      </c>
    </row>
    <row r="682" spans="1:72" x14ac:dyDescent="0.15">
      <c r="A682" t="s">
        <v>72</v>
      </c>
      <c r="B682" t="s">
        <v>12750</v>
      </c>
      <c r="C682" t="s">
        <v>74</v>
      </c>
      <c r="D682" t="s">
        <v>74</v>
      </c>
      <c r="E682" t="s">
        <v>74</v>
      </c>
      <c r="F682" t="s">
        <v>12751</v>
      </c>
      <c r="G682" t="s">
        <v>74</v>
      </c>
      <c r="H682" t="s">
        <v>74</v>
      </c>
      <c r="I682" t="s">
        <v>12752</v>
      </c>
      <c r="J682" t="s">
        <v>12753</v>
      </c>
      <c r="K682" t="s">
        <v>74</v>
      </c>
      <c r="L682" t="s">
        <v>74</v>
      </c>
      <c r="M682" t="s">
        <v>78</v>
      </c>
      <c r="N682" t="s">
        <v>1246</v>
      </c>
      <c r="O682" t="s">
        <v>74</v>
      </c>
      <c r="P682" t="s">
        <v>74</v>
      </c>
      <c r="Q682" t="s">
        <v>74</v>
      </c>
      <c r="R682" t="s">
        <v>74</v>
      </c>
      <c r="S682" t="s">
        <v>74</v>
      </c>
      <c r="T682" t="s">
        <v>12754</v>
      </c>
      <c r="U682" t="s">
        <v>12755</v>
      </c>
      <c r="V682" t="s">
        <v>12756</v>
      </c>
      <c r="W682" t="s">
        <v>12757</v>
      </c>
      <c r="X682" t="s">
        <v>12758</v>
      </c>
      <c r="Y682" t="s">
        <v>12759</v>
      </c>
      <c r="Z682" t="s">
        <v>12760</v>
      </c>
      <c r="AA682" t="s">
        <v>74</v>
      </c>
      <c r="AB682" t="s">
        <v>12761</v>
      </c>
      <c r="AC682" t="s">
        <v>12762</v>
      </c>
      <c r="AD682" t="s">
        <v>12763</v>
      </c>
      <c r="AE682" t="s">
        <v>12764</v>
      </c>
      <c r="AF682" t="s">
        <v>74</v>
      </c>
      <c r="AG682">
        <v>27</v>
      </c>
      <c r="AH682">
        <v>0</v>
      </c>
      <c r="AI682">
        <v>0</v>
      </c>
      <c r="AJ682">
        <v>0</v>
      </c>
      <c r="AK682">
        <v>0</v>
      </c>
      <c r="AL682" t="s">
        <v>117</v>
      </c>
      <c r="AM682" t="s">
        <v>118</v>
      </c>
      <c r="AN682" t="s">
        <v>119</v>
      </c>
      <c r="AO682" t="s">
        <v>12765</v>
      </c>
      <c r="AP682" t="s">
        <v>12766</v>
      </c>
      <c r="AQ682" t="s">
        <v>74</v>
      </c>
      <c r="AR682" t="s">
        <v>12767</v>
      </c>
      <c r="AS682" t="s">
        <v>12768</v>
      </c>
      <c r="AT682" t="s">
        <v>12706</v>
      </c>
      <c r="AU682">
        <v>2023</v>
      </c>
      <c r="AV682" t="s">
        <v>74</v>
      </c>
      <c r="AW682" t="s">
        <v>74</v>
      </c>
      <c r="AX682" t="s">
        <v>74</v>
      </c>
      <c r="AY682" t="s">
        <v>74</v>
      </c>
      <c r="AZ682" t="s">
        <v>74</v>
      </c>
      <c r="BA682" t="s">
        <v>74</v>
      </c>
      <c r="BB682" t="s">
        <v>74</v>
      </c>
      <c r="BC682" t="s">
        <v>74</v>
      </c>
      <c r="BD682" t="s">
        <v>74</v>
      </c>
      <c r="BE682" t="s">
        <v>12769</v>
      </c>
      <c r="BF682" t="str">
        <f>HYPERLINK("http://dx.doi.org/10.1007/s10644-023-09550-4","http://dx.doi.org/10.1007/s10644-023-09550-4")</f>
        <v>http://dx.doi.org/10.1007/s10644-023-09550-4</v>
      </c>
      <c r="BG682" t="s">
        <v>74</v>
      </c>
      <c r="BH682" t="s">
        <v>10650</v>
      </c>
      <c r="BI682">
        <v>31</v>
      </c>
      <c r="BJ682" t="s">
        <v>2781</v>
      </c>
      <c r="BK682" t="s">
        <v>425</v>
      </c>
      <c r="BL682" t="s">
        <v>426</v>
      </c>
      <c r="BM682" t="s">
        <v>12770</v>
      </c>
      <c r="BN682" t="s">
        <v>74</v>
      </c>
      <c r="BO682" t="s">
        <v>74</v>
      </c>
      <c r="BP682" t="s">
        <v>74</v>
      </c>
      <c r="BQ682" t="s">
        <v>74</v>
      </c>
      <c r="BR682" t="s">
        <v>99</v>
      </c>
      <c r="BS682" t="s">
        <v>12771</v>
      </c>
      <c r="BT682" t="str">
        <f>HYPERLINK("https%3A%2F%2Fwww.webofscience.com%2Fwos%2Fwoscc%2Ffull-record%2FWOS:001063526800002","View Full Record in Web of Science")</f>
        <v>View Full Record in Web of Science</v>
      </c>
    </row>
    <row r="683" spans="1:72" x14ac:dyDescent="0.15">
      <c r="A683" t="s">
        <v>72</v>
      </c>
      <c r="B683" t="s">
        <v>12772</v>
      </c>
      <c r="C683" t="s">
        <v>74</v>
      </c>
      <c r="D683" t="s">
        <v>74</v>
      </c>
      <c r="E683" t="s">
        <v>74</v>
      </c>
      <c r="F683" t="s">
        <v>12773</v>
      </c>
      <c r="G683" t="s">
        <v>74</v>
      </c>
      <c r="H683" t="s">
        <v>74</v>
      </c>
      <c r="I683" t="s">
        <v>12774</v>
      </c>
      <c r="J683" t="s">
        <v>6313</v>
      </c>
      <c r="K683" t="s">
        <v>74</v>
      </c>
      <c r="L683" t="s">
        <v>74</v>
      </c>
      <c r="M683" t="s">
        <v>78</v>
      </c>
      <c r="N683" t="s">
        <v>79</v>
      </c>
      <c r="O683" t="s">
        <v>74</v>
      </c>
      <c r="P683" t="s">
        <v>74</v>
      </c>
      <c r="Q683" t="s">
        <v>74</v>
      </c>
      <c r="R683" t="s">
        <v>74</v>
      </c>
      <c r="S683" t="s">
        <v>74</v>
      </c>
      <c r="T683" t="s">
        <v>12775</v>
      </c>
      <c r="U683" t="s">
        <v>12776</v>
      </c>
      <c r="V683" t="s">
        <v>12777</v>
      </c>
      <c r="W683" t="s">
        <v>12778</v>
      </c>
      <c r="X683" t="s">
        <v>12779</v>
      </c>
      <c r="Y683" t="s">
        <v>12780</v>
      </c>
      <c r="Z683" t="s">
        <v>12781</v>
      </c>
      <c r="AA683" t="s">
        <v>12782</v>
      </c>
      <c r="AB683" t="s">
        <v>74</v>
      </c>
      <c r="AC683" t="s">
        <v>932</v>
      </c>
      <c r="AD683" t="s">
        <v>932</v>
      </c>
      <c r="AE683" t="s">
        <v>932</v>
      </c>
      <c r="AF683" t="s">
        <v>74</v>
      </c>
      <c r="AG683">
        <v>53</v>
      </c>
      <c r="AH683">
        <v>0</v>
      </c>
      <c r="AI683">
        <v>0</v>
      </c>
      <c r="AJ683">
        <v>6</v>
      </c>
      <c r="AK683">
        <v>6</v>
      </c>
      <c r="AL683" t="s">
        <v>443</v>
      </c>
      <c r="AM683" t="s">
        <v>245</v>
      </c>
      <c r="AN683" t="s">
        <v>444</v>
      </c>
      <c r="AO683" t="s">
        <v>74</v>
      </c>
      <c r="AP683" t="s">
        <v>6324</v>
      </c>
      <c r="AQ683" t="s">
        <v>74</v>
      </c>
      <c r="AR683" t="s">
        <v>6325</v>
      </c>
      <c r="AS683" t="s">
        <v>6326</v>
      </c>
      <c r="AT683" t="s">
        <v>12745</v>
      </c>
      <c r="AU683">
        <v>2023</v>
      </c>
      <c r="AV683">
        <v>21</v>
      </c>
      <c r="AW683">
        <v>1</v>
      </c>
      <c r="AX683" t="s">
        <v>74</v>
      </c>
      <c r="AY683" t="s">
        <v>74</v>
      </c>
      <c r="AZ683" t="s">
        <v>74</v>
      </c>
      <c r="BA683" t="s">
        <v>74</v>
      </c>
      <c r="BB683" t="s">
        <v>74</v>
      </c>
      <c r="BC683" t="s">
        <v>74</v>
      </c>
      <c r="BD683">
        <v>294</v>
      </c>
      <c r="BE683" t="s">
        <v>12783</v>
      </c>
      <c r="BF683" t="str">
        <f>HYPERLINK("http://dx.doi.org/10.1186/s12951-023-02048-1","http://dx.doi.org/10.1186/s12951-023-02048-1")</f>
        <v>http://dx.doi.org/10.1186/s12951-023-02048-1</v>
      </c>
      <c r="BG683" t="s">
        <v>74</v>
      </c>
      <c r="BH683" t="s">
        <v>74</v>
      </c>
      <c r="BI683">
        <v>18</v>
      </c>
      <c r="BJ683" t="s">
        <v>6328</v>
      </c>
      <c r="BK683" t="s">
        <v>126</v>
      </c>
      <c r="BL683" t="s">
        <v>6329</v>
      </c>
      <c r="BM683" t="s">
        <v>12784</v>
      </c>
      <c r="BN683">
        <v>37626334</v>
      </c>
      <c r="BO683" t="s">
        <v>302</v>
      </c>
      <c r="BP683" t="s">
        <v>74</v>
      </c>
      <c r="BQ683" t="s">
        <v>74</v>
      </c>
      <c r="BR683" t="s">
        <v>99</v>
      </c>
      <c r="BS683" t="s">
        <v>12785</v>
      </c>
      <c r="BT683" t="str">
        <f>HYPERLINK("https%3A%2F%2Fwww.webofscience.com%2Fwos%2Fwoscc%2Ffull-record%2FWOS:001064035600001","View Full Record in Web of Science")</f>
        <v>View Full Record in Web of Science</v>
      </c>
    </row>
    <row r="684" spans="1:72" x14ac:dyDescent="0.15">
      <c r="A684" t="s">
        <v>72</v>
      </c>
      <c r="B684" t="s">
        <v>12786</v>
      </c>
      <c r="C684" t="s">
        <v>74</v>
      </c>
      <c r="D684" t="s">
        <v>74</v>
      </c>
      <c r="E684" t="s">
        <v>74</v>
      </c>
      <c r="F684" t="s">
        <v>12787</v>
      </c>
      <c r="G684" t="s">
        <v>74</v>
      </c>
      <c r="H684" t="s">
        <v>74</v>
      </c>
      <c r="I684" t="s">
        <v>12788</v>
      </c>
      <c r="J684" t="s">
        <v>12789</v>
      </c>
      <c r="K684" t="s">
        <v>74</v>
      </c>
      <c r="L684" t="s">
        <v>74</v>
      </c>
      <c r="M684" t="s">
        <v>78</v>
      </c>
      <c r="N684" t="s">
        <v>1246</v>
      </c>
      <c r="O684" t="s">
        <v>74</v>
      </c>
      <c r="P684" t="s">
        <v>74</v>
      </c>
      <c r="Q684" t="s">
        <v>74</v>
      </c>
      <c r="R684" t="s">
        <v>74</v>
      </c>
      <c r="S684" t="s">
        <v>74</v>
      </c>
      <c r="T684" t="s">
        <v>12790</v>
      </c>
      <c r="U684" t="s">
        <v>12791</v>
      </c>
      <c r="V684" t="s">
        <v>12792</v>
      </c>
      <c r="W684" t="s">
        <v>12793</v>
      </c>
      <c r="X684" t="s">
        <v>12794</v>
      </c>
      <c r="Y684" t="s">
        <v>12795</v>
      </c>
      <c r="Z684" t="s">
        <v>12796</v>
      </c>
      <c r="AA684" t="s">
        <v>74</v>
      </c>
      <c r="AB684" t="s">
        <v>74</v>
      </c>
      <c r="AC684" t="s">
        <v>12797</v>
      </c>
      <c r="AD684" t="s">
        <v>12798</v>
      </c>
      <c r="AE684" t="s">
        <v>12799</v>
      </c>
      <c r="AF684" t="s">
        <v>74</v>
      </c>
      <c r="AG684">
        <v>38</v>
      </c>
      <c r="AH684">
        <v>0</v>
      </c>
      <c r="AI684">
        <v>0</v>
      </c>
      <c r="AJ684">
        <v>0</v>
      </c>
      <c r="AK684">
        <v>0</v>
      </c>
      <c r="AL684" t="s">
        <v>117</v>
      </c>
      <c r="AM684" t="s">
        <v>627</v>
      </c>
      <c r="AN684" t="s">
        <v>628</v>
      </c>
      <c r="AO684" t="s">
        <v>12800</v>
      </c>
      <c r="AP684" t="s">
        <v>12801</v>
      </c>
      <c r="AQ684" t="s">
        <v>74</v>
      </c>
      <c r="AR684" t="s">
        <v>12802</v>
      </c>
      <c r="AS684" t="s">
        <v>12803</v>
      </c>
      <c r="AT684" t="s">
        <v>12706</v>
      </c>
      <c r="AU684">
        <v>2023</v>
      </c>
      <c r="AV684" t="s">
        <v>74</v>
      </c>
      <c r="AW684" t="s">
        <v>74</v>
      </c>
      <c r="AX684" t="s">
        <v>74</v>
      </c>
      <c r="AY684" t="s">
        <v>74</v>
      </c>
      <c r="AZ684" t="s">
        <v>74</v>
      </c>
      <c r="BA684" t="s">
        <v>74</v>
      </c>
      <c r="BB684" t="s">
        <v>74</v>
      </c>
      <c r="BC684" t="s">
        <v>74</v>
      </c>
      <c r="BD684" t="s">
        <v>74</v>
      </c>
      <c r="BE684" t="s">
        <v>12804</v>
      </c>
      <c r="BF684" t="str">
        <f>HYPERLINK("http://dx.doi.org/10.1007/s10904-023-02830-6","http://dx.doi.org/10.1007/s10904-023-02830-6")</f>
        <v>http://dx.doi.org/10.1007/s10904-023-02830-6</v>
      </c>
      <c r="BG684" t="s">
        <v>74</v>
      </c>
      <c r="BH684" t="s">
        <v>10650</v>
      </c>
      <c r="BI684">
        <v>15</v>
      </c>
      <c r="BJ684" t="s">
        <v>1568</v>
      </c>
      <c r="BK684" t="s">
        <v>126</v>
      </c>
      <c r="BL684" t="s">
        <v>1568</v>
      </c>
      <c r="BM684" t="s">
        <v>12805</v>
      </c>
      <c r="BN684" t="s">
        <v>74</v>
      </c>
      <c r="BO684" t="s">
        <v>327</v>
      </c>
      <c r="BP684" t="s">
        <v>74</v>
      </c>
      <c r="BQ684" t="s">
        <v>74</v>
      </c>
      <c r="BR684" t="s">
        <v>99</v>
      </c>
      <c r="BS684" t="s">
        <v>12806</v>
      </c>
      <c r="BT684" t="str">
        <f>HYPERLINK("https%3A%2F%2Fwww.webofscience.com%2Fwos%2Fwoscc%2Ffull-record%2FWOS:001060153000001","View Full Record in Web of Science")</f>
        <v>View Full Record in Web of Science</v>
      </c>
    </row>
    <row r="685" spans="1:72" x14ac:dyDescent="0.15">
      <c r="A685" t="s">
        <v>72</v>
      </c>
      <c r="B685" t="s">
        <v>12807</v>
      </c>
      <c r="C685" t="s">
        <v>74</v>
      </c>
      <c r="D685" t="s">
        <v>74</v>
      </c>
      <c r="E685" t="s">
        <v>74</v>
      </c>
      <c r="F685" t="s">
        <v>12808</v>
      </c>
      <c r="G685" t="s">
        <v>74</v>
      </c>
      <c r="H685" t="s">
        <v>74</v>
      </c>
      <c r="I685" t="s">
        <v>12809</v>
      </c>
      <c r="J685" t="s">
        <v>12810</v>
      </c>
      <c r="K685" t="s">
        <v>74</v>
      </c>
      <c r="L685" t="s">
        <v>74</v>
      </c>
      <c r="M685" t="s">
        <v>78</v>
      </c>
      <c r="N685" t="s">
        <v>79</v>
      </c>
      <c r="O685" t="s">
        <v>74</v>
      </c>
      <c r="P685" t="s">
        <v>74</v>
      </c>
      <c r="Q685" t="s">
        <v>74</v>
      </c>
      <c r="R685" t="s">
        <v>74</v>
      </c>
      <c r="S685" t="s">
        <v>74</v>
      </c>
      <c r="T685" t="s">
        <v>12811</v>
      </c>
      <c r="U685" t="s">
        <v>12812</v>
      </c>
      <c r="V685" t="s">
        <v>12813</v>
      </c>
      <c r="W685" t="s">
        <v>12814</v>
      </c>
      <c r="X685" t="s">
        <v>12815</v>
      </c>
      <c r="Y685" t="s">
        <v>12816</v>
      </c>
      <c r="Z685" t="s">
        <v>12817</v>
      </c>
      <c r="AA685" t="s">
        <v>74</v>
      </c>
      <c r="AB685" t="s">
        <v>74</v>
      </c>
      <c r="AC685" t="s">
        <v>12818</v>
      </c>
      <c r="AD685" t="s">
        <v>12818</v>
      </c>
      <c r="AE685" t="s">
        <v>12818</v>
      </c>
      <c r="AF685" t="s">
        <v>74</v>
      </c>
      <c r="AG685">
        <v>35</v>
      </c>
      <c r="AH685">
        <v>0</v>
      </c>
      <c r="AI685">
        <v>0</v>
      </c>
      <c r="AJ685">
        <v>0</v>
      </c>
      <c r="AK685">
        <v>0</v>
      </c>
      <c r="AL685" t="s">
        <v>443</v>
      </c>
      <c r="AM685" t="s">
        <v>245</v>
      </c>
      <c r="AN685" t="s">
        <v>444</v>
      </c>
      <c r="AO685" t="s">
        <v>12819</v>
      </c>
      <c r="AP685" t="s">
        <v>12820</v>
      </c>
      <c r="AQ685" t="s">
        <v>74</v>
      </c>
      <c r="AR685" t="s">
        <v>12821</v>
      </c>
      <c r="AS685" t="s">
        <v>12822</v>
      </c>
      <c r="AT685" t="s">
        <v>12745</v>
      </c>
      <c r="AU685">
        <v>2023</v>
      </c>
      <c r="AV685">
        <v>25</v>
      </c>
      <c r="AW685">
        <v>1</v>
      </c>
      <c r="AX685" t="s">
        <v>74</v>
      </c>
      <c r="AY685" t="s">
        <v>74</v>
      </c>
      <c r="AZ685" t="s">
        <v>74</v>
      </c>
      <c r="BA685" t="s">
        <v>74</v>
      </c>
      <c r="BB685" t="s">
        <v>74</v>
      </c>
      <c r="BC685" t="s">
        <v>74</v>
      </c>
      <c r="BD685" t="s">
        <v>74</v>
      </c>
      <c r="BE685" t="s">
        <v>12823</v>
      </c>
      <c r="BF685" t="str">
        <f>HYPERLINK("http://dx.doi.org/10.1186/s13075-023-03130-7","http://dx.doi.org/10.1186/s13075-023-03130-7")</f>
        <v>http://dx.doi.org/10.1186/s13075-023-03130-7</v>
      </c>
      <c r="BG685" t="s">
        <v>74</v>
      </c>
      <c r="BH685" t="s">
        <v>74</v>
      </c>
      <c r="BI685">
        <v>17</v>
      </c>
      <c r="BJ685" t="s">
        <v>2452</v>
      </c>
      <c r="BK685" t="s">
        <v>126</v>
      </c>
      <c r="BL685" t="s">
        <v>2452</v>
      </c>
      <c r="BM685" t="s">
        <v>12824</v>
      </c>
      <c r="BN685">
        <v>37626391</v>
      </c>
      <c r="BO685" t="s">
        <v>302</v>
      </c>
      <c r="BP685" t="s">
        <v>74</v>
      </c>
      <c r="BQ685" t="s">
        <v>74</v>
      </c>
      <c r="BR685" t="s">
        <v>99</v>
      </c>
      <c r="BS685" t="s">
        <v>12825</v>
      </c>
      <c r="BT685" t="str">
        <f>HYPERLINK("https%3A%2F%2Fwww.webofscience.com%2Fwos%2Fwoscc%2Ffull-record%2FWOS:001054466300001","View Full Record in Web of Science")</f>
        <v>View Full Record in Web of Science</v>
      </c>
    </row>
    <row r="686" spans="1:72" x14ac:dyDescent="0.15">
      <c r="A686" t="s">
        <v>72</v>
      </c>
      <c r="B686" t="s">
        <v>12826</v>
      </c>
      <c r="C686" t="s">
        <v>74</v>
      </c>
      <c r="D686" t="s">
        <v>74</v>
      </c>
      <c r="E686" t="s">
        <v>74</v>
      </c>
      <c r="F686" t="s">
        <v>12827</v>
      </c>
      <c r="G686" t="s">
        <v>74</v>
      </c>
      <c r="H686" t="s">
        <v>74</v>
      </c>
      <c r="I686" t="s">
        <v>12828</v>
      </c>
      <c r="J686" t="s">
        <v>12829</v>
      </c>
      <c r="K686" t="s">
        <v>74</v>
      </c>
      <c r="L686" t="s">
        <v>74</v>
      </c>
      <c r="M686" t="s">
        <v>78</v>
      </c>
      <c r="N686" t="s">
        <v>3318</v>
      </c>
      <c r="O686" t="s">
        <v>74</v>
      </c>
      <c r="P686" t="s">
        <v>74</v>
      </c>
      <c r="Q686" t="s">
        <v>74</v>
      </c>
      <c r="R686" t="s">
        <v>74</v>
      </c>
      <c r="S686" t="s">
        <v>74</v>
      </c>
      <c r="T686" t="s">
        <v>74</v>
      </c>
      <c r="U686" t="s">
        <v>74</v>
      </c>
      <c r="V686" t="s">
        <v>74</v>
      </c>
      <c r="W686" t="s">
        <v>74</v>
      </c>
      <c r="X686" t="s">
        <v>74</v>
      </c>
      <c r="Y686" t="s">
        <v>74</v>
      </c>
      <c r="Z686" t="s">
        <v>74</v>
      </c>
      <c r="AA686" t="s">
        <v>74</v>
      </c>
      <c r="AB686" t="s">
        <v>74</v>
      </c>
      <c r="AC686" t="s">
        <v>74</v>
      </c>
      <c r="AD686" t="s">
        <v>74</v>
      </c>
      <c r="AE686" t="s">
        <v>74</v>
      </c>
      <c r="AF686" t="s">
        <v>74</v>
      </c>
      <c r="AG686">
        <v>7</v>
      </c>
      <c r="AH686">
        <v>0</v>
      </c>
      <c r="AI686">
        <v>0</v>
      </c>
      <c r="AJ686">
        <v>0</v>
      </c>
      <c r="AK686">
        <v>0</v>
      </c>
      <c r="AL686" t="s">
        <v>317</v>
      </c>
      <c r="AM686" t="s">
        <v>245</v>
      </c>
      <c r="AN686" t="s">
        <v>318</v>
      </c>
      <c r="AO686" t="s">
        <v>12830</v>
      </c>
      <c r="AP686" t="s">
        <v>12831</v>
      </c>
      <c r="AQ686" t="s">
        <v>74</v>
      </c>
      <c r="AR686" t="s">
        <v>12832</v>
      </c>
      <c r="AS686" t="s">
        <v>12833</v>
      </c>
      <c r="AT686" t="s">
        <v>12745</v>
      </c>
      <c r="AU686">
        <v>2023</v>
      </c>
      <c r="AV686">
        <v>235</v>
      </c>
      <c r="AW686">
        <v>4</v>
      </c>
      <c r="AX686" t="s">
        <v>74</v>
      </c>
      <c r="AY686" t="s">
        <v>74</v>
      </c>
      <c r="AZ686" t="s">
        <v>74</v>
      </c>
      <c r="BA686" t="s">
        <v>74</v>
      </c>
      <c r="BB686">
        <v>233</v>
      </c>
      <c r="BC686">
        <v>233</v>
      </c>
      <c r="BD686" t="s">
        <v>74</v>
      </c>
      <c r="BE686" t="s">
        <v>12834</v>
      </c>
      <c r="BF686" t="str">
        <f>HYPERLINK("http://dx.doi.org/10.1038/s41415-023-6239-1","http://dx.doi.org/10.1038/s41415-023-6239-1")</f>
        <v>http://dx.doi.org/10.1038/s41415-023-6239-1</v>
      </c>
      <c r="BG686" t="s">
        <v>74</v>
      </c>
      <c r="BH686" t="s">
        <v>74</v>
      </c>
      <c r="BI686">
        <v>1</v>
      </c>
      <c r="BJ686" t="s">
        <v>3486</v>
      </c>
      <c r="BK686" t="s">
        <v>126</v>
      </c>
      <c r="BL686" t="s">
        <v>3486</v>
      </c>
      <c r="BM686" t="s">
        <v>12835</v>
      </c>
      <c r="BN686">
        <v>37620458</v>
      </c>
      <c r="BO686" t="s">
        <v>762</v>
      </c>
      <c r="BP686" t="s">
        <v>74</v>
      </c>
      <c r="BQ686" t="s">
        <v>74</v>
      </c>
      <c r="BR686" t="s">
        <v>99</v>
      </c>
      <c r="BS686" t="s">
        <v>12836</v>
      </c>
      <c r="BT686" t="str">
        <f>HYPERLINK("https%3A%2F%2Fwww.webofscience.com%2Fwos%2Fwoscc%2Ffull-record%2FWOS:001062932300006","View Full Record in Web of Science")</f>
        <v>View Full Record in Web of Science</v>
      </c>
    </row>
    <row r="687" spans="1:72" x14ac:dyDescent="0.15">
      <c r="A687" t="s">
        <v>72</v>
      </c>
      <c r="B687" t="s">
        <v>12837</v>
      </c>
      <c r="C687" t="s">
        <v>74</v>
      </c>
      <c r="D687" t="s">
        <v>74</v>
      </c>
      <c r="E687" t="s">
        <v>74</v>
      </c>
      <c r="F687" t="s">
        <v>12838</v>
      </c>
      <c r="G687" t="s">
        <v>74</v>
      </c>
      <c r="H687" t="s">
        <v>74</v>
      </c>
      <c r="I687" t="s">
        <v>12839</v>
      </c>
      <c r="J687" t="s">
        <v>12840</v>
      </c>
      <c r="K687" t="s">
        <v>74</v>
      </c>
      <c r="L687" t="s">
        <v>74</v>
      </c>
      <c r="M687" t="s">
        <v>78</v>
      </c>
      <c r="N687" t="s">
        <v>1246</v>
      </c>
      <c r="O687" t="s">
        <v>74</v>
      </c>
      <c r="P687" t="s">
        <v>74</v>
      </c>
      <c r="Q687" t="s">
        <v>74</v>
      </c>
      <c r="R687" t="s">
        <v>74</v>
      </c>
      <c r="S687" t="s">
        <v>74</v>
      </c>
      <c r="T687" t="s">
        <v>74</v>
      </c>
      <c r="U687" t="s">
        <v>12841</v>
      </c>
      <c r="V687" t="s">
        <v>12842</v>
      </c>
      <c r="W687" t="s">
        <v>12843</v>
      </c>
      <c r="X687" t="s">
        <v>12844</v>
      </c>
      <c r="Y687" t="s">
        <v>12845</v>
      </c>
      <c r="Z687" t="s">
        <v>12846</v>
      </c>
      <c r="AA687" t="s">
        <v>74</v>
      </c>
      <c r="AB687" t="s">
        <v>12847</v>
      </c>
      <c r="AC687" t="s">
        <v>74</v>
      </c>
      <c r="AD687" t="s">
        <v>74</v>
      </c>
      <c r="AE687" t="s">
        <v>74</v>
      </c>
      <c r="AF687" t="s">
        <v>74</v>
      </c>
      <c r="AG687">
        <v>29</v>
      </c>
      <c r="AH687">
        <v>0</v>
      </c>
      <c r="AI687">
        <v>0</v>
      </c>
      <c r="AJ687">
        <v>0</v>
      </c>
      <c r="AK687">
        <v>0</v>
      </c>
      <c r="AL687" t="s">
        <v>317</v>
      </c>
      <c r="AM687" t="s">
        <v>245</v>
      </c>
      <c r="AN687" t="s">
        <v>318</v>
      </c>
      <c r="AO687" t="s">
        <v>12848</v>
      </c>
      <c r="AP687" t="s">
        <v>12849</v>
      </c>
      <c r="AQ687" t="s">
        <v>74</v>
      </c>
      <c r="AR687" t="s">
        <v>12840</v>
      </c>
      <c r="AS687" t="s">
        <v>12850</v>
      </c>
      <c r="AT687" t="s">
        <v>12706</v>
      </c>
      <c r="AU687">
        <v>2023</v>
      </c>
      <c r="AV687" t="s">
        <v>74</v>
      </c>
      <c r="AW687" t="s">
        <v>74</v>
      </c>
      <c r="AX687" t="s">
        <v>74</v>
      </c>
      <c r="AY687" t="s">
        <v>74</v>
      </c>
      <c r="AZ687" t="s">
        <v>74</v>
      </c>
      <c r="BA687" t="s">
        <v>74</v>
      </c>
      <c r="BB687" t="s">
        <v>74</v>
      </c>
      <c r="BC687" t="s">
        <v>74</v>
      </c>
      <c r="BD687" t="s">
        <v>74</v>
      </c>
      <c r="BE687" t="s">
        <v>12851</v>
      </c>
      <c r="BF687" t="str">
        <f>HYPERLINK("http://dx.doi.org/10.1038/s41433-023-02695-6","http://dx.doi.org/10.1038/s41433-023-02695-6")</f>
        <v>http://dx.doi.org/10.1038/s41433-023-02695-6</v>
      </c>
      <c r="BG687" t="s">
        <v>74</v>
      </c>
      <c r="BH687" t="s">
        <v>10650</v>
      </c>
      <c r="BI687">
        <v>8</v>
      </c>
      <c r="BJ687" t="s">
        <v>7038</v>
      </c>
      <c r="BK687" t="s">
        <v>126</v>
      </c>
      <c r="BL687" t="s">
        <v>7038</v>
      </c>
      <c r="BM687" t="s">
        <v>12852</v>
      </c>
      <c r="BN687">
        <v>37626158</v>
      </c>
      <c r="BO687" t="s">
        <v>74</v>
      </c>
      <c r="BP687" t="s">
        <v>74</v>
      </c>
      <c r="BQ687" t="s">
        <v>74</v>
      </c>
      <c r="BR687" t="s">
        <v>99</v>
      </c>
      <c r="BS687" t="s">
        <v>12853</v>
      </c>
      <c r="BT687" t="str">
        <f>HYPERLINK("https%3A%2F%2Fwww.webofscience.com%2Fwos%2Fwoscc%2Ffull-record%2FWOS:001060163200001","View Full Record in Web of Science")</f>
        <v>View Full Record in Web of Science</v>
      </c>
    </row>
    <row r="688" spans="1:72" x14ac:dyDescent="0.15">
      <c r="A688" t="s">
        <v>72</v>
      </c>
      <c r="B688" t="s">
        <v>12854</v>
      </c>
      <c r="C688" t="s">
        <v>74</v>
      </c>
      <c r="D688" t="s">
        <v>74</v>
      </c>
      <c r="E688" t="s">
        <v>74</v>
      </c>
      <c r="F688" t="s">
        <v>12855</v>
      </c>
      <c r="G688" t="s">
        <v>74</v>
      </c>
      <c r="H688" t="s">
        <v>74</v>
      </c>
      <c r="I688" t="s">
        <v>12856</v>
      </c>
      <c r="J688" t="s">
        <v>2197</v>
      </c>
      <c r="K688" t="s">
        <v>74</v>
      </c>
      <c r="L688" t="s">
        <v>74</v>
      </c>
      <c r="M688" t="s">
        <v>78</v>
      </c>
      <c r="N688" t="s">
        <v>2174</v>
      </c>
      <c r="O688" t="s">
        <v>74</v>
      </c>
      <c r="P688" t="s">
        <v>74</v>
      </c>
      <c r="Q688" t="s">
        <v>74</v>
      </c>
      <c r="R688" t="s">
        <v>74</v>
      </c>
      <c r="S688" t="s">
        <v>74</v>
      </c>
      <c r="T688" t="s">
        <v>12857</v>
      </c>
      <c r="U688" t="s">
        <v>74</v>
      </c>
      <c r="V688" t="s">
        <v>12858</v>
      </c>
      <c r="W688" t="s">
        <v>12859</v>
      </c>
      <c r="X688" t="s">
        <v>12860</v>
      </c>
      <c r="Y688" t="s">
        <v>12861</v>
      </c>
      <c r="Z688" t="s">
        <v>12862</v>
      </c>
      <c r="AA688" t="s">
        <v>74</v>
      </c>
      <c r="AB688" t="s">
        <v>74</v>
      </c>
      <c r="AC688" t="s">
        <v>74</v>
      </c>
      <c r="AD688" t="s">
        <v>74</v>
      </c>
      <c r="AE688" t="s">
        <v>74</v>
      </c>
      <c r="AF688" t="s">
        <v>74</v>
      </c>
      <c r="AG688">
        <v>71</v>
      </c>
      <c r="AH688">
        <v>0</v>
      </c>
      <c r="AI688">
        <v>0</v>
      </c>
      <c r="AJ688">
        <v>0</v>
      </c>
      <c r="AK688">
        <v>0</v>
      </c>
      <c r="AL688" t="s">
        <v>172</v>
      </c>
      <c r="AM688" t="s">
        <v>173</v>
      </c>
      <c r="AN688" t="s">
        <v>174</v>
      </c>
      <c r="AO688" t="s">
        <v>2204</v>
      </c>
      <c r="AP688" t="s">
        <v>2205</v>
      </c>
      <c r="AQ688" t="s">
        <v>74</v>
      </c>
      <c r="AR688" t="s">
        <v>2206</v>
      </c>
      <c r="AS688" t="s">
        <v>2207</v>
      </c>
      <c r="AT688" t="s">
        <v>12706</v>
      </c>
      <c r="AU688">
        <v>2023</v>
      </c>
      <c r="AV688" t="s">
        <v>74</v>
      </c>
      <c r="AW688" t="s">
        <v>74</v>
      </c>
      <c r="AX688" t="s">
        <v>74</v>
      </c>
      <c r="AY688" t="s">
        <v>74</v>
      </c>
      <c r="AZ688" t="s">
        <v>74</v>
      </c>
      <c r="BA688" t="s">
        <v>74</v>
      </c>
      <c r="BB688" t="s">
        <v>74</v>
      </c>
      <c r="BC688" t="s">
        <v>74</v>
      </c>
      <c r="BD688" t="s">
        <v>74</v>
      </c>
      <c r="BE688" t="s">
        <v>12863</v>
      </c>
      <c r="BF688" t="str">
        <f>HYPERLINK("http://dx.doi.org/10.1007/s43441-023-00555-9","http://dx.doi.org/10.1007/s43441-023-00555-9")</f>
        <v>http://dx.doi.org/10.1007/s43441-023-00555-9</v>
      </c>
      <c r="BG688" t="s">
        <v>74</v>
      </c>
      <c r="BH688" t="s">
        <v>10650</v>
      </c>
      <c r="BI688">
        <v>13</v>
      </c>
      <c r="BJ688" t="s">
        <v>2209</v>
      </c>
      <c r="BK688" t="s">
        <v>126</v>
      </c>
      <c r="BL688" t="s">
        <v>2209</v>
      </c>
      <c r="BM688" t="s">
        <v>12864</v>
      </c>
      <c r="BN688">
        <v>37624556</v>
      </c>
      <c r="BO688" t="s">
        <v>183</v>
      </c>
      <c r="BP688" t="s">
        <v>74</v>
      </c>
      <c r="BQ688" t="s">
        <v>74</v>
      </c>
      <c r="BR688" t="s">
        <v>99</v>
      </c>
      <c r="BS688" t="s">
        <v>12865</v>
      </c>
      <c r="BT688" t="str">
        <f>HYPERLINK("https%3A%2F%2Fwww.webofscience.com%2Fwos%2Fwoscc%2Ffull-record%2FWOS:001060222500001","View Full Record in Web of Science")</f>
        <v>View Full Record in Web of Science</v>
      </c>
    </row>
    <row r="689" spans="1:72" x14ac:dyDescent="0.15">
      <c r="A689" t="s">
        <v>72</v>
      </c>
      <c r="B689" t="s">
        <v>12866</v>
      </c>
      <c r="C689" t="s">
        <v>74</v>
      </c>
      <c r="D689" t="s">
        <v>74</v>
      </c>
      <c r="E689" t="s">
        <v>74</v>
      </c>
      <c r="F689" t="s">
        <v>12867</v>
      </c>
      <c r="G689" t="s">
        <v>74</v>
      </c>
      <c r="H689" t="s">
        <v>74</v>
      </c>
      <c r="I689" t="s">
        <v>12868</v>
      </c>
      <c r="J689" t="s">
        <v>12869</v>
      </c>
      <c r="K689" t="s">
        <v>74</v>
      </c>
      <c r="L689" t="s">
        <v>74</v>
      </c>
      <c r="M689" t="s">
        <v>78</v>
      </c>
      <c r="N689" t="s">
        <v>1246</v>
      </c>
      <c r="O689" t="s">
        <v>74</v>
      </c>
      <c r="P689" t="s">
        <v>74</v>
      </c>
      <c r="Q689" t="s">
        <v>74</v>
      </c>
      <c r="R689" t="s">
        <v>74</v>
      </c>
      <c r="S689" t="s">
        <v>74</v>
      </c>
      <c r="T689" t="s">
        <v>12870</v>
      </c>
      <c r="U689" t="s">
        <v>74</v>
      </c>
      <c r="V689" t="s">
        <v>12871</v>
      </c>
      <c r="W689" t="s">
        <v>12872</v>
      </c>
      <c r="X689" t="s">
        <v>12873</v>
      </c>
      <c r="Y689" t="s">
        <v>12874</v>
      </c>
      <c r="Z689" t="s">
        <v>12875</v>
      </c>
      <c r="AA689" t="s">
        <v>74</v>
      </c>
      <c r="AB689" t="s">
        <v>74</v>
      </c>
      <c r="AC689" t="s">
        <v>12876</v>
      </c>
      <c r="AD689" t="s">
        <v>12877</v>
      </c>
      <c r="AE689" t="s">
        <v>12878</v>
      </c>
      <c r="AF689" t="s">
        <v>74</v>
      </c>
      <c r="AG689">
        <v>24</v>
      </c>
      <c r="AH689">
        <v>0</v>
      </c>
      <c r="AI689">
        <v>0</v>
      </c>
      <c r="AJ689">
        <v>1</v>
      </c>
      <c r="AK689">
        <v>1</v>
      </c>
      <c r="AL689" t="s">
        <v>117</v>
      </c>
      <c r="AM689" t="s">
        <v>627</v>
      </c>
      <c r="AN689" t="s">
        <v>628</v>
      </c>
      <c r="AO689" t="s">
        <v>12879</v>
      </c>
      <c r="AP689" t="s">
        <v>12880</v>
      </c>
      <c r="AQ689" t="s">
        <v>74</v>
      </c>
      <c r="AR689" t="s">
        <v>12881</v>
      </c>
      <c r="AS689" t="s">
        <v>12882</v>
      </c>
      <c r="AT689" t="s">
        <v>12706</v>
      </c>
      <c r="AU689">
        <v>2023</v>
      </c>
      <c r="AV689" t="s">
        <v>74</v>
      </c>
      <c r="AW689" t="s">
        <v>74</v>
      </c>
      <c r="AX689" t="s">
        <v>74</v>
      </c>
      <c r="AY689" t="s">
        <v>74</v>
      </c>
      <c r="AZ689" t="s">
        <v>74</v>
      </c>
      <c r="BA689" t="s">
        <v>74</v>
      </c>
      <c r="BB689" t="s">
        <v>74</v>
      </c>
      <c r="BC689" t="s">
        <v>74</v>
      </c>
      <c r="BD689" t="s">
        <v>74</v>
      </c>
      <c r="BE689" t="s">
        <v>12883</v>
      </c>
      <c r="BF689" t="str">
        <f>HYPERLINK("http://dx.doi.org/10.1007/s11043-023-09628-6","http://dx.doi.org/10.1007/s11043-023-09628-6")</f>
        <v>http://dx.doi.org/10.1007/s11043-023-09628-6</v>
      </c>
      <c r="BG689" t="s">
        <v>74</v>
      </c>
      <c r="BH689" t="s">
        <v>10650</v>
      </c>
      <c r="BI689">
        <v>28</v>
      </c>
      <c r="BJ689" t="s">
        <v>12884</v>
      </c>
      <c r="BK689" t="s">
        <v>126</v>
      </c>
      <c r="BL689" t="s">
        <v>12885</v>
      </c>
      <c r="BM689" t="s">
        <v>12886</v>
      </c>
      <c r="BN689" t="s">
        <v>74</v>
      </c>
      <c r="BO689" t="s">
        <v>74</v>
      </c>
      <c r="BP689" t="s">
        <v>74</v>
      </c>
      <c r="BQ689" t="s">
        <v>74</v>
      </c>
      <c r="BR689" t="s">
        <v>99</v>
      </c>
      <c r="BS689" t="s">
        <v>12887</v>
      </c>
      <c r="BT689" t="str">
        <f>HYPERLINK("https%3A%2F%2Fwww.webofscience.com%2Fwos%2Fwoscc%2Ffull-record%2FWOS:001060218600001","View Full Record in Web of Science")</f>
        <v>View Full Record in Web of Science</v>
      </c>
    </row>
    <row r="690" spans="1:72" x14ac:dyDescent="0.15">
      <c r="A690" t="s">
        <v>72</v>
      </c>
      <c r="B690" t="s">
        <v>12888</v>
      </c>
      <c r="C690" t="s">
        <v>74</v>
      </c>
      <c r="D690" t="s">
        <v>74</v>
      </c>
      <c r="E690" t="s">
        <v>74</v>
      </c>
      <c r="F690" t="s">
        <v>12889</v>
      </c>
      <c r="G690" t="s">
        <v>74</v>
      </c>
      <c r="H690" t="s">
        <v>74</v>
      </c>
      <c r="I690" t="s">
        <v>12890</v>
      </c>
      <c r="J690" t="s">
        <v>12891</v>
      </c>
      <c r="K690" t="s">
        <v>74</v>
      </c>
      <c r="L690" t="s">
        <v>74</v>
      </c>
      <c r="M690" t="s">
        <v>78</v>
      </c>
      <c r="N690" t="s">
        <v>1246</v>
      </c>
      <c r="O690" t="s">
        <v>74</v>
      </c>
      <c r="P690" t="s">
        <v>74</v>
      </c>
      <c r="Q690" t="s">
        <v>74</v>
      </c>
      <c r="R690" t="s">
        <v>74</v>
      </c>
      <c r="S690" t="s">
        <v>74</v>
      </c>
      <c r="T690" t="s">
        <v>12892</v>
      </c>
      <c r="U690" t="s">
        <v>12893</v>
      </c>
      <c r="V690" t="s">
        <v>12894</v>
      </c>
      <c r="W690" t="s">
        <v>12895</v>
      </c>
      <c r="X690" t="s">
        <v>12896</v>
      </c>
      <c r="Y690" t="s">
        <v>12897</v>
      </c>
      <c r="Z690" t="s">
        <v>12898</v>
      </c>
      <c r="AA690" t="s">
        <v>12899</v>
      </c>
      <c r="AB690" t="s">
        <v>74</v>
      </c>
      <c r="AC690" t="s">
        <v>74</v>
      </c>
      <c r="AD690" t="s">
        <v>74</v>
      </c>
      <c r="AE690" t="s">
        <v>74</v>
      </c>
      <c r="AF690" t="s">
        <v>74</v>
      </c>
      <c r="AG690">
        <v>31</v>
      </c>
      <c r="AH690">
        <v>0</v>
      </c>
      <c r="AI690">
        <v>0</v>
      </c>
      <c r="AJ690">
        <v>1</v>
      </c>
      <c r="AK690">
        <v>1</v>
      </c>
      <c r="AL690" t="s">
        <v>117</v>
      </c>
      <c r="AM690" t="s">
        <v>118</v>
      </c>
      <c r="AN690" t="s">
        <v>119</v>
      </c>
      <c r="AO690" t="s">
        <v>12900</v>
      </c>
      <c r="AP690" t="s">
        <v>12901</v>
      </c>
      <c r="AQ690" t="s">
        <v>74</v>
      </c>
      <c r="AR690" t="s">
        <v>12902</v>
      </c>
      <c r="AS690" t="s">
        <v>12903</v>
      </c>
      <c r="AT690" t="s">
        <v>12706</v>
      </c>
      <c r="AU690">
        <v>2023</v>
      </c>
      <c r="AV690" t="s">
        <v>74</v>
      </c>
      <c r="AW690" t="s">
        <v>74</v>
      </c>
      <c r="AX690" t="s">
        <v>74</v>
      </c>
      <c r="AY690" t="s">
        <v>74</v>
      </c>
      <c r="AZ690" t="s">
        <v>74</v>
      </c>
      <c r="BA690" t="s">
        <v>74</v>
      </c>
      <c r="BB690" t="s">
        <v>74</v>
      </c>
      <c r="BC690" t="s">
        <v>74</v>
      </c>
      <c r="BD690" t="s">
        <v>74</v>
      </c>
      <c r="BE690" t="s">
        <v>12904</v>
      </c>
      <c r="BF690" t="str">
        <f>HYPERLINK("http://dx.doi.org/10.1007/s12083-023-01536-3","http://dx.doi.org/10.1007/s12083-023-01536-3")</f>
        <v>http://dx.doi.org/10.1007/s12083-023-01536-3</v>
      </c>
      <c r="BG690" t="s">
        <v>74</v>
      </c>
      <c r="BH690" t="s">
        <v>10650</v>
      </c>
      <c r="BI690">
        <v>14</v>
      </c>
      <c r="BJ690" t="s">
        <v>1325</v>
      </c>
      <c r="BK690" t="s">
        <v>126</v>
      </c>
      <c r="BL690" t="s">
        <v>1326</v>
      </c>
      <c r="BM690" t="s">
        <v>12905</v>
      </c>
      <c r="BN690" t="s">
        <v>74</v>
      </c>
      <c r="BO690" t="s">
        <v>74</v>
      </c>
      <c r="BP690" t="s">
        <v>74</v>
      </c>
      <c r="BQ690" t="s">
        <v>74</v>
      </c>
      <c r="BR690" t="s">
        <v>99</v>
      </c>
      <c r="BS690" t="s">
        <v>12906</v>
      </c>
      <c r="BT690" t="str">
        <f>HYPERLINK("https%3A%2F%2Fwww.webofscience.com%2Fwos%2Fwoscc%2Ffull-record%2FWOS:001060230600001","View Full Record in Web of Science")</f>
        <v>View Full Record in Web of Science</v>
      </c>
    </row>
    <row r="691" spans="1:72" x14ac:dyDescent="0.15">
      <c r="A691" t="s">
        <v>72</v>
      </c>
      <c r="B691" t="s">
        <v>12907</v>
      </c>
      <c r="C691" t="s">
        <v>74</v>
      </c>
      <c r="D691" t="s">
        <v>74</v>
      </c>
      <c r="E691" t="s">
        <v>74</v>
      </c>
      <c r="F691" t="s">
        <v>12908</v>
      </c>
      <c r="G691" t="s">
        <v>74</v>
      </c>
      <c r="H691" t="s">
        <v>74</v>
      </c>
      <c r="I691" t="s">
        <v>12909</v>
      </c>
      <c r="J691" t="s">
        <v>12910</v>
      </c>
      <c r="K691" t="s">
        <v>74</v>
      </c>
      <c r="L691" t="s">
        <v>74</v>
      </c>
      <c r="M691" t="s">
        <v>78</v>
      </c>
      <c r="N691" t="s">
        <v>79</v>
      </c>
      <c r="O691" t="s">
        <v>74</v>
      </c>
      <c r="P691" t="s">
        <v>74</v>
      </c>
      <c r="Q691" t="s">
        <v>74</v>
      </c>
      <c r="R691" t="s">
        <v>74</v>
      </c>
      <c r="S691" t="s">
        <v>74</v>
      </c>
      <c r="T691" t="s">
        <v>12911</v>
      </c>
      <c r="U691" t="s">
        <v>12912</v>
      </c>
      <c r="V691" t="s">
        <v>12913</v>
      </c>
      <c r="W691" t="s">
        <v>12914</v>
      </c>
      <c r="X691" t="s">
        <v>12915</v>
      </c>
      <c r="Y691" t="s">
        <v>12916</v>
      </c>
      <c r="Z691" t="s">
        <v>12917</v>
      </c>
      <c r="AA691" t="s">
        <v>74</v>
      </c>
      <c r="AB691" t="s">
        <v>12918</v>
      </c>
      <c r="AC691" t="s">
        <v>12919</v>
      </c>
      <c r="AD691" t="s">
        <v>12919</v>
      </c>
      <c r="AE691" t="s">
        <v>12920</v>
      </c>
      <c r="AF691" t="s">
        <v>74</v>
      </c>
      <c r="AG691">
        <v>49</v>
      </c>
      <c r="AH691">
        <v>0</v>
      </c>
      <c r="AI691">
        <v>0</v>
      </c>
      <c r="AJ691">
        <v>0</v>
      </c>
      <c r="AK691">
        <v>0</v>
      </c>
      <c r="AL691" t="s">
        <v>443</v>
      </c>
      <c r="AM691" t="s">
        <v>245</v>
      </c>
      <c r="AN691" t="s">
        <v>444</v>
      </c>
      <c r="AO691" t="s">
        <v>12921</v>
      </c>
      <c r="AP691" t="s">
        <v>12922</v>
      </c>
      <c r="AQ691" t="s">
        <v>74</v>
      </c>
      <c r="AR691" t="s">
        <v>12923</v>
      </c>
      <c r="AS691" t="s">
        <v>12924</v>
      </c>
      <c r="AT691" t="s">
        <v>12745</v>
      </c>
      <c r="AU691">
        <v>2023</v>
      </c>
      <c r="AV691">
        <v>30</v>
      </c>
      <c r="AW691">
        <v>1</v>
      </c>
      <c r="AX691" t="s">
        <v>74</v>
      </c>
      <c r="AY691" t="s">
        <v>74</v>
      </c>
      <c r="AZ691" t="s">
        <v>74</v>
      </c>
      <c r="BA691" t="s">
        <v>74</v>
      </c>
      <c r="BB691" t="s">
        <v>74</v>
      </c>
      <c r="BC691" t="s">
        <v>74</v>
      </c>
      <c r="BD691">
        <v>73</v>
      </c>
      <c r="BE691" t="s">
        <v>12925</v>
      </c>
      <c r="BF691" t="str">
        <f>HYPERLINK("http://dx.doi.org/10.1186/s12929-023-00960-0","http://dx.doi.org/10.1186/s12929-023-00960-0")</f>
        <v>http://dx.doi.org/10.1186/s12929-023-00960-0</v>
      </c>
      <c r="BG691" t="s">
        <v>74</v>
      </c>
      <c r="BH691" t="s">
        <v>74</v>
      </c>
      <c r="BI691">
        <v>17</v>
      </c>
      <c r="BJ691" t="s">
        <v>12926</v>
      </c>
      <c r="BK691" t="s">
        <v>126</v>
      </c>
      <c r="BL691" t="s">
        <v>6696</v>
      </c>
      <c r="BM691" t="s">
        <v>12927</v>
      </c>
      <c r="BN691">
        <v>37626377</v>
      </c>
      <c r="BO691" t="s">
        <v>302</v>
      </c>
      <c r="BP691" t="s">
        <v>74</v>
      </c>
      <c r="BQ691" t="s">
        <v>74</v>
      </c>
      <c r="BR691" t="s">
        <v>99</v>
      </c>
      <c r="BS691" t="s">
        <v>12928</v>
      </c>
      <c r="BT691" t="str">
        <f>HYPERLINK("https%3A%2F%2Fwww.webofscience.com%2Fwos%2Fwoscc%2Ffull-record%2FWOS:001054415200001","View Full Record in Web of Science")</f>
        <v>View Full Record in Web of Science</v>
      </c>
    </row>
    <row r="692" spans="1:72" x14ac:dyDescent="0.15">
      <c r="A692" t="s">
        <v>72</v>
      </c>
      <c r="B692" t="s">
        <v>12929</v>
      </c>
      <c r="C692" t="s">
        <v>74</v>
      </c>
      <c r="D692" t="s">
        <v>74</v>
      </c>
      <c r="E692" t="s">
        <v>74</v>
      </c>
      <c r="F692" t="s">
        <v>12930</v>
      </c>
      <c r="G692" t="s">
        <v>74</v>
      </c>
      <c r="H692" t="s">
        <v>74</v>
      </c>
      <c r="I692" t="s">
        <v>12931</v>
      </c>
      <c r="J692" t="s">
        <v>12932</v>
      </c>
      <c r="K692" t="s">
        <v>74</v>
      </c>
      <c r="L692" t="s">
        <v>74</v>
      </c>
      <c r="M692" t="s">
        <v>78</v>
      </c>
      <c r="N692" t="s">
        <v>1246</v>
      </c>
      <c r="O692" t="s">
        <v>74</v>
      </c>
      <c r="P692" t="s">
        <v>74</v>
      </c>
      <c r="Q692" t="s">
        <v>74</v>
      </c>
      <c r="R692" t="s">
        <v>74</v>
      </c>
      <c r="S692" t="s">
        <v>74</v>
      </c>
      <c r="T692" t="s">
        <v>12933</v>
      </c>
      <c r="U692" t="s">
        <v>12934</v>
      </c>
      <c r="V692" t="s">
        <v>12935</v>
      </c>
      <c r="W692" t="s">
        <v>12936</v>
      </c>
      <c r="X692" t="s">
        <v>12937</v>
      </c>
      <c r="Y692" t="s">
        <v>12938</v>
      </c>
      <c r="Z692" t="s">
        <v>12939</v>
      </c>
      <c r="AA692" t="s">
        <v>74</v>
      </c>
      <c r="AB692" t="s">
        <v>12940</v>
      </c>
      <c r="AC692" t="s">
        <v>12941</v>
      </c>
      <c r="AD692" t="s">
        <v>12941</v>
      </c>
      <c r="AE692" t="s">
        <v>12941</v>
      </c>
      <c r="AF692" t="s">
        <v>74</v>
      </c>
      <c r="AG692">
        <v>61</v>
      </c>
      <c r="AH692">
        <v>0</v>
      </c>
      <c r="AI692">
        <v>0</v>
      </c>
      <c r="AJ692">
        <v>2</v>
      </c>
      <c r="AK692">
        <v>2</v>
      </c>
      <c r="AL692" t="s">
        <v>172</v>
      </c>
      <c r="AM692" t="s">
        <v>173</v>
      </c>
      <c r="AN692" t="s">
        <v>174</v>
      </c>
      <c r="AO692" t="s">
        <v>12942</v>
      </c>
      <c r="AP692" t="s">
        <v>12943</v>
      </c>
      <c r="AQ692" t="s">
        <v>74</v>
      </c>
      <c r="AR692" t="s">
        <v>12944</v>
      </c>
      <c r="AS692" t="s">
        <v>12945</v>
      </c>
      <c r="AT692" t="s">
        <v>12706</v>
      </c>
      <c r="AU692">
        <v>2023</v>
      </c>
      <c r="AV692" t="s">
        <v>74</v>
      </c>
      <c r="AW692" t="s">
        <v>74</v>
      </c>
      <c r="AX692" t="s">
        <v>74</v>
      </c>
      <c r="AY692" t="s">
        <v>74</v>
      </c>
      <c r="AZ692" t="s">
        <v>74</v>
      </c>
      <c r="BA692" t="s">
        <v>74</v>
      </c>
      <c r="BB692" t="s">
        <v>74</v>
      </c>
      <c r="BC692" t="s">
        <v>74</v>
      </c>
      <c r="BD692" t="s">
        <v>74</v>
      </c>
      <c r="BE692" t="s">
        <v>12946</v>
      </c>
      <c r="BF692" t="str">
        <f>HYPERLINK("http://dx.doi.org/10.1007/s10237-023-01756-9","http://dx.doi.org/10.1007/s10237-023-01756-9")</f>
        <v>http://dx.doi.org/10.1007/s10237-023-01756-9</v>
      </c>
      <c r="BG692" t="s">
        <v>74</v>
      </c>
      <c r="BH692" t="s">
        <v>10650</v>
      </c>
      <c r="BI692">
        <v>18</v>
      </c>
      <c r="BJ692" t="s">
        <v>12947</v>
      </c>
      <c r="BK692" t="s">
        <v>126</v>
      </c>
      <c r="BL692" t="s">
        <v>12948</v>
      </c>
      <c r="BM692" t="s">
        <v>12949</v>
      </c>
      <c r="BN692">
        <v>37624467</v>
      </c>
      <c r="BO692" t="s">
        <v>74</v>
      </c>
      <c r="BP692" t="s">
        <v>74</v>
      </c>
      <c r="BQ692" t="s">
        <v>74</v>
      </c>
      <c r="BR692" t="s">
        <v>99</v>
      </c>
      <c r="BS692" t="s">
        <v>12950</v>
      </c>
      <c r="BT692" t="str">
        <f>HYPERLINK("https%3A%2F%2Fwww.webofscience.com%2Fwos%2Fwoscc%2Ffull-record%2FWOS:001059932200001","View Full Record in Web of Science")</f>
        <v>View Full Record in Web of Science</v>
      </c>
    </row>
    <row r="693" spans="1:72" x14ac:dyDescent="0.15">
      <c r="A693" t="s">
        <v>72</v>
      </c>
      <c r="B693" t="s">
        <v>12951</v>
      </c>
      <c r="C693" t="s">
        <v>74</v>
      </c>
      <c r="D693" t="s">
        <v>74</v>
      </c>
      <c r="E693" t="s">
        <v>74</v>
      </c>
      <c r="F693" t="s">
        <v>12952</v>
      </c>
      <c r="G693" t="s">
        <v>74</v>
      </c>
      <c r="H693" t="s">
        <v>74</v>
      </c>
      <c r="I693" t="s">
        <v>12953</v>
      </c>
      <c r="J693" t="s">
        <v>12954</v>
      </c>
      <c r="K693" t="s">
        <v>74</v>
      </c>
      <c r="L693" t="s">
        <v>74</v>
      </c>
      <c r="M693" t="s">
        <v>78</v>
      </c>
      <c r="N693" t="s">
        <v>79</v>
      </c>
      <c r="O693" t="s">
        <v>74</v>
      </c>
      <c r="P693" t="s">
        <v>74</v>
      </c>
      <c r="Q693" t="s">
        <v>74</v>
      </c>
      <c r="R693" t="s">
        <v>74</v>
      </c>
      <c r="S693" t="s">
        <v>74</v>
      </c>
      <c r="T693" t="s">
        <v>12955</v>
      </c>
      <c r="U693" t="s">
        <v>12956</v>
      </c>
      <c r="V693" t="s">
        <v>12957</v>
      </c>
      <c r="W693" t="s">
        <v>12958</v>
      </c>
      <c r="X693" t="s">
        <v>12959</v>
      </c>
      <c r="Y693" t="s">
        <v>12960</v>
      </c>
      <c r="Z693" t="s">
        <v>12961</v>
      </c>
      <c r="AA693" t="s">
        <v>74</v>
      </c>
      <c r="AB693" t="s">
        <v>74</v>
      </c>
      <c r="AC693" t="s">
        <v>932</v>
      </c>
      <c r="AD693" t="s">
        <v>932</v>
      </c>
      <c r="AE693" t="s">
        <v>932</v>
      </c>
      <c r="AF693" t="s">
        <v>74</v>
      </c>
      <c r="AG693">
        <v>76</v>
      </c>
      <c r="AH693">
        <v>0</v>
      </c>
      <c r="AI693">
        <v>0</v>
      </c>
      <c r="AJ693">
        <v>0</v>
      </c>
      <c r="AK693">
        <v>0</v>
      </c>
      <c r="AL693" t="s">
        <v>317</v>
      </c>
      <c r="AM693" t="s">
        <v>245</v>
      </c>
      <c r="AN693" t="s">
        <v>318</v>
      </c>
      <c r="AO693" t="s">
        <v>74</v>
      </c>
      <c r="AP693" t="s">
        <v>12962</v>
      </c>
      <c r="AQ693" t="s">
        <v>74</v>
      </c>
      <c r="AR693" t="s">
        <v>12963</v>
      </c>
      <c r="AS693" t="s">
        <v>12964</v>
      </c>
      <c r="AT693" t="s">
        <v>12745</v>
      </c>
      <c r="AU693">
        <v>2023</v>
      </c>
      <c r="AV693">
        <v>13</v>
      </c>
      <c r="AW693">
        <v>1</v>
      </c>
      <c r="AX693" t="s">
        <v>74</v>
      </c>
      <c r="AY693" t="s">
        <v>74</v>
      </c>
      <c r="AZ693" t="s">
        <v>74</v>
      </c>
      <c r="BA693" t="s">
        <v>74</v>
      </c>
      <c r="BB693" t="s">
        <v>74</v>
      </c>
      <c r="BC693" t="s">
        <v>74</v>
      </c>
      <c r="BD693">
        <v>40</v>
      </c>
      <c r="BE693" t="s">
        <v>12965</v>
      </c>
      <c r="BF693" t="str">
        <f>HYPERLINK("http://dx.doi.org/10.1186/s40468-023-00254-0","http://dx.doi.org/10.1186/s40468-023-00254-0")</f>
        <v>http://dx.doi.org/10.1186/s40468-023-00254-0</v>
      </c>
      <c r="BG693" t="s">
        <v>74</v>
      </c>
      <c r="BH693" t="s">
        <v>74</v>
      </c>
      <c r="BI693">
        <v>24</v>
      </c>
      <c r="BJ693" t="s">
        <v>12966</v>
      </c>
      <c r="BK693" t="s">
        <v>97</v>
      </c>
      <c r="BL693" t="s">
        <v>12967</v>
      </c>
      <c r="BM693" t="s">
        <v>12968</v>
      </c>
      <c r="BN693" t="s">
        <v>74</v>
      </c>
      <c r="BO693" t="s">
        <v>302</v>
      </c>
      <c r="BP693" t="s">
        <v>74</v>
      </c>
      <c r="BQ693" t="s">
        <v>74</v>
      </c>
      <c r="BR693" t="s">
        <v>99</v>
      </c>
      <c r="BS693" t="s">
        <v>12969</v>
      </c>
      <c r="BT693" t="str">
        <f>HYPERLINK("https%3A%2F%2Fwww.webofscience.com%2Fwos%2Fwoscc%2Ffull-record%2FWOS:001054257800001","View Full Record in Web of Science")</f>
        <v>View Full Record in Web of Science</v>
      </c>
    </row>
    <row r="694" spans="1:72" x14ac:dyDescent="0.15">
      <c r="A694" t="s">
        <v>72</v>
      </c>
      <c r="B694" t="s">
        <v>12970</v>
      </c>
      <c r="C694" t="s">
        <v>74</v>
      </c>
      <c r="D694" t="s">
        <v>74</v>
      </c>
      <c r="E694" t="s">
        <v>74</v>
      </c>
      <c r="F694" t="s">
        <v>12971</v>
      </c>
      <c r="G694" t="s">
        <v>74</v>
      </c>
      <c r="H694" t="s">
        <v>74</v>
      </c>
      <c r="I694" t="s">
        <v>12972</v>
      </c>
      <c r="J694" t="s">
        <v>12973</v>
      </c>
      <c r="K694" t="s">
        <v>74</v>
      </c>
      <c r="L694" t="s">
        <v>74</v>
      </c>
      <c r="M694" t="s">
        <v>78</v>
      </c>
      <c r="N694" t="s">
        <v>1246</v>
      </c>
      <c r="O694" t="s">
        <v>74</v>
      </c>
      <c r="P694" t="s">
        <v>74</v>
      </c>
      <c r="Q694" t="s">
        <v>74</v>
      </c>
      <c r="R694" t="s">
        <v>74</v>
      </c>
      <c r="S694" t="s">
        <v>74</v>
      </c>
      <c r="T694" t="s">
        <v>12974</v>
      </c>
      <c r="U694" t="s">
        <v>12975</v>
      </c>
      <c r="V694" t="s">
        <v>12976</v>
      </c>
      <c r="W694" t="s">
        <v>12977</v>
      </c>
      <c r="X694" t="s">
        <v>12978</v>
      </c>
      <c r="Y694" t="s">
        <v>12979</v>
      </c>
      <c r="Z694" t="s">
        <v>12980</v>
      </c>
      <c r="AA694" t="s">
        <v>74</v>
      </c>
      <c r="AB694" t="s">
        <v>74</v>
      </c>
      <c r="AC694" t="s">
        <v>12981</v>
      </c>
      <c r="AD694" t="s">
        <v>12981</v>
      </c>
      <c r="AE694" t="s">
        <v>12981</v>
      </c>
      <c r="AF694" t="s">
        <v>74</v>
      </c>
      <c r="AG694">
        <v>74</v>
      </c>
      <c r="AH694">
        <v>0</v>
      </c>
      <c r="AI694">
        <v>0</v>
      </c>
      <c r="AJ694">
        <v>0</v>
      </c>
      <c r="AK694">
        <v>0</v>
      </c>
      <c r="AL694" t="s">
        <v>117</v>
      </c>
      <c r="AM694" t="s">
        <v>118</v>
      </c>
      <c r="AN694" t="s">
        <v>119</v>
      </c>
      <c r="AO694" t="s">
        <v>12982</v>
      </c>
      <c r="AP694" t="s">
        <v>12983</v>
      </c>
      <c r="AQ694" t="s">
        <v>74</v>
      </c>
      <c r="AR694" t="s">
        <v>12984</v>
      </c>
      <c r="AS694" t="s">
        <v>12985</v>
      </c>
      <c r="AT694" t="s">
        <v>12706</v>
      </c>
      <c r="AU694">
        <v>2023</v>
      </c>
      <c r="AV694" t="s">
        <v>74</v>
      </c>
      <c r="AW694" t="s">
        <v>74</v>
      </c>
      <c r="AX694" t="s">
        <v>74</v>
      </c>
      <c r="AY694" t="s">
        <v>74</v>
      </c>
      <c r="AZ694" t="s">
        <v>74</v>
      </c>
      <c r="BA694" t="s">
        <v>74</v>
      </c>
      <c r="BB694" t="s">
        <v>74</v>
      </c>
      <c r="BC694" t="s">
        <v>74</v>
      </c>
      <c r="BD694" t="s">
        <v>74</v>
      </c>
      <c r="BE694" t="s">
        <v>12986</v>
      </c>
      <c r="BF694" t="str">
        <f>HYPERLINK("http://dx.doi.org/10.1007/s10100-023-00877","http://dx.doi.org/10.1007/s10100-023-00877")</f>
        <v>http://dx.doi.org/10.1007/s10100-023-00877</v>
      </c>
      <c r="BG694" t="s">
        <v>74</v>
      </c>
      <c r="BH694" t="s">
        <v>10650</v>
      </c>
      <c r="BI694">
        <v>26</v>
      </c>
      <c r="BJ694" t="s">
        <v>12423</v>
      </c>
      <c r="BK694" t="s">
        <v>126</v>
      </c>
      <c r="BL694" t="s">
        <v>12423</v>
      </c>
      <c r="BM694" t="s">
        <v>12987</v>
      </c>
      <c r="BN694" t="s">
        <v>74</v>
      </c>
      <c r="BO694" t="s">
        <v>74</v>
      </c>
      <c r="BP694" t="s">
        <v>74</v>
      </c>
      <c r="BQ694" t="s">
        <v>74</v>
      </c>
      <c r="BR694" t="s">
        <v>99</v>
      </c>
      <c r="BS694" t="s">
        <v>12988</v>
      </c>
      <c r="BT694" t="str">
        <f>HYPERLINK("https%3A%2F%2Fwww.webofscience.com%2Fwos%2Fwoscc%2Ffull-record%2FWOS:001059933800001","View Full Record in Web of Science")</f>
        <v>View Full Record in Web of Science</v>
      </c>
    </row>
    <row r="695" spans="1:72" x14ac:dyDescent="0.15">
      <c r="A695" t="s">
        <v>72</v>
      </c>
      <c r="B695" t="s">
        <v>12989</v>
      </c>
      <c r="C695" t="s">
        <v>74</v>
      </c>
      <c r="D695" t="s">
        <v>74</v>
      </c>
      <c r="E695" t="s">
        <v>74</v>
      </c>
      <c r="F695" t="s">
        <v>12990</v>
      </c>
      <c r="G695" t="s">
        <v>74</v>
      </c>
      <c r="H695" t="s">
        <v>74</v>
      </c>
      <c r="I695" t="s">
        <v>12991</v>
      </c>
      <c r="J695" t="s">
        <v>12992</v>
      </c>
      <c r="K695" t="s">
        <v>74</v>
      </c>
      <c r="L695" t="s">
        <v>74</v>
      </c>
      <c r="M695" t="s">
        <v>78</v>
      </c>
      <c r="N695" t="s">
        <v>79</v>
      </c>
      <c r="O695" t="s">
        <v>74</v>
      </c>
      <c r="P695" t="s">
        <v>74</v>
      </c>
      <c r="Q695" t="s">
        <v>74</v>
      </c>
      <c r="R695" t="s">
        <v>74</v>
      </c>
      <c r="S695" t="s">
        <v>74</v>
      </c>
      <c r="T695" t="s">
        <v>12993</v>
      </c>
      <c r="U695" t="s">
        <v>12994</v>
      </c>
      <c r="V695" t="s">
        <v>12995</v>
      </c>
      <c r="W695" t="s">
        <v>12996</v>
      </c>
      <c r="X695" t="s">
        <v>12997</v>
      </c>
      <c r="Y695" t="s">
        <v>12998</v>
      </c>
      <c r="Z695" t="s">
        <v>12999</v>
      </c>
      <c r="AA695" t="s">
        <v>74</v>
      </c>
      <c r="AB695" t="s">
        <v>74</v>
      </c>
      <c r="AC695" t="s">
        <v>932</v>
      </c>
      <c r="AD695" t="s">
        <v>932</v>
      </c>
      <c r="AE695" t="s">
        <v>932</v>
      </c>
      <c r="AF695" t="s">
        <v>74</v>
      </c>
      <c r="AG695">
        <v>40</v>
      </c>
      <c r="AH695">
        <v>0</v>
      </c>
      <c r="AI695">
        <v>0</v>
      </c>
      <c r="AJ695">
        <v>0</v>
      </c>
      <c r="AK695">
        <v>0</v>
      </c>
      <c r="AL695" t="s">
        <v>117</v>
      </c>
      <c r="AM695" t="s">
        <v>118</v>
      </c>
      <c r="AN695" t="s">
        <v>119</v>
      </c>
      <c r="AO695" t="s">
        <v>74</v>
      </c>
      <c r="AP695" t="s">
        <v>13000</v>
      </c>
      <c r="AQ695" t="s">
        <v>74</v>
      </c>
      <c r="AR695" t="s">
        <v>13001</v>
      </c>
      <c r="AS695" t="s">
        <v>13002</v>
      </c>
      <c r="AT695" t="s">
        <v>12745</v>
      </c>
      <c r="AU695">
        <v>2023</v>
      </c>
      <c r="AV695">
        <v>54</v>
      </c>
      <c r="AW695">
        <v>1</v>
      </c>
      <c r="AX695" t="s">
        <v>74</v>
      </c>
      <c r="AY695" t="s">
        <v>74</v>
      </c>
      <c r="AZ695" t="s">
        <v>74</v>
      </c>
      <c r="BA695" t="s">
        <v>74</v>
      </c>
      <c r="BB695" t="s">
        <v>74</v>
      </c>
      <c r="BC695" t="s">
        <v>74</v>
      </c>
      <c r="BD695">
        <v>143</v>
      </c>
      <c r="BE695" t="s">
        <v>13003</v>
      </c>
      <c r="BF695" t="str">
        <f>HYPERLINK("http://dx.doi.org/10.1186/s43055-023-01090-1","http://dx.doi.org/10.1186/s43055-023-01090-1")</f>
        <v>http://dx.doi.org/10.1186/s43055-023-01090-1</v>
      </c>
      <c r="BG695" t="s">
        <v>74</v>
      </c>
      <c r="BH695" t="s">
        <v>74</v>
      </c>
      <c r="BI695">
        <v>8</v>
      </c>
      <c r="BJ695" t="s">
        <v>2396</v>
      </c>
      <c r="BK695" t="s">
        <v>97</v>
      </c>
      <c r="BL695" t="s">
        <v>2396</v>
      </c>
      <c r="BM695" t="s">
        <v>13004</v>
      </c>
      <c r="BN695" t="s">
        <v>74</v>
      </c>
      <c r="BO695" t="s">
        <v>302</v>
      </c>
      <c r="BP695" t="s">
        <v>74</v>
      </c>
      <c r="BQ695" t="s">
        <v>74</v>
      </c>
      <c r="BR695" t="s">
        <v>99</v>
      </c>
      <c r="BS695" t="s">
        <v>13005</v>
      </c>
      <c r="BT695" t="str">
        <f>HYPERLINK("https%3A%2F%2Fwww.webofscience.com%2Fwos%2Fwoscc%2Ffull-record%2FWOS:001058031700002","View Full Record in Web of Science")</f>
        <v>View Full Record in Web of Science</v>
      </c>
    </row>
    <row r="696" spans="1:72" x14ac:dyDescent="0.15">
      <c r="A696" t="s">
        <v>72</v>
      </c>
      <c r="B696" t="s">
        <v>13006</v>
      </c>
      <c r="C696" t="s">
        <v>74</v>
      </c>
      <c r="D696" t="s">
        <v>74</v>
      </c>
      <c r="E696" t="s">
        <v>74</v>
      </c>
      <c r="F696" t="s">
        <v>13007</v>
      </c>
      <c r="G696" t="s">
        <v>74</v>
      </c>
      <c r="H696" t="s">
        <v>74</v>
      </c>
      <c r="I696" t="s">
        <v>13008</v>
      </c>
      <c r="J696" t="s">
        <v>1226</v>
      </c>
      <c r="K696" t="s">
        <v>74</v>
      </c>
      <c r="L696" t="s">
        <v>74</v>
      </c>
      <c r="M696" t="s">
        <v>78</v>
      </c>
      <c r="N696" t="s">
        <v>79</v>
      </c>
      <c r="O696" t="s">
        <v>74</v>
      </c>
      <c r="P696" t="s">
        <v>74</v>
      </c>
      <c r="Q696" t="s">
        <v>74</v>
      </c>
      <c r="R696" t="s">
        <v>74</v>
      </c>
      <c r="S696" t="s">
        <v>74</v>
      </c>
      <c r="T696" t="s">
        <v>13009</v>
      </c>
      <c r="U696" t="s">
        <v>74</v>
      </c>
      <c r="V696" t="s">
        <v>13010</v>
      </c>
      <c r="W696" t="s">
        <v>13011</v>
      </c>
      <c r="X696" t="s">
        <v>74</v>
      </c>
      <c r="Y696" t="s">
        <v>13012</v>
      </c>
      <c r="Z696" t="s">
        <v>13013</v>
      </c>
      <c r="AA696" t="s">
        <v>74</v>
      </c>
      <c r="AB696" t="s">
        <v>13014</v>
      </c>
      <c r="AC696" t="s">
        <v>74</v>
      </c>
      <c r="AD696" t="s">
        <v>74</v>
      </c>
      <c r="AE696" t="s">
        <v>74</v>
      </c>
      <c r="AF696" t="s">
        <v>74</v>
      </c>
      <c r="AG696">
        <v>13</v>
      </c>
      <c r="AH696">
        <v>0</v>
      </c>
      <c r="AI696">
        <v>0</v>
      </c>
      <c r="AJ696">
        <v>0</v>
      </c>
      <c r="AK696">
        <v>0</v>
      </c>
      <c r="AL696" t="s">
        <v>317</v>
      </c>
      <c r="AM696" t="s">
        <v>245</v>
      </c>
      <c r="AN696" t="s">
        <v>318</v>
      </c>
      <c r="AO696" t="s">
        <v>74</v>
      </c>
      <c r="AP696" t="s">
        <v>1232</v>
      </c>
      <c r="AQ696" t="s">
        <v>74</v>
      </c>
      <c r="AR696" t="s">
        <v>1233</v>
      </c>
      <c r="AS696" t="s">
        <v>1234</v>
      </c>
      <c r="AT696" t="s">
        <v>12745</v>
      </c>
      <c r="AU696">
        <v>2023</v>
      </c>
      <c r="AV696">
        <v>15</v>
      </c>
      <c r="AW696">
        <v>8</v>
      </c>
      <c r="AX696" t="s">
        <v>74</v>
      </c>
      <c r="AY696" t="s">
        <v>74</v>
      </c>
      <c r="AZ696" t="s">
        <v>74</v>
      </c>
      <c r="BA696" t="s">
        <v>74</v>
      </c>
      <c r="BB696" t="s">
        <v>74</v>
      </c>
      <c r="BC696" t="s">
        <v>74</v>
      </c>
      <c r="BD696" t="s">
        <v>13015</v>
      </c>
      <c r="BE696" t="s">
        <v>13016</v>
      </c>
      <c r="BF696" t="str">
        <f>HYPERLINK("http://dx.doi.org/10.7759/cureus.44085","http://dx.doi.org/10.7759/cureus.44085")</f>
        <v>http://dx.doi.org/10.7759/cureus.44085</v>
      </c>
      <c r="BG696" t="s">
        <v>74</v>
      </c>
      <c r="BH696" t="s">
        <v>74</v>
      </c>
      <c r="BI696">
        <v>4</v>
      </c>
      <c r="BJ696" t="s">
        <v>1238</v>
      </c>
      <c r="BK696" t="s">
        <v>97</v>
      </c>
      <c r="BL696" t="s">
        <v>1239</v>
      </c>
      <c r="BM696" t="s">
        <v>13017</v>
      </c>
      <c r="BN696">
        <v>37750123</v>
      </c>
      <c r="BO696" t="s">
        <v>302</v>
      </c>
      <c r="BP696" t="s">
        <v>74</v>
      </c>
      <c r="BQ696" t="s">
        <v>74</v>
      </c>
      <c r="BR696" t="s">
        <v>99</v>
      </c>
      <c r="BS696" t="s">
        <v>13018</v>
      </c>
      <c r="BT696" t="str">
        <f>HYPERLINK("https%3A%2F%2Fwww.webofscience.com%2Fwos%2Fwoscc%2Ffull-record%2FWOS:001062298600014","View Full Record in Web of Science")</f>
        <v>View Full Record in Web of Science</v>
      </c>
    </row>
    <row r="697" spans="1:72" x14ac:dyDescent="0.15">
      <c r="A697" t="s">
        <v>72</v>
      </c>
      <c r="B697" t="s">
        <v>13019</v>
      </c>
      <c r="C697" t="s">
        <v>74</v>
      </c>
      <c r="D697" t="s">
        <v>74</v>
      </c>
      <c r="E697" t="s">
        <v>74</v>
      </c>
      <c r="F697" t="s">
        <v>13020</v>
      </c>
      <c r="G697" t="s">
        <v>74</v>
      </c>
      <c r="H697" t="s">
        <v>74</v>
      </c>
      <c r="I697" t="s">
        <v>13021</v>
      </c>
      <c r="J697" t="s">
        <v>13022</v>
      </c>
      <c r="K697" t="s">
        <v>74</v>
      </c>
      <c r="L697" t="s">
        <v>74</v>
      </c>
      <c r="M697" t="s">
        <v>78</v>
      </c>
      <c r="N697" t="s">
        <v>79</v>
      </c>
      <c r="O697" t="s">
        <v>74</v>
      </c>
      <c r="P697" t="s">
        <v>74</v>
      </c>
      <c r="Q697" t="s">
        <v>74</v>
      </c>
      <c r="R697" t="s">
        <v>74</v>
      </c>
      <c r="S697" t="s">
        <v>74</v>
      </c>
      <c r="T697" t="s">
        <v>13023</v>
      </c>
      <c r="U697" t="s">
        <v>13024</v>
      </c>
      <c r="V697" t="s">
        <v>13025</v>
      </c>
      <c r="W697" t="s">
        <v>13026</v>
      </c>
      <c r="X697" t="s">
        <v>13027</v>
      </c>
      <c r="Y697" t="s">
        <v>13028</v>
      </c>
      <c r="Z697" t="s">
        <v>13029</v>
      </c>
      <c r="AA697" t="s">
        <v>74</v>
      </c>
      <c r="AB697" t="s">
        <v>74</v>
      </c>
      <c r="AC697" t="s">
        <v>932</v>
      </c>
      <c r="AD697" t="s">
        <v>932</v>
      </c>
      <c r="AE697" t="s">
        <v>932</v>
      </c>
      <c r="AF697" t="s">
        <v>74</v>
      </c>
      <c r="AG697">
        <v>43</v>
      </c>
      <c r="AH697">
        <v>0</v>
      </c>
      <c r="AI697">
        <v>0</v>
      </c>
      <c r="AJ697">
        <v>4</v>
      </c>
      <c r="AK697">
        <v>4</v>
      </c>
      <c r="AL697" t="s">
        <v>443</v>
      </c>
      <c r="AM697" t="s">
        <v>245</v>
      </c>
      <c r="AN697" t="s">
        <v>444</v>
      </c>
      <c r="AO697" t="s">
        <v>74</v>
      </c>
      <c r="AP697" t="s">
        <v>13030</v>
      </c>
      <c r="AQ697" t="s">
        <v>74</v>
      </c>
      <c r="AR697" t="s">
        <v>13031</v>
      </c>
      <c r="AS697" t="s">
        <v>13032</v>
      </c>
      <c r="AT697" t="s">
        <v>12745</v>
      </c>
      <c r="AU697">
        <v>2023</v>
      </c>
      <c r="AV697">
        <v>23</v>
      </c>
      <c r="AW697">
        <v>1</v>
      </c>
      <c r="AX697" t="s">
        <v>74</v>
      </c>
      <c r="AY697" t="s">
        <v>74</v>
      </c>
      <c r="AZ697" t="s">
        <v>74</v>
      </c>
      <c r="BA697" t="s">
        <v>74</v>
      </c>
      <c r="BB697" t="s">
        <v>74</v>
      </c>
      <c r="BC697" t="s">
        <v>74</v>
      </c>
      <c r="BD697">
        <v>166</v>
      </c>
      <c r="BE697" t="s">
        <v>13033</v>
      </c>
      <c r="BF697" t="str">
        <f>HYPERLINK("http://dx.doi.org/10.1186/s12911-023-02267-4","http://dx.doi.org/10.1186/s12911-023-02267-4")</f>
        <v>http://dx.doi.org/10.1186/s12911-023-02267-4</v>
      </c>
      <c r="BG697" t="s">
        <v>74</v>
      </c>
      <c r="BH697" t="s">
        <v>74</v>
      </c>
      <c r="BI697">
        <v>14</v>
      </c>
      <c r="BJ697" t="s">
        <v>13034</v>
      </c>
      <c r="BK697" t="s">
        <v>126</v>
      </c>
      <c r="BL697" t="s">
        <v>13034</v>
      </c>
      <c r="BM697" t="s">
        <v>13035</v>
      </c>
      <c r="BN697">
        <v>37626352</v>
      </c>
      <c r="BO697" t="s">
        <v>540</v>
      </c>
      <c r="BP697" t="s">
        <v>74</v>
      </c>
      <c r="BQ697" t="s">
        <v>74</v>
      </c>
      <c r="BR697" t="s">
        <v>99</v>
      </c>
      <c r="BS697" t="s">
        <v>13036</v>
      </c>
      <c r="BT697" t="str">
        <f>HYPERLINK("https%3A%2F%2Fwww.webofscience.com%2Fwos%2Fwoscc%2Ffull-record%2FWOS:001054418500001","View Full Record in Web of Science")</f>
        <v>View Full Record in Web of Science</v>
      </c>
    </row>
    <row r="698" spans="1:72" x14ac:dyDescent="0.15">
      <c r="A698" t="s">
        <v>72</v>
      </c>
      <c r="B698" t="s">
        <v>13037</v>
      </c>
      <c r="C698" t="s">
        <v>74</v>
      </c>
      <c r="D698" t="s">
        <v>74</v>
      </c>
      <c r="E698" t="s">
        <v>74</v>
      </c>
      <c r="F698" t="s">
        <v>13038</v>
      </c>
      <c r="G698" t="s">
        <v>74</v>
      </c>
      <c r="H698" t="s">
        <v>74</v>
      </c>
      <c r="I698" t="s">
        <v>13039</v>
      </c>
      <c r="J698" t="s">
        <v>13040</v>
      </c>
      <c r="K698" t="s">
        <v>74</v>
      </c>
      <c r="L698" t="s">
        <v>74</v>
      </c>
      <c r="M698" t="s">
        <v>78</v>
      </c>
      <c r="N698" t="s">
        <v>1246</v>
      </c>
      <c r="O698" t="s">
        <v>74</v>
      </c>
      <c r="P698" t="s">
        <v>74</v>
      </c>
      <c r="Q698" t="s">
        <v>74</v>
      </c>
      <c r="R698" t="s">
        <v>74</v>
      </c>
      <c r="S698" t="s">
        <v>74</v>
      </c>
      <c r="T698" t="s">
        <v>13041</v>
      </c>
      <c r="U698" t="s">
        <v>13042</v>
      </c>
      <c r="V698" t="s">
        <v>13043</v>
      </c>
      <c r="W698" t="s">
        <v>13044</v>
      </c>
      <c r="X698" t="s">
        <v>13045</v>
      </c>
      <c r="Y698" t="s">
        <v>13046</v>
      </c>
      <c r="Z698" t="s">
        <v>13047</v>
      </c>
      <c r="AA698" t="s">
        <v>13048</v>
      </c>
      <c r="AB698" t="s">
        <v>74</v>
      </c>
      <c r="AC698" t="s">
        <v>13049</v>
      </c>
      <c r="AD698" t="s">
        <v>13050</v>
      </c>
      <c r="AE698" t="s">
        <v>13051</v>
      </c>
      <c r="AF698" t="s">
        <v>74</v>
      </c>
      <c r="AG698">
        <v>51</v>
      </c>
      <c r="AH698">
        <v>0</v>
      </c>
      <c r="AI698">
        <v>0</v>
      </c>
      <c r="AJ698">
        <v>0</v>
      </c>
      <c r="AK698">
        <v>0</v>
      </c>
      <c r="AL698" t="s">
        <v>172</v>
      </c>
      <c r="AM698" t="s">
        <v>173</v>
      </c>
      <c r="AN698" t="s">
        <v>174</v>
      </c>
      <c r="AO698" t="s">
        <v>13052</v>
      </c>
      <c r="AP698" t="s">
        <v>13053</v>
      </c>
      <c r="AQ698" t="s">
        <v>74</v>
      </c>
      <c r="AR698" t="s">
        <v>13054</v>
      </c>
      <c r="AS698" t="s">
        <v>13055</v>
      </c>
      <c r="AT698" t="s">
        <v>12706</v>
      </c>
      <c r="AU698">
        <v>2023</v>
      </c>
      <c r="AV698" t="s">
        <v>74</v>
      </c>
      <c r="AW698" t="s">
        <v>74</v>
      </c>
      <c r="AX698" t="s">
        <v>74</v>
      </c>
      <c r="AY698" t="s">
        <v>74</v>
      </c>
      <c r="AZ698" t="s">
        <v>74</v>
      </c>
      <c r="BA698" t="s">
        <v>74</v>
      </c>
      <c r="BB698" t="s">
        <v>74</v>
      </c>
      <c r="BC698" t="s">
        <v>74</v>
      </c>
      <c r="BD698" t="s">
        <v>74</v>
      </c>
      <c r="BE698" t="s">
        <v>13056</v>
      </c>
      <c r="BF698" t="str">
        <f>HYPERLINK("http://dx.doi.org/10.1007/s42417-023-01115","http://dx.doi.org/10.1007/s42417-023-01115")</f>
        <v>http://dx.doi.org/10.1007/s42417-023-01115</v>
      </c>
      <c r="BG698" t="s">
        <v>74</v>
      </c>
      <c r="BH698" t="s">
        <v>10650</v>
      </c>
      <c r="BI698">
        <v>27</v>
      </c>
      <c r="BJ698" t="s">
        <v>4018</v>
      </c>
      <c r="BK698" t="s">
        <v>126</v>
      </c>
      <c r="BL698" t="s">
        <v>4019</v>
      </c>
      <c r="BM698" t="s">
        <v>13057</v>
      </c>
      <c r="BN698" t="s">
        <v>74</v>
      </c>
      <c r="BO698" t="s">
        <v>74</v>
      </c>
      <c r="BP698" t="s">
        <v>74</v>
      </c>
      <c r="BQ698" t="s">
        <v>74</v>
      </c>
      <c r="BR698" t="s">
        <v>99</v>
      </c>
      <c r="BS698" t="s">
        <v>13058</v>
      </c>
      <c r="BT698" t="str">
        <f>HYPERLINK("https%3A%2F%2Fwww.webofscience.com%2Fwos%2Fwoscc%2Ffull-record%2FWOS:001060210400002","View Full Record in Web of Science")</f>
        <v>View Full Record in Web of Science</v>
      </c>
    </row>
    <row r="699" spans="1:72" x14ac:dyDescent="0.15">
      <c r="A699" t="s">
        <v>72</v>
      </c>
      <c r="B699" t="s">
        <v>13059</v>
      </c>
      <c r="C699" t="s">
        <v>74</v>
      </c>
      <c r="D699" t="s">
        <v>74</v>
      </c>
      <c r="E699" t="s">
        <v>74</v>
      </c>
      <c r="F699" t="s">
        <v>13060</v>
      </c>
      <c r="G699" t="s">
        <v>74</v>
      </c>
      <c r="H699" t="s">
        <v>74</v>
      </c>
      <c r="I699" t="s">
        <v>13061</v>
      </c>
      <c r="J699" t="s">
        <v>13062</v>
      </c>
      <c r="K699" t="s">
        <v>74</v>
      </c>
      <c r="L699" t="s">
        <v>74</v>
      </c>
      <c r="M699" t="s">
        <v>78</v>
      </c>
      <c r="N699" t="s">
        <v>1246</v>
      </c>
      <c r="O699" t="s">
        <v>74</v>
      </c>
      <c r="P699" t="s">
        <v>74</v>
      </c>
      <c r="Q699" t="s">
        <v>74</v>
      </c>
      <c r="R699" t="s">
        <v>74</v>
      </c>
      <c r="S699" t="s">
        <v>74</v>
      </c>
      <c r="T699" t="s">
        <v>13063</v>
      </c>
      <c r="U699" t="s">
        <v>13064</v>
      </c>
      <c r="V699" t="s">
        <v>13065</v>
      </c>
      <c r="W699" t="s">
        <v>13066</v>
      </c>
      <c r="X699" t="s">
        <v>13067</v>
      </c>
      <c r="Y699" t="s">
        <v>13068</v>
      </c>
      <c r="Z699" t="s">
        <v>13069</v>
      </c>
      <c r="AA699" t="s">
        <v>74</v>
      </c>
      <c r="AB699" t="s">
        <v>74</v>
      </c>
      <c r="AC699" t="s">
        <v>13070</v>
      </c>
      <c r="AD699" t="s">
        <v>13071</v>
      </c>
      <c r="AE699" t="s">
        <v>13072</v>
      </c>
      <c r="AF699" t="s">
        <v>74</v>
      </c>
      <c r="AG699">
        <v>65</v>
      </c>
      <c r="AH699">
        <v>0</v>
      </c>
      <c r="AI699">
        <v>0</v>
      </c>
      <c r="AJ699">
        <v>1</v>
      </c>
      <c r="AK699">
        <v>1</v>
      </c>
      <c r="AL699" t="s">
        <v>172</v>
      </c>
      <c r="AM699" t="s">
        <v>173</v>
      </c>
      <c r="AN699" t="s">
        <v>174</v>
      </c>
      <c r="AO699" t="s">
        <v>13073</v>
      </c>
      <c r="AP699" t="s">
        <v>13074</v>
      </c>
      <c r="AQ699" t="s">
        <v>74</v>
      </c>
      <c r="AR699" t="s">
        <v>13075</v>
      </c>
      <c r="AS699" t="s">
        <v>13076</v>
      </c>
      <c r="AT699" t="s">
        <v>12706</v>
      </c>
      <c r="AU699">
        <v>2023</v>
      </c>
      <c r="AV699" t="s">
        <v>74</v>
      </c>
      <c r="AW699" t="s">
        <v>74</v>
      </c>
      <c r="AX699" t="s">
        <v>74</v>
      </c>
      <c r="AY699" t="s">
        <v>74</v>
      </c>
      <c r="AZ699" t="s">
        <v>74</v>
      </c>
      <c r="BA699" t="s">
        <v>74</v>
      </c>
      <c r="BB699" t="s">
        <v>74</v>
      </c>
      <c r="BC699" t="s">
        <v>74</v>
      </c>
      <c r="BD699" t="s">
        <v>74</v>
      </c>
      <c r="BE699" t="s">
        <v>13077</v>
      </c>
      <c r="BF699" t="str">
        <f>HYPERLINK("http://dx.doi.org/10.1007/s13042-023-01942-2","http://dx.doi.org/10.1007/s13042-023-01942-2")</f>
        <v>http://dx.doi.org/10.1007/s13042-023-01942-2</v>
      </c>
      <c r="BG699" t="s">
        <v>74</v>
      </c>
      <c r="BH699" t="s">
        <v>10650</v>
      </c>
      <c r="BI699">
        <v>15</v>
      </c>
      <c r="BJ699" t="s">
        <v>5390</v>
      </c>
      <c r="BK699" t="s">
        <v>126</v>
      </c>
      <c r="BL699" t="s">
        <v>1139</v>
      </c>
      <c r="BM699" t="s">
        <v>13078</v>
      </c>
      <c r="BN699" t="s">
        <v>74</v>
      </c>
      <c r="BO699" t="s">
        <v>74</v>
      </c>
      <c r="BP699" t="s">
        <v>74</v>
      </c>
      <c r="BQ699" t="s">
        <v>74</v>
      </c>
      <c r="BR699" t="s">
        <v>99</v>
      </c>
      <c r="BS699" t="s">
        <v>13079</v>
      </c>
      <c r="BT699" t="str">
        <f>HYPERLINK("https%3A%2F%2Fwww.webofscience.com%2Fwos%2Fwoscc%2Ffull-record%2FWOS:001059924000001","View Full Record in Web of Science")</f>
        <v>View Full Record in Web of Science</v>
      </c>
    </row>
    <row r="700" spans="1:72" x14ac:dyDescent="0.15">
      <c r="A700" t="s">
        <v>72</v>
      </c>
      <c r="B700" t="s">
        <v>13080</v>
      </c>
      <c r="C700" t="s">
        <v>74</v>
      </c>
      <c r="D700" t="s">
        <v>74</v>
      </c>
      <c r="E700" t="s">
        <v>74</v>
      </c>
      <c r="F700" t="s">
        <v>13081</v>
      </c>
      <c r="G700" t="s">
        <v>74</v>
      </c>
      <c r="H700" t="s">
        <v>74</v>
      </c>
      <c r="I700" t="s">
        <v>13082</v>
      </c>
      <c r="J700" t="s">
        <v>9863</v>
      </c>
      <c r="K700" t="s">
        <v>74</v>
      </c>
      <c r="L700" t="s">
        <v>74</v>
      </c>
      <c r="M700" t="s">
        <v>78</v>
      </c>
      <c r="N700" t="s">
        <v>1246</v>
      </c>
      <c r="O700" t="s">
        <v>74</v>
      </c>
      <c r="P700" t="s">
        <v>74</v>
      </c>
      <c r="Q700" t="s">
        <v>74</v>
      </c>
      <c r="R700" t="s">
        <v>74</v>
      </c>
      <c r="S700" t="s">
        <v>74</v>
      </c>
      <c r="T700" t="s">
        <v>13083</v>
      </c>
      <c r="U700" t="s">
        <v>9865</v>
      </c>
      <c r="V700" t="s">
        <v>13084</v>
      </c>
      <c r="W700" t="s">
        <v>13085</v>
      </c>
      <c r="X700" t="s">
        <v>13086</v>
      </c>
      <c r="Y700" t="s">
        <v>13087</v>
      </c>
      <c r="Z700" t="s">
        <v>13088</v>
      </c>
      <c r="AA700" t="s">
        <v>74</v>
      </c>
      <c r="AB700" t="s">
        <v>74</v>
      </c>
      <c r="AC700" t="s">
        <v>13089</v>
      </c>
      <c r="AD700" t="s">
        <v>13090</v>
      </c>
      <c r="AE700" t="s">
        <v>13091</v>
      </c>
      <c r="AF700" t="s">
        <v>74</v>
      </c>
      <c r="AG700">
        <v>48</v>
      </c>
      <c r="AH700">
        <v>0</v>
      </c>
      <c r="AI700">
        <v>0</v>
      </c>
      <c r="AJ700">
        <v>0</v>
      </c>
      <c r="AK700">
        <v>0</v>
      </c>
      <c r="AL700" t="s">
        <v>117</v>
      </c>
      <c r="AM700" t="s">
        <v>627</v>
      </c>
      <c r="AN700" t="s">
        <v>628</v>
      </c>
      <c r="AO700" t="s">
        <v>9874</v>
      </c>
      <c r="AP700" t="s">
        <v>9875</v>
      </c>
      <c r="AQ700" t="s">
        <v>74</v>
      </c>
      <c r="AR700" t="s">
        <v>9876</v>
      </c>
      <c r="AS700" t="s">
        <v>9877</v>
      </c>
      <c r="AT700" t="s">
        <v>12706</v>
      </c>
      <c r="AU700">
        <v>2023</v>
      </c>
      <c r="AV700" t="s">
        <v>74</v>
      </c>
      <c r="AW700" t="s">
        <v>74</v>
      </c>
      <c r="AX700" t="s">
        <v>74</v>
      </c>
      <c r="AY700" t="s">
        <v>74</v>
      </c>
      <c r="AZ700" t="s">
        <v>74</v>
      </c>
      <c r="BA700" t="s">
        <v>74</v>
      </c>
      <c r="BB700" t="s">
        <v>74</v>
      </c>
      <c r="BC700" t="s">
        <v>74</v>
      </c>
      <c r="BD700" t="s">
        <v>74</v>
      </c>
      <c r="BE700" t="s">
        <v>13092</v>
      </c>
      <c r="BF700" t="str">
        <f>HYPERLINK("http://dx.doi.org/10.1007/s10489-023-04953-2","http://dx.doi.org/10.1007/s10489-023-04953-2")</f>
        <v>http://dx.doi.org/10.1007/s10489-023-04953-2</v>
      </c>
      <c r="BG700" t="s">
        <v>74</v>
      </c>
      <c r="BH700" t="s">
        <v>10650</v>
      </c>
      <c r="BI700">
        <v>21</v>
      </c>
      <c r="BJ700" t="s">
        <v>5390</v>
      </c>
      <c r="BK700" t="s">
        <v>126</v>
      </c>
      <c r="BL700" t="s">
        <v>1139</v>
      </c>
      <c r="BM700" t="s">
        <v>12708</v>
      </c>
      <c r="BN700" t="s">
        <v>74</v>
      </c>
      <c r="BO700" t="s">
        <v>74</v>
      </c>
      <c r="BP700" t="s">
        <v>74</v>
      </c>
      <c r="BQ700" t="s">
        <v>74</v>
      </c>
      <c r="BR700" t="s">
        <v>99</v>
      </c>
      <c r="BS700" t="s">
        <v>13093</v>
      </c>
      <c r="BT700" t="str">
        <f>HYPERLINK("https%3A%2F%2Fwww.webofscience.com%2Fwos%2Fwoscc%2Ffull-record%2FWOS:001063584500002","View Full Record in Web of Science")</f>
        <v>View Full Record in Web of Science</v>
      </c>
    </row>
    <row r="701" spans="1:72" x14ac:dyDescent="0.15">
      <c r="A701" t="s">
        <v>72</v>
      </c>
      <c r="B701" t="s">
        <v>13094</v>
      </c>
      <c r="C701" t="s">
        <v>74</v>
      </c>
      <c r="D701" t="s">
        <v>74</v>
      </c>
      <c r="E701" t="s">
        <v>74</v>
      </c>
      <c r="F701" t="s">
        <v>13095</v>
      </c>
      <c r="G701" t="s">
        <v>74</v>
      </c>
      <c r="H701" t="s">
        <v>74</v>
      </c>
      <c r="I701" t="s">
        <v>13096</v>
      </c>
      <c r="J701" t="s">
        <v>13097</v>
      </c>
      <c r="K701" t="s">
        <v>74</v>
      </c>
      <c r="L701" t="s">
        <v>74</v>
      </c>
      <c r="M701" t="s">
        <v>78</v>
      </c>
      <c r="N701" t="s">
        <v>79</v>
      </c>
      <c r="O701" t="s">
        <v>74</v>
      </c>
      <c r="P701" t="s">
        <v>74</v>
      </c>
      <c r="Q701" t="s">
        <v>74</v>
      </c>
      <c r="R701" t="s">
        <v>74</v>
      </c>
      <c r="S701" t="s">
        <v>74</v>
      </c>
      <c r="T701" t="s">
        <v>13098</v>
      </c>
      <c r="U701" t="s">
        <v>74</v>
      </c>
      <c r="V701" t="s">
        <v>13099</v>
      </c>
      <c r="W701" t="s">
        <v>13100</v>
      </c>
      <c r="X701" t="s">
        <v>13101</v>
      </c>
      <c r="Y701" t="s">
        <v>13102</v>
      </c>
      <c r="Z701" t="s">
        <v>13103</v>
      </c>
      <c r="AA701" t="s">
        <v>74</v>
      </c>
      <c r="AB701" t="s">
        <v>74</v>
      </c>
      <c r="AC701" t="s">
        <v>74</v>
      </c>
      <c r="AD701" t="s">
        <v>74</v>
      </c>
      <c r="AE701" t="s">
        <v>74</v>
      </c>
      <c r="AF701" t="s">
        <v>74</v>
      </c>
      <c r="AG701">
        <v>9</v>
      </c>
      <c r="AH701">
        <v>0</v>
      </c>
      <c r="AI701">
        <v>0</v>
      </c>
      <c r="AJ701">
        <v>0</v>
      </c>
      <c r="AK701">
        <v>0</v>
      </c>
      <c r="AL701" t="s">
        <v>172</v>
      </c>
      <c r="AM701" t="s">
        <v>173</v>
      </c>
      <c r="AN701" t="s">
        <v>174</v>
      </c>
      <c r="AO701" t="s">
        <v>13104</v>
      </c>
      <c r="AP701" t="s">
        <v>13105</v>
      </c>
      <c r="AQ701" t="s">
        <v>74</v>
      </c>
      <c r="AR701" t="s">
        <v>13106</v>
      </c>
      <c r="AS701" t="s">
        <v>13107</v>
      </c>
      <c r="AT701" t="s">
        <v>1275</v>
      </c>
      <c r="AU701">
        <v>2023</v>
      </c>
      <c r="AV701">
        <v>11</v>
      </c>
      <c r="AW701">
        <v>2</v>
      </c>
      <c r="AX701" t="s">
        <v>74</v>
      </c>
      <c r="AY701" t="s">
        <v>74</v>
      </c>
      <c r="AZ701" t="s">
        <v>74</v>
      </c>
      <c r="BA701" t="s">
        <v>74</v>
      </c>
      <c r="BB701">
        <v>235</v>
      </c>
      <c r="BC701">
        <v>242</v>
      </c>
      <c r="BD701" t="s">
        <v>74</v>
      </c>
      <c r="BE701" t="s">
        <v>13108</v>
      </c>
      <c r="BF701" t="str">
        <f>HYPERLINK("http://dx.doi.org/10.1007/s40505-023-00255-5","http://dx.doi.org/10.1007/s40505-023-00255-5")</f>
        <v>http://dx.doi.org/10.1007/s40505-023-00255-5</v>
      </c>
      <c r="BG701" t="s">
        <v>74</v>
      </c>
      <c r="BH701" t="s">
        <v>10650</v>
      </c>
      <c r="BI701">
        <v>8</v>
      </c>
      <c r="BJ701" t="s">
        <v>2781</v>
      </c>
      <c r="BK701" t="s">
        <v>97</v>
      </c>
      <c r="BL701" t="s">
        <v>426</v>
      </c>
      <c r="BM701" t="s">
        <v>13109</v>
      </c>
      <c r="BN701" t="s">
        <v>74</v>
      </c>
      <c r="BO701" t="s">
        <v>327</v>
      </c>
      <c r="BP701" t="s">
        <v>74</v>
      </c>
      <c r="BQ701" t="s">
        <v>74</v>
      </c>
      <c r="BR701" t="s">
        <v>99</v>
      </c>
      <c r="BS701" t="s">
        <v>13110</v>
      </c>
      <c r="BT701" t="str">
        <f>HYPERLINK("https%3A%2F%2Fwww.webofscience.com%2Fwos%2Fwoscc%2Ffull-record%2FWOS:001060151600001","View Full Record in Web of Science")</f>
        <v>View Full Record in Web of Science</v>
      </c>
    </row>
    <row r="702" spans="1:72" x14ac:dyDescent="0.15">
      <c r="A702" t="s">
        <v>72</v>
      </c>
      <c r="B702" t="s">
        <v>13111</v>
      </c>
      <c r="C702" t="s">
        <v>74</v>
      </c>
      <c r="D702" t="s">
        <v>74</v>
      </c>
      <c r="E702" t="s">
        <v>74</v>
      </c>
      <c r="F702" t="s">
        <v>13112</v>
      </c>
      <c r="G702" t="s">
        <v>74</v>
      </c>
      <c r="H702" t="s">
        <v>74</v>
      </c>
      <c r="I702" t="s">
        <v>13113</v>
      </c>
      <c r="J702" t="s">
        <v>6140</v>
      </c>
      <c r="K702" t="s">
        <v>74</v>
      </c>
      <c r="L702" t="s">
        <v>74</v>
      </c>
      <c r="M702" t="s">
        <v>78</v>
      </c>
      <c r="N702" t="s">
        <v>79</v>
      </c>
      <c r="O702" t="s">
        <v>74</v>
      </c>
      <c r="P702" t="s">
        <v>74</v>
      </c>
      <c r="Q702" t="s">
        <v>74</v>
      </c>
      <c r="R702" t="s">
        <v>74</v>
      </c>
      <c r="S702" t="s">
        <v>74</v>
      </c>
      <c r="T702" t="s">
        <v>13114</v>
      </c>
      <c r="U702" t="s">
        <v>13115</v>
      </c>
      <c r="V702" t="s">
        <v>13116</v>
      </c>
      <c r="W702" t="s">
        <v>13117</v>
      </c>
      <c r="X702" t="s">
        <v>74</v>
      </c>
      <c r="Y702" t="s">
        <v>13118</v>
      </c>
      <c r="Z702" t="s">
        <v>13119</v>
      </c>
      <c r="AA702" t="s">
        <v>13120</v>
      </c>
      <c r="AB702" t="s">
        <v>74</v>
      </c>
      <c r="AC702" t="s">
        <v>13121</v>
      </c>
      <c r="AD702" t="s">
        <v>13121</v>
      </c>
      <c r="AE702" t="s">
        <v>13121</v>
      </c>
      <c r="AF702" t="s">
        <v>74</v>
      </c>
      <c r="AG702">
        <v>17</v>
      </c>
      <c r="AH702">
        <v>0</v>
      </c>
      <c r="AI702">
        <v>0</v>
      </c>
      <c r="AJ702">
        <v>0</v>
      </c>
      <c r="AK702">
        <v>0</v>
      </c>
      <c r="AL702" t="s">
        <v>443</v>
      </c>
      <c r="AM702" t="s">
        <v>245</v>
      </c>
      <c r="AN702" t="s">
        <v>444</v>
      </c>
      <c r="AO702" t="s">
        <v>74</v>
      </c>
      <c r="AP702" t="s">
        <v>6147</v>
      </c>
      <c r="AQ702" t="s">
        <v>74</v>
      </c>
      <c r="AR702" t="s">
        <v>6148</v>
      </c>
      <c r="AS702" t="s">
        <v>6149</v>
      </c>
      <c r="AT702" t="s">
        <v>13122</v>
      </c>
      <c r="AU702">
        <v>2023</v>
      </c>
      <c r="AV702">
        <v>17</v>
      </c>
      <c r="AW702">
        <v>1</v>
      </c>
      <c r="AX702" t="s">
        <v>74</v>
      </c>
      <c r="AY702" t="s">
        <v>74</v>
      </c>
      <c r="AZ702" t="s">
        <v>74</v>
      </c>
      <c r="BA702" t="s">
        <v>74</v>
      </c>
      <c r="BB702" t="s">
        <v>74</v>
      </c>
      <c r="BC702" t="s">
        <v>74</v>
      </c>
      <c r="BD702">
        <v>364</v>
      </c>
      <c r="BE702" t="s">
        <v>13123</v>
      </c>
      <c r="BF702" t="str">
        <f>HYPERLINK("http://dx.doi.org/10.1186/s13256-023-04110-w","http://dx.doi.org/10.1186/s13256-023-04110-w")</f>
        <v>http://dx.doi.org/10.1186/s13256-023-04110-w</v>
      </c>
      <c r="BG702" t="s">
        <v>74</v>
      </c>
      <c r="BH702" t="s">
        <v>74</v>
      </c>
      <c r="BI702">
        <v>5</v>
      </c>
      <c r="BJ702" t="s">
        <v>1238</v>
      </c>
      <c r="BK702" t="s">
        <v>97</v>
      </c>
      <c r="BL702" t="s">
        <v>1239</v>
      </c>
      <c r="BM702" t="s">
        <v>13124</v>
      </c>
      <c r="BN702">
        <v>37612773</v>
      </c>
      <c r="BO702" t="s">
        <v>302</v>
      </c>
      <c r="BP702" t="s">
        <v>74</v>
      </c>
      <c r="BQ702" t="s">
        <v>74</v>
      </c>
      <c r="BR702" t="s">
        <v>99</v>
      </c>
      <c r="BS702" t="s">
        <v>13125</v>
      </c>
      <c r="BT702" t="str">
        <f>HYPERLINK("https%3A%2F%2Fwww.webofscience.com%2Fwos%2Fwoscc%2Ffull-record%2FWOS:001053801900001","View Full Record in Web of Science")</f>
        <v>View Full Record in Web of Science</v>
      </c>
    </row>
    <row r="703" spans="1:72" x14ac:dyDescent="0.15">
      <c r="A703" t="s">
        <v>72</v>
      </c>
      <c r="B703" t="s">
        <v>13126</v>
      </c>
      <c r="C703" t="s">
        <v>74</v>
      </c>
      <c r="D703" t="s">
        <v>74</v>
      </c>
      <c r="E703" t="s">
        <v>74</v>
      </c>
      <c r="F703" t="s">
        <v>13127</v>
      </c>
      <c r="G703" t="s">
        <v>74</v>
      </c>
      <c r="H703" t="s">
        <v>74</v>
      </c>
      <c r="I703" t="s">
        <v>13128</v>
      </c>
      <c r="J703" t="s">
        <v>13129</v>
      </c>
      <c r="K703" t="s">
        <v>74</v>
      </c>
      <c r="L703" t="s">
        <v>74</v>
      </c>
      <c r="M703" t="s">
        <v>78</v>
      </c>
      <c r="N703" t="s">
        <v>1246</v>
      </c>
      <c r="O703" t="s">
        <v>74</v>
      </c>
      <c r="P703" t="s">
        <v>74</v>
      </c>
      <c r="Q703" t="s">
        <v>74</v>
      </c>
      <c r="R703" t="s">
        <v>74</v>
      </c>
      <c r="S703" t="s">
        <v>74</v>
      </c>
      <c r="T703" t="s">
        <v>13130</v>
      </c>
      <c r="U703" t="s">
        <v>13131</v>
      </c>
      <c r="V703" t="s">
        <v>13132</v>
      </c>
      <c r="W703" t="s">
        <v>13133</v>
      </c>
      <c r="X703" t="s">
        <v>13134</v>
      </c>
      <c r="Y703" t="s">
        <v>13135</v>
      </c>
      <c r="Z703" t="s">
        <v>13136</v>
      </c>
      <c r="AA703" t="s">
        <v>74</v>
      </c>
      <c r="AB703" t="s">
        <v>74</v>
      </c>
      <c r="AC703" t="s">
        <v>13137</v>
      </c>
      <c r="AD703" t="s">
        <v>13137</v>
      </c>
      <c r="AE703" t="s">
        <v>13138</v>
      </c>
      <c r="AF703" t="s">
        <v>74</v>
      </c>
      <c r="AG703">
        <v>45</v>
      </c>
      <c r="AH703">
        <v>0</v>
      </c>
      <c r="AI703">
        <v>0</v>
      </c>
      <c r="AJ703">
        <v>2</v>
      </c>
      <c r="AK703">
        <v>2</v>
      </c>
      <c r="AL703" t="s">
        <v>117</v>
      </c>
      <c r="AM703" t="s">
        <v>627</v>
      </c>
      <c r="AN703" t="s">
        <v>628</v>
      </c>
      <c r="AO703" t="s">
        <v>13139</v>
      </c>
      <c r="AP703" t="s">
        <v>13140</v>
      </c>
      <c r="AQ703" t="s">
        <v>74</v>
      </c>
      <c r="AR703" t="s">
        <v>13141</v>
      </c>
      <c r="AS703" t="s">
        <v>13142</v>
      </c>
      <c r="AT703" t="s">
        <v>13143</v>
      </c>
      <c r="AU703">
        <v>2023</v>
      </c>
      <c r="AV703" t="s">
        <v>74</v>
      </c>
      <c r="AW703" t="s">
        <v>74</v>
      </c>
      <c r="AX703" t="s">
        <v>74</v>
      </c>
      <c r="AY703" t="s">
        <v>74</v>
      </c>
      <c r="AZ703" t="s">
        <v>74</v>
      </c>
      <c r="BA703" t="s">
        <v>74</v>
      </c>
      <c r="BB703" t="s">
        <v>74</v>
      </c>
      <c r="BC703" t="s">
        <v>74</v>
      </c>
      <c r="BD703" t="s">
        <v>74</v>
      </c>
      <c r="BE703" t="s">
        <v>13144</v>
      </c>
      <c r="BF703" t="str">
        <f>HYPERLINK("http://dx.doi.org/10.1007/s11252-023-01414","http://dx.doi.org/10.1007/s11252-023-01414")</f>
        <v>http://dx.doi.org/10.1007/s11252-023-01414</v>
      </c>
      <c r="BG703" t="s">
        <v>74</v>
      </c>
      <c r="BH703" t="s">
        <v>10650</v>
      </c>
      <c r="BI703">
        <v>10</v>
      </c>
      <c r="BJ703" t="s">
        <v>13145</v>
      </c>
      <c r="BK703" t="s">
        <v>126</v>
      </c>
      <c r="BL703" t="s">
        <v>13146</v>
      </c>
      <c r="BM703" t="s">
        <v>13147</v>
      </c>
      <c r="BN703" t="s">
        <v>74</v>
      </c>
      <c r="BO703" t="s">
        <v>74</v>
      </c>
      <c r="BP703" t="s">
        <v>74</v>
      </c>
      <c r="BQ703" t="s">
        <v>74</v>
      </c>
      <c r="BR703" t="s">
        <v>99</v>
      </c>
      <c r="BS703" t="s">
        <v>13148</v>
      </c>
      <c r="BT703" t="str">
        <f>HYPERLINK("https%3A%2F%2Fwww.webofscience.com%2Fwos%2Fwoscc%2Ffull-record%2FWOS:001059856900001","View Full Record in Web of Science")</f>
        <v>View Full Record in Web of Science</v>
      </c>
    </row>
    <row r="704" spans="1:72" x14ac:dyDescent="0.15">
      <c r="A704" t="s">
        <v>72</v>
      </c>
      <c r="B704" t="s">
        <v>13149</v>
      </c>
      <c r="C704" t="s">
        <v>74</v>
      </c>
      <c r="D704" t="s">
        <v>74</v>
      </c>
      <c r="E704" t="s">
        <v>74</v>
      </c>
      <c r="F704" t="s">
        <v>13150</v>
      </c>
      <c r="G704" t="s">
        <v>74</v>
      </c>
      <c r="H704" t="s">
        <v>74</v>
      </c>
      <c r="I704" t="s">
        <v>13151</v>
      </c>
      <c r="J704" t="s">
        <v>8171</v>
      </c>
      <c r="K704" t="s">
        <v>74</v>
      </c>
      <c r="L704" t="s">
        <v>74</v>
      </c>
      <c r="M704" t="s">
        <v>78</v>
      </c>
      <c r="N704" t="s">
        <v>1246</v>
      </c>
      <c r="O704" t="s">
        <v>74</v>
      </c>
      <c r="P704" t="s">
        <v>74</v>
      </c>
      <c r="Q704" t="s">
        <v>74</v>
      </c>
      <c r="R704" t="s">
        <v>74</v>
      </c>
      <c r="S704" t="s">
        <v>74</v>
      </c>
      <c r="T704" t="s">
        <v>13152</v>
      </c>
      <c r="U704" t="s">
        <v>13153</v>
      </c>
      <c r="V704" t="s">
        <v>13154</v>
      </c>
      <c r="W704" t="s">
        <v>13155</v>
      </c>
      <c r="X704" t="s">
        <v>13156</v>
      </c>
      <c r="Y704" t="s">
        <v>13157</v>
      </c>
      <c r="Z704" t="s">
        <v>13158</v>
      </c>
      <c r="AA704" t="s">
        <v>74</v>
      </c>
      <c r="AB704" t="s">
        <v>13159</v>
      </c>
      <c r="AC704" t="s">
        <v>74</v>
      </c>
      <c r="AD704" t="s">
        <v>74</v>
      </c>
      <c r="AE704" t="s">
        <v>74</v>
      </c>
      <c r="AF704" t="s">
        <v>74</v>
      </c>
      <c r="AG704">
        <v>29</v>
      </c>
      <c r="AH704">
        <v>0</v>
      </c>
      <c r="AI704">
        <v>0</v>
      </c>
      <c r="AJ704">
        <v>0</v>
      </c>
      <c r="AK704">
        <v>0</v>
      </c>
      <c r="AL704" t="s">
        <v>117</v>
      </c>
      <c r="AM704" t="s">
        <v>627</v>
      </c>
      <c r="AN704" t="s">
        <v>628</v>
      </c>
      <c r="AO704" t="s">
        <v>8182</v>
      </c>
      <c r="AP704" t="s">
        <v>8183</v>
      </c>
      <c r="AQ704" t="s">
        <v>74</v>
      </c>
      <c r="AR704" t="s">
        <v>8184</v>
      </c>
      <c r="AS704" t="s">
        <v>8185</v>
      </c>
      <c r="AT704" t="s">
        <v>13143</v>
      </c>
      <c r="AU704">
        <v>2023</v>
      </c>
      <c r="AV704" t="s">
        <v>74</v>
      </c>
      <c r="AW704" t="s">
        <v>74</v>
      </c>
      <c r="AX704" t="s">
        <v>74</v>
      </c>
      <c r="AY704" t="s">
        <v>74</v>
      </c>
      <c r="AZ704" t="s">
        <v>74</v>
      </c>
      <c r="BA704" t="s">
        <v>74</v>
      </c>
      <c r="BB704" t="s">
        <v>74</v>
      </c>
      <c r="BC704" t="s">
        <v>74</v>
      </c>
      <c r="BD704" t="s">
        <v>74</v>
      </c>
      <c r="BE704" t="s">
        <v>13160</v>
      </c>
      <c r="BF704" t="str">
        <f>HYPERLINK("http://dx.doi.org/10.1007/s11033-023-08736-3","http://dx.doi.org/10.1007/s11033-023-08736-3")</f>
        <v>http://dx.doi.org/10.1007/s11033-023-08736-3</v>
      </c>
      <c r="BG704" t="s">
        <v>74</v>
      </c>
      <c r="BH704" t="s">
        <v>10650</v>
      </c>
      <c r="BI704">
        <v>9</v>
      </c>
      <c r="BJ704" t="s">
        <v>451</v>
      </c>
      <c r="BK704" t="s">
        <v>126</v>
      </c>
      <c r="BL704" t="s">
        <v>451</v>
      </c>
      <c r="BM704" t="s">
        <v>13161</v>
      </c>
      <c r="BN704">
        <v>37620739</v>
      </c>
      <c r="BO704" t="s">
        <v>74</v>
      </c>
      <c r="BP704" t="s">
        <v>74</v>
      </c>
      <c r="BQ704" t="s">
        <v>74</v>
      </c>
      <c r="BR704" t="s">
        <v>99</v>
      </c>
      <c r="BS704" t="s">
        <v>13162</v>
      </c>
      <c r="BT704" t="str">
        <f>HYPERLINK("https%3A%2F%2Fwww.webofscience.com%2Fwos%2Fwoscc%2Ffull-record%2FWOS:001063522500001","View Full Record in Web of Science")</f>
        <v>View Full Record in Web of Science</v>
      </c>
    </row>
    <row r="705" spans="1:72" x14ac:dyDescent="0.15">
      <c r="A705" t="s">
        <v>72</v>
      </c>
      <c r="B705" t="s">
        <v>13163</v>
      </c>
      <c r="C705" t="s">
        <v>74</v>
      </c>
      <c r="D705" t="s">
        <v>74</v>
      </c>
      <c r="E705" t="s">
        <v>74</v>
      </c>
      <c r="F705" t="s">
        <v>13164</v>
      </c>
      <c r="G705" t="s">
        <v>74</v>
      </c>
      <c r="H705" t="s">
        <v>74</v>
      </c>
      <c r="I705" t="s">
        <v>13165</v>
      </c>
      <c r="J705" t="s">
        <v>13166</v>
      </c>
      <c r="K705" t="s">
        <v>74</v>
      </c>
      <c r="L705" t="s">
        <v>74</v>
      </c>
      <c r="M705" t="s">
        <v>78</v>
      </c>
      <c r="N705" t="s">
        <v>2174</v>
      </c>
      <c r="O705" t="s">
        <v>74</v>
      </c>
      <c r="P705" t="s">
        <v>74</v>
      </c>
      <c r="Q705" t="s">
        <v>74</v>
      </c>
      <c r="R705" t="s">
        <v>74</v>
      </c>
      <c r="S705" t="s">
        <v>74</v>
      </c>
      <c r="T705" t="s">
        <v>74</v>
      </c>
      <c r="U705" t="s">
        <v>13167</v>
      </c>
      <c r="V705" t="s">
        <v>13168</v>
      </c>
      <c r="W705" t="s">
        <v>13169</v>
      </c>
      <c r="X705" t="s">
        <v>13170</v>
      </c>
      <c r="Y705" t="s">
        <v>13171</v>
      </c>
      <c r="Z705" t="s">
        <v>13172</v>
      </c>
      <c r="AA705" t="s">
        <v>74</v>
      </c>
      <c r="AB705" t="s">
        <v>74</v>
      </c>
      <c r="AC705" t="s">
        <v>74</v>
      </c>
      <c r="AD705" t="s">
        <v>74</v>
      </c>
      <c r="AE705" t="s">
        <v>74</v>
      </c>
      <c r="AF705" t="s">
        <v>74</v>
      </c>
      <c r="AG705">
        <v>68</v>
      </c>
      <c r="AH705">
        <v>0</v>
      </c>
      <c r="AI705">
        <v>0</v>
      </c>
      <c r="AJ705">
        <v>0</v>
      </c>
      <c r="AK705">
        <v>0</v>
      </c>
      <c r="AL705" t="s">
        <v>3023</v>
      </c>
      <c r="AM705" t="s">
        <v>3024</v>
      </c>
      <c r="AN705" t="s">
        <v>3025</v>
      </c>
      <c r="AO705" t="s">
        <v>13173</v>
      </c>
      <c r="AP705" t="s">
        <v>13174</v>
      </c>
      <c r="AQ705" t="s">
        <v>74</v>
      </c>
      <c r="AR705" t="s">
        <v>13175</v>
      </c>
      <c r="AS705" t="s">
        <v>13176</v>
      </c>
      <c r="AT705" t="s">
        <v>13143</v>
      </c>
      <c r="AU705">
        <v>2023</v>
      </c>
      <c r="AV705" t="s">
        <v>74</v>
      </c>
      <c r="AW705" t="s">
        <v>74</v>
      </c>
      <c r="AX705" t="s">
        <v>74</v>
      </c>
      <c r="AY705" t="s">
        <v>74</v>
      </c>
      <c r="AZ705" t="s">
        <v>74</v>
      </c>
      <c r="BA705" t="s">
        <v>74</v>
      </c>
      <c r="BB705" t="s">
        <v>74</v>
      </c>
      <c r="BC705" t="s">
        <v>74</v>
      </c>
      <c r="BD705" t="s">
        <v>74</v>
      </c>
      <c r="BE705" t="s">
        <v>13177</v>
      </c>
      <c r="BF705" t="str">
        <f>HYPERLINK("http://dx.doi.org/10.1007/s40256-023-00601-9","http://dx.doi.org/10.1007/s40256-023-00601-9")</f>
        <v>http://dx.doi.org/10.1007/s40256-023-00601-9</v>
      </c>
      <c r="BG705" t="s">
        <v>74</v>
      </c>
      <c r="BH705" t="s">
        <v>10650</v>
      </c>
      <c r="BI705">
        <v>13</v>
      </c>
      <c r="BJ705" t="s">
        <v>13178</v>
      </c>
      <c r="BK705" t="s">
        <v>126</v>
      </c>
      <c r="BL705" t="s">
        <v>13179</v>
      </c>
      <c r="BM705" t="s">
        <v>13180</v>
      </c>
      <c r="BN705">
        <v>37620653</v>
      </c>
      <c r="BO705" t="s">
        <v>74</v>
      </c>
      <c r="BP705" t="s">
        <v>74</v>
      </c>
      <c r="BQ705" t="s">
        <v>74</v>
      </c>
      <c r="BR705" t="s">
        <v>99</v>
      </c>
      <c r="BS705" t="s">
        <v>13181</v>
      </c>
      <c r="BT705" t="str">
        <f>HYPERLINK("https%3A%2F%2Fwww.webofscience.com%2Fwos%2Fwoscc%2Ffull-record%2FWOS:001060135900002","View Full Record in Web of Science")</f>
        <v>View Full Record in Web of Science</v>
      </c>
    </row>
    <row r="706" spans="1:72" x14ac:dyDescent="0.15">
      <c r="A706" t="s">
        <v>72</v>
      </c>
      <c r="B706" t="s">
        <v>13182</v>
      </c>
      <c r="C706" t="s">
        <v>74</v>
      </c>
      <c r="D706" t="s">
        <v>74</v>
      </c>
      <c r="E706" t="s">
        <v>74</v>
      </c>
      <c r="F706" t="s">
        <v>13183</v>
      </c>
      <c r="G706" t="s">
        <v>74</v>
      </c>
      <c r="H706" t="s">
        <v>74</v>
      </c>
      <c r="I706" t="s">
        <v>13184</v>
      </c>
      <c r="J706" t="s">
        <v>8456</v>
      </c>
      <c r="K706" t="s">
        <v>74</v>
      </c>
      <c r="L706" t="s">
        <v>74</v>
      </c>
      <c r="M706" t="s">
        <v>78</v>
      </c>
      <c r="N706" t="s">
        <v>79</v>
      </c>
      <c r="O706" t="s">
        <v>74</v>
      </c>
      <c r="P706" t="s">
        <v>74</v>
      </c>
      <c r="Q706" t="s">
        <v>74</v>
      </c>
      <c r="R706" t="s">
        <v>74</v>
      </c>
      <c r="S706" t="s">
        <v>74</v>
      </c>
      <c r="T706" t="s">
        <v>13185</v>
      </c>
      <c r="U706" t="s">
        <v>13186</v>
      </c>
      <c r="V706" t="s">
        <v>13187</v>
      </c>
      <c r="W706" t="s">
        <v>13188</v>
      </c>
      <c r="X706" t="s">
        <v>13189</v>
      </c>
      <c r="Y706" t="s">
        <v>13190</v>
      </c>
      <c r="Z706" t="s">
        <v>13191</v>
      </c>
      <c r="AA706" t="s">
        <v>74</v>
      </c>
      <c r="AB706" t="s">
        <v>74</v>
      </c>
      <c r="AC706" t="s">
        <v>13192</v>
      </c>
      <c r="AD706" t="s">
        <v>13192</v>
      </c>
      <c r="AE706" t="s">
        <v>13193</v>
      </c>
      <c r="AF706" t="s">
        <v>74</v>
      </c>
      <c r="AG706">
        <v>88</v>
      </c>
      <c r="AH706">
        <v>0</v>
      </c>
      <c r="AI706">
        <v>0</v>
      </c>
      <c r="AJ706">
        <v>1</v>
      </c>
      <c r="AK706">
        <v>1</v>
      </c>
      <c r="AL706" t="s">
        <v>443</v>
      </c>
      <c r="AM706" t="s">
        <v>245</v>
      </c>
      <c r="AN706" t="s">
        <v>444</v>
      </c>
      <c r="AO706" t="s">
        <v>74</v>
      </c>
      <c r="AP706" t="s">
        <v>8465</v>
      </c>
      <c r="AQ706" t="s">
        <v>74</v>
      </c>
      <c r="AR706" t="s">
        <v>8466</v>
      </c>
      <c r="AS706" t="s">
        <v>8467</v>
      </c>
      <c r="AT706" t="s">
        <v>13122</v>
      </c>
      <c r="AU706">
        <v>2023</v>
      </c>
      <c r="AV706">
        <v>21</v>
      </c>
      <c r="AW706">
        <v>1</v>
      </c>
      <c r="AX706" t="s">
        <v>74</v>
      </c>
      <c r="AY706" t="s">
        <v>74</v>
      </c>
      <c r="AZ706" t="s">
        <v>74</v>
      </c>
      <c r="BA706" t="s">
        <v>74</v>
      </c>
      <c r="BB706" t="s">
        <v>74</v>
      </c>
      <c r="BC706" t="s">
        <v>74</v>
      </c>
      <c r="BD706">
        <v>567</v>
      </c>
      <c r="BE706" t="s">
        <v>13194</v>
      </c>
      <c r="BF706" t="str">
        <f>HYPERLINK("http://dx.doi.org/10.1186/s12967-023-04452-5","http://dx.doi.org/10.1186/s12967-023-04452-5")</f>
        <v>http://dx.doi.org/10.1186/s12967-023-04452-5</v>
      </c>
      <c r="BG706" t="s">
        <v>74</v>
      </c>
      <c r="BH706" t="s">
        <v>74</v>
      </c>
      <c r="BI706">
        <v>18</v>
      </c>
      <c r="BJ706" t="s">
        <v>3415</v>
      </c>
      <c r="BK706" t="s">
        <v>126</v>
      </c>
      <c r="BL706" t="s">
        <v>3416</v>
      </c>
      <c r="BM706" t="s">
        <v>13195</v>
      </c>
      <c r="BN706">
        <v>37620837</v>
      </c>
      <c r="BO706" t="s">
        <v>302</v>
      </c>
      <c r="BP706" t="s">
        <v>74</v>
      </c>
      <c r="BQ706" t="s">
        <v>74</v>
      </c>
      <c r="BR706" t="s">
        <v>99</v>
      </c>
      <c r="BS706" t="s">
        <v>13196</v>
      </c>
      <c r="BT706" t="str">
        <f>HYPERLINK("https%3A%2F%2Fwww.webofscience.com%2Fwos%2Fwoscc%2Ffull-record%2FWOS:001055365900006","View Full Record in Web of Science")</f>
        <v>View Full Record in Web of Science</v>
      </c>
    </row>
    <row r="707" spans="1:72" x14ac:dyDescent="0.15">
      <c r="A707" t="s">
        <v>72</v>
      </c>
      <c r="B707" t="s">
        <v>13197</v>
      </c>
      <c r="C707" t="s">
        <v>74</v>
      </c>
      <c r="D707" t="s">
        <v>74</v>
      </c>
      <c r="E707" t="s">
        <v>74</v>
      </c>
      <c r="F707" t="s">
        <v>13198</v>
      </c>
      <c r="G707" t="s">
        <v>74</v>
      </c>
      <c r="H707" t="s">
        <v>74</v>
      </c>
      <c r="I707" t="s">
        <v>13199</v>
      </c>
      <c r="J707" t="s">
        <v>13200</v>
      </c>
      <c r="K707" t="s">
        <v>74</v>
      </c>
      <c r="L707" t="s">
        <v>74</v>
      </c>
      <c r="M707" t="s">
        <v>78</v>
      </c>
      <c r="N707" t="s">
        <v>3139</v>
      </c>
      <c r="O707" t="s">
        <v>74</v>
      </c>
      <c r="P707" t="s">
        <v>74</v>
      </c>
      <c r="Q707" t="s">
        <v>74</v>
      </c>
      <c r="R707" t="s">
        <v>74</v>
      </c>
      <c r="S707" t="s">
        <v>74</v>
      </c>
      <c r="T707" t="s">
        <v>74</v>
      </c>
      <c r="U707" t="s">
        <v>74</v>
      </c>
      <c r="V707" t="s">
        <v>74</v>
      </c>
      <c r="W707" t="s">
        <v>13201</v>
      </c>
      <c r="X707" t="s">
        <v>13202</v>
      </c>
      <c r="Y707" t="s">
        <v>13203</v>
      </c>
      <c r="Z707" t="s">
        <v>13204</v>
      </c>
      <c r="AA707" t="s">
        <v>74</v>
      </c>
      <c r="AB707" t="s">
        <v>13205</v>
      </c>
      <c r="AC707" t="s">
        <v>74</v>
      </c>
      <c r="AD707" t="s">
        <v>74</v>
      </c>
      <c r="AE707" t="s">
        <v>74</v>
      </c>
      <c r="AF707" t="s">
        <v>74</v>
      </c>
      <c r="AG707">
        <v>0</v>
      </c>
      <c r="AH707">
        <v>0</v>
      </c>
      <c r="AI707">
        <v>0</v>
      </c>
      <c r="AJ707">
        <v>0</v>
      </c>
      <c r="AK707">
        <v>0</v>
      </c>
      <c r="AL707" t="s">
        <v>117</v>
      </c>
      <c r="AM707" t="s">
        <v>627</v>
      </c>
      <c r="AN707" t="s">
        <v>628</v>
      </c>
      <c r="AO707" t="s">
        <v>13206</v>
      </c>
      <c r="AP707" t="s">
        <v>13207</v>
      </c>
      <c r="AQ707" t="s">
        <v>74</v>
      </c>
      <c r="AR707" t="s">
        <v>13208</v>
      </c>
      <c r="AS707" t="s">
        <v>13209</v>
      </c>
      <c r="AT707" t="s">
        <v>13143</v>
      </c>
      <c r="AU707">
        <v>2023</v>
      </c>
      <c r="AV707" t="s">
        <v>74</v>
      </c>
      <c r="AW707" t="s">
        <v>74</v>
      </c>
      <c r="AX707" t="s">
        <v>74</v>
      </c>
      <c r="AY707" t="s">
        <v>74</v>
      </c>
      <c r="AZ707" t="s">
        <v>74</v>
      </c>
      <c r="BA707" t="s">
        <v>74</v>
      </c>
      <c r="BB707" t="s">
        <v>74</v>
      </c>
      <c r="BC707" t="s">
        <v>74</v>
      </c>
      <c r="BD707" t="s">
        <v>74</v>
      </c>
      <c r="BE707" t="s">
        <v>13210</v>
      </c>
      <c r="BF707" t="str">
        <f>HYPERLINK("http://dx.doi.org/10.1007/s11205-023-03182-x","http://dx.doi.org/10.1007/s11205-023-03182-x")</f>
        <v>http://dx.doi.org/10.1007/s11205-023-03182-x</v>
      </c>
      <c r="BG707" t="s">
        <v>74</v>
      </c>
      <c r="BH707" t="s">
        <v>10650</v>
      </c>
      <c r="BI707">
        <v>2</v>
      </c>
      <c r="BJ707" t="s">
        <v>13211</v>
      </c>
      <c r="BK707" t="s">
        <v>425</v>
      </c>
      <c r="BL707" t="s">
        <v>13212</v>
      </c>
      <c r="BM707" t="s">
        <v>13213</v>
      </c>
      <c r="BN707" t="s">
        <v>74</v>
      </c>
      <c r="BO707" t="s">
        <v>762</v>
      </c>
      <c r="BP707" t="s">
        <v>74</v>
      </c>
      <c r="BQ707" t="s">
        <v>74</v>
      </c>
      <c r="BR707" t="s">
        <v>99</v>
      </c>
      <c r="BS707" t="s">
        <v>13214</v>
      </c>
      <c r="BT707" t="str">
        <f>HYPERLINK("https%3A%2F%2Fwww.webofscience.com%2Fwos%2Fwoscc%2Ffull-record%2FWOS:001063531100001","View Full Record in Web of Science")</f>
        <v>View Full Record in Web of Science</v>
      </c>
    </row>
    <row r="708" spans="1:72" x14ac:dyDescent="0.15">
      <c r="A708" t="s">
        <v>72</v>
      </c>
      <c r="B708" t="s">
        <v>13215</v>
      </c>
      <c r="C708" t="s">
        <v>74</v>
      </c>
      <c r="D708" t="s">
        <v>74</v>
      </c>
      <c r="E708" t="s">
        <v>74</v>
      </c>
      <c r="F708" t="s">
        <v>13216</v>
      </c>
      <c r="G708" t="s">
        <v>74</v>
      </c>
      <c r="H708" t="s">
        <v>74</v>
      </c>
      <c r="I708" t="s">
        <v>13217</v>
      </c>
      <c r="J708" t="s">
        <v>12324</v>
      </c>
      <c r="K708" t="s">
        <v>74</v>
      </c>
      <c r="L708" t="s">
        <v>74</v>
      </c>
      <c r="M708" t="s">
        <v>78</v>
      </c>
      <c r="N708" t="s">
        <v>1246</v>
      </c>
      <c r="O708" t="s">
        <v>74</v>
      </c>
      <c r="P708" t="s">
        <v>74</v>
      </c>
      <c r="Q708" t="s">
        <v>74</v>
      </c>
      <c r="R708" t="s">
        <v>74</v>
      </c>
      <c r="S708" t="s">
        <v>74</v>
      </c>
      <c r="T708" t="s">
        <v>13218</v>
      </c>
      <c r="U708" t="s">
        <v>13219</v>
      </c>
      <c r="V708" t="s">
        <v>13220</v>
      </c>
      <c r="W708" t="s">
        <v>13221</v>
      </c>
      <c r="X708" t="s">
        <v>13222</v>
      </c>
      <c r="Y708" t="s">
        <v>13223</v>
      </c>
      <c r="Z708" t="s">
        <v>13224</v>
      </c>
      <c r="AA708" t="s">
        <v>74</v>
      </c>
      <c r="AB708" t="s">
        <v>74</v>
      </c>
      <c r="AC708" t="s">
        <v>13225</v>
      </c>
      <c r="AD708" t="s">
        <v>13226</v>
      </c>
      <c r="AE708" t="s">
        <v>13227</v>
      </c>
      <c r="AF708" t="s">
        <v>74</v>
      </c>
      <c r="AG708">
        <v>100</v>
      </c>
      <c r="AH708">
        <v>0</v>
      </c>
      <c r="AI708">
        <v>0</v>
      </c>
      <c r="AJ708">
        <v>6</v>
      </c>
      <c r="AK708">
        <v>6</v>
      </c>
      <c r="AL708" t="s">
        <v>117</v>
      </c>
      <c r="AM708" t="s">
        <v>627</v>
      </c>
      <c r="AN708" t="s">
        <v>628</v>
      </c>
      <c r="AO708" t="s">
        <v>12332</v>
      </c>
      <c r="AP708" t="s">
        <v>12333</v>
      </c>
      <c r="AQ708" t="s">
        <v>74</v>
      </c>
      <c r="AR708" t="s">
        <v>12334</v>
      </c>
      <c r="AS708" t="s">
        <v>12335</v>
      </c>
      <c r="AT708" t="s">
        <v>13143</v>
      </c>
      <c r="AU708">
        <v>2023</v>
      </c>
      <c r="AV708" t="s">
        <v>74</v>
      </c>
      <c r="AW708" t="s">
        <v>74</v>
      </c>
      <c r="AX708" t="s">
        <v>74</v>
      </c>
      <c r="AY708" t="s">
        <v>74</v>
      </c>
      <c r="AZ708" t="s">
        <v>74</v>
      </c>
      <c r="BA708" t="s">
        <v>74</v>
      </c>
      <c r="BB708" t="s">
        <v>74</v>
      </c>
      <c r="BC708" t="s">
        <v>74</v>
      </c>
      <c r="BD708" t="s">
        <v>74</v>
      </c>
      <c r="BE708" t="s">
        <v>13228</v>
      </c>
      <c r="BF708" t="str">
        <f>HYPERLINK("http://dx.doi.org/10.1007/s10668-023-03802","http://dx.doi.org/10.1007/s10668-023-03802")</f>
        <v>http://dx.doi.org/10.1007/s10668-023-03802</v>
      </c>
      <c r="BG708" t="s">
        <v>74</v>
      </c>
      <c r="BH708" t="s">
        <v>10650</v>
      </c>
      <c r="BI708">
        <v>43</v>
      </c>
      <c r="BJ708" t="s">
        <v>12337</v>
      </c>
      <c r="BK708" t="s">
        <v>126</v>
      </c>
      <c r="BL708" t="s">
        <v>12338</v>
      </c>
      <c r="BM708" t="s">
        <v>13229</v>
      </c>
      <c r="BN708" t="s">
        <v>74</v>
      </c>
      <c r="BO708" t="s">
        <v>74</v>
      </c>
      <c r="BP708" t="s">
        <v>74</v>
      </c>
      <c r="BQ708" t="s">
        <v>74</v>
      </c>
      <c r="BR708" t="s">
        <v>99</v>
      </c>
      <c r="BS708" t="s">
        <v>13230</v>
      </c>
      <c r="BT708" t="str">
        <f>HYPERLINK("https%3A%2F%2Fwww.webofscience.com%2Fwos%2Fwoscc%2Ffull-record%2FWOS:001060113300001","View Full Record in Web of Science")</f>
        <v>View Full Record in Web of Science</v>
      </c>
    </row>
    <row r="709" spans="1:72" x14ac:dyDescent="0.15">
      <c r="A709" t="s">
        <v>72</v>
      </c>
      <c r="B709" t="s">
        <v>13231</v>
      </c>
      <c r="C709" t="s">
        <v>74</v>
      </c>
      <c r="D709" t="s">
        <v>74</v>
      </c>
      <c r="E709" t="s">
        <v>74</v>
      </c>
      <c r="F709" t="s">
        <v>13232</v>
      </c>
      <c r="G709" t="s">
        <v>74</v>
      </c>
      <c r="H709" t="s">
        <v>74</v>
      </c>
      <c r="I709" t="s">
        <v>13233</v>
      </c>
      <c r="J709" t="s">
        <v>13234</v>
      </c>
      <c r="K709" t="s">
        <v>74</v>
      </c>
      <c r="L709" t="s">
        <v>74</v>
      </c>
      <c r="M709" t="s">
        <v>78</v>
      </c>
      <c r="N709" t="s">
        <v>79</v>
      </c>
      <c r="O709" t="s">
        <v>74</v>
      </c>
      <c r="P709" t="s">
        <v>74</v>
      </c>
      <c r="Q709" t="s">
        <v>74</v>
      </c>
      <c r="R709" t="s">
        <v>74</v>
      </c>
      <c r="S709" t="s">
        <v>74</v>
      </c>
      <c r="T709" t="s">
        <v>13235</v>
      </c>
      <c r="U709" t="s">
        <v>13236</v>
      </c>
      <c r="V709" t="s">
        <v>13237</v>
      </c>
      <c r="W709" t="s">
        <v>13238</v>
      </c>
      <c r="X709" t="s">
        <v>13239</v>
      </c>
      <c r="Y709" t="s">
        <v>13240</v>
      </c>
      <c r="Z709" t="s">
        <v>13241</v>
      </c>
      <c r="AA709" t="s">
        <v>13242</v>
      </c>
      <c r="AB709" t="s">
        <v>13243</v>
      </c>
      <c r="AC709" t="s">
        <v>13244</v>
      </c>
      <c r="AD709" t="s">
        <v>13244</v>
      </c>
      <c r="AE709" t="s">
        <v>13245</v>
      </c>
      <c r="AF709" t="s">
        <v>74</v>
      </c>
      <c r="AG709">
        <v>109</v>
      </c>
      <c r="AH709">
        <v>0</v>
      </c>
      <c r="AI709">
        <v>0</v>
      </c>
      <c r="AJ709">
        <v>5</v>
      </c>
      <c r="AK709">
        <v>5</v>
      </c>
      <c r="AL709" t="s">
        <v>443</v>
      </c>
      <c r="AM709" t="s">
        <v>245</v>
      </c>
      <c r="AN709" t="s">
        <v>444</v>
      </c>
      <c r="AO709" t="s">
        <v>13246</v>
      </c>
      <c r="AP709" t="s">
        <v>74</v>
      </c>
      <c r="AQ709" t="s">
        <v>74</v>
      </c>
      <c r="AR709" t="s">
        <v>13234</v>
      </c>
      <c r="AS709" t="s">
        <v>13247</v>
      </c>
      <c r="AT709" t="s">
        <v>13122</v>
      </c>
      <c r="AU709">
        <v>2023</v>
      </c>
      <c r="AV709">
        <v>11</v>
      </c>
      <c r="AW709">
        <v>1</v>
      </c>
      <c r="AX709" t="s">
        <v>74</v>
      </c>
      <c r="AY709" t="s">
        <v>74</v>
      </c>
      <c r="AZ709" t="s">
        <v>74</v>
      </c>
      <c r="BA709" t="s">
        <v>74</v>
      </c>
      <c r="BB709" t="s">
        <v>74</v>
      </c>
      <c r="BC709" t="s">
        <v>74</v>
      </c>
      <c r="BD709">
        <v>189</v>
      </c>
      <c r="BE709" t="s">
        <v>13248</v>
      </c>
      <c r="BF709" t="str">
        <f>HYPERLINK("http://dx.doi.org/10.1186/s40168-023-01629-4","http://dx.doi.org/10.1186/s40168-023-01629-4")</f>
        <v>http://dx.doi.org/10.1186/s40168-023-01629-4</v>
      </c>
      <c r="BG709" t="s">
        <v>74</v>
      </c>
      <c r="BH709" t="s">
        <v>74</v>
      </c>
      <c r="BI709">
        <v>21</v>
      </c>
      <c r="BJ709" t="s">
        <v>1967</v>
      </c>
      <c r="BK709" t="s">
        <v>126</v>
      </c>
      <c r="BL709" t="s">
        <v>1967</v>
      </c>
      <c r="BM709" t="s">
        <v>13249</v>
      </c>
      <c r="BN709">
        <v>37612775</v>
      </c>
      <c r="BO709" t="s">
        <v>302</v>
      </c>
      <c r="BP709" t="s">
        <v>74</v>
      </c>
      <c r="BQ709" t="s">
        <v>74</v>
      </c>
      <c r="BR709" t="s">
        <v>99</v>
      </c>
      <c r="BS709" t="s">
        <v>13250</v>
      </c>
      <c r="BT709" t="str">
        <f>HYPERLINK("https%3A%2F%2Fwww.webofscience.com%2Fwos%2Fwoscc%2Ffull-record%2FWOS:001053802400001","View Full Record in Web of Science")</f>
        <v>View Full Record in Web of Science</v>
      </c>
    </row>
    <row r="710" spans="1:72" x14ac:dyDescent="0.15">
      <c r="A710" t="s">
        <v>72</v>
      </c>
      <c r="B710" t="s">
        <v>13251</v>
      </c>
      <c r="C710" t="s">
        <v>74</v>
      </c>
      <c r="D710" t="s">
        <v>74</v>
      </c>
      <c r="E710" t="s">
        <v>74</v>
      </c>
      <c r="F710" t="s">
        <v>13252</v>
      </c>
      <c r="G710" t="s">
        <v>74</v>
      </c>
      <c r="H710" t="s">
        <v>74</v>
      </c>
      <c r="I710" t="s">
        <v>13253</v>
      </c>
      <c r="J710" t="s">
        <v>13254</v>
      </c>
      <c r="K710" t="s">
        <v>74</v>
      </c>
      <c r="L710" t="s">
        <v>74</v>
      </c>
      <c r="M710" t="s">
        <v>78</v>
      </c>
      <c r="N710" t="s">
        <v>1246</v>
      </c>
      <c r="O710" t="s">
        <v>74</v>
      </c>
      <c r="P710" t="s">
        <v>74</v>
      </c>
      <c r="Q710" t="s">
        <v>74</v>
      </c>
      <c r="R710" t="s">
        <v>74</v>
      </c>
      <c r="S710" t="s">
        <v>74</v>
      </c>
      <c r="T710" t="s">
        <v>13255</v>
      </c>
      <c r="U710" t="s">
        <v>13256</v>
      </c>
      <c r="V710" t="s">
        <v>13257</v>
      </c>
      <c r="W710" t="s">
        <v>13258</v>
      </c>
      <c r="X710" t="s">
        <v>13259</v>
      </c>
      <c r="Y710" t="s">
        <v>13260</v>
      </c>
      <c r="Z710" t="s">
        <v>13261</v>
      </c>
      <c r="AA710" t="s">
        <v>74</v>
      </c>
      <c r="AB710" t="s">
        <v>74</v>
      </c>
      <c r="AC710" t="s">
        <v>13262</v>
      </c>
      <c r="AD710" t="s">
        <v>13263</v>
      </c>
      <c r="AE710" t="s">
        <v>13264</v>
      </c>
      <c r="AF710" t="s">
        <v>74</v>
      </c>
      <c r="AG710">
        <v>34</v>
      </c>
      <c r="AH710">
        <v>0</v>
      </c>
      <c r="AI710">
        <v>0</v>
      </c>
      <c r="AJ710">
        <v>1</v>
      </c>
      <c r="AK710">
        <v>1</v>
      </c>
      <c r="AL710" t="s">
        <v>117</v>
      </c>
      <c r="AM710" t="s">
        <v>118</v>
      </c>
      <c r="AN710" t="s">
        <v>119</v>
      </c>
      <c r="AO710" t="s">
        <v>13265</v>
      </c>
      <c r="AP710" t="s">
        <v>13266</v>
      </c>
      <c r="AQ710" t="s">
        <v>74</v>
      </c>
      <c r="AR710" t="s">
        <v>13267</v>
      </c>
      <c r="AS710" t="s">
        <v>13268</v>
      </c>
      <c r="AT710" t="s">
        <v>13143</v>
      </c>
      <c r="AU710">
        <v>2023</v>
      </c>
      <c r="AV710" t="s">
        <v>74</v>
      </c>
      <c r="AW710" t="s">
        <v>74</v>
      </c>
      <c r="AX710" t="s">
        <v>74</v>
      </c>
      <c r="AY710" t="s">
        <v>74</v>
      </c>
      <c r="AZ710" t="s">
        <v>74</v>
      </c>
      <c r="BA710" t="s">
        <v>74</v>
      </c>
      <c r="BB710" t="s">
        <v>74</v>
      </c>
      <c r="BC710" t="s">
        <v>74</v>
      </c>
      <c r="BD710" t="s">
        <v>74</v>
      </c>
      <c r="BE710" t="s">
        <v>13269</v>
      </c>
      <c r="BF710" t="str">
        <f>HYPERLINK("http://dx.doi.org/10.1007/s40831-023-00729-7","http://dx.doi.org/10.1007/s40831-023-00729-7")</f>
        <v>http://dx.doi.org/10.1007/s40831-023-00729-7</v>
      </c>
      <c r="BG710" t="s">
        <v>74</v>
      </c>
      <c r="BH710" t="s">
        <v>10650</v>
      </c>
      <c r="BI710">
        <v>10</v>
      </c>
      <c r="BJ710" t="s">
        <v>13270</v>
      </c>
      <c r="BK710" t="s">
        <v>126</v>
      </c>
      <c r="BL710" t="s">
        <v>13271</v>
      </c>
      <c r="BM710" t="s">
        <v>13272</v>
      </c>
      <c r="BN710" t="s">
        <v>74</v>
      </c>
      <c r="BO710" t="s">
        <v>74</v>
      </c>
      <c r="BP710" t="s">
        <v>74</v>
      </c>
      <c r="BQ710" t="s">
        <v>74</v>
      </c>
      <c r="BR710" t="s">
        <v>99</v>
      </c>
      <c r="BS710" t="s">
        <v>13273</v>
      </c>
      <c r="BT710" t="str">
        <f>HYPERLINK("https%3A%2F%2Fwww.webofscience.com%2Fwos%2Fwoscc%2Ffull-record%2FWOS:001063464000001","View Full Record in Web of Science")</f>
        <v>View Full Record in Web of Science</v>
      </c>
    </row>
    <row r="711" spans="1:72" x14ac:dyDescent="0.15">
      <c r="A711" t="s">
        <v>72</v>
      </c>
      <c r="B711" t="s">
        <v>13274</v>
      </c>
      <c r="C711" t="s">
        <v>74</v>
      </c>
      <c r="D711" t="s">
        <v>74</v>
      </c>
      <c r="E711" t="s">
        <v>74</v>
      </c>
      <c r="F711" t="s">
        <v>13275</v>
      </c>
      <c r="G711" t="s">
        <v>74</v>
      </c>
      <c r="H711" t="s">
        <v>74</v>
      </c>
      <c r="I711" t="s">
        <v>13276</v>
      </c>
      <c r="J711" t="s">
        <v>13277</v>
      </c>
      <c r="K711" t="s">
        <v>74</v>
      </c>
      <c r="L711" t="s">
        <v>74</v>
      </c>
      <c r="M711" t="s">
        <v>78</v>
      </c>
      <c r="N711" t="s">
        <v>79</v>
      </c>
      <c r="O711" t="s">
        <v>74</v>
      </c>
      <c r="P711" t="s">
        <v>74</v>
      </c>
      <c r="Q711" t="s">
        <v>74</v>
      </c>
      <c r="R711" t="s">
        <v>74</v>
      </c>
      <c r="S711" t="s">
        <v>74</v>
      </c>
      <c r="T711" t="s">
        <v>13278</v>
      </c>
      <c r="U711" t="s">
        <v>13279</v>
      </c>
      <c r="V711" t="s">
        <v>13280</v>
      </c>
      <c r="W711" t="s">
        <v>13281</v>
      </c>
      <c r="X711" t="s">
        <v>13282</v>
      </c>
      <c r="Y711" t="s">
        <v>13283</v>
      </c>
      <c r="Z711" t="s">
        <v>13284</v>
      </c>
      <c r="AA711" t="s">
        <v>13285</v>
      </c>
      <c r="AB711" t="s">
        <v>13286</v>
      </c>
      <c r="AC711" t="s">
        <v>13287</v>
      </c>
      <c r="AD711" t="s">
        <v>13288</v>
      </c>
      <c r="AE711" t="s">
        <v>13289</v>
      </c>
      <c r="AF711" t="s">
        <v>74</v>
      </c>
      <c r="AG711">
        <v>99</v>
      </c>
      <c r="AH711">
        <v>0</v>
      </c>
      <c r="AI711">
        <v>0</v>
      </c>
      <c r="AJ711">
        <v>0</v>
      </c>
      <c r="AK711">
        <v>0</v>
      </c>
      <c r="AL711" t="s">
        <v>117</v>
      </c>
      <c r="AM711" t="s">
        <v>627</v>
      </c>
      <c r="AN711" t="s">
        <v>628</v>
      </c>
      <c r="AO711" t="s">
        <v>13290</v>
      </c>
      <c r="AP711" t="s">
        <v>13291</v>
      </c>
      <c r="AQ711" t="s">
        <v>74</v>
      </c>
      <c r="AR711" t="s">
        <v>13277</v>
      </c>
      <c r="AS711" t="s">
        <v>13292</v>
      </c>
      <c r="AT711" t="s">
        <v>13122</v>
      </c>
      <c r="AU711">
        <v>2023</v>
      </c>
      <c r="AV711">
        <v>202</v>
      </c>
      <c r="AW711">
        <v>3</v>
      </c>
      <c r="AX711" t="s">
        <v>74</v>
      </c>
      <c r="AY711" t="s">
        <v>74</v>
      </c>
      <c r="AZ711" t="s">
        <v>74</v>
      </c>
      <c r="BA711" t="s">
        <v>74</v>
      </c>
      <c r="BB711" t="s">
        <v>74</v>
      </c>
      <c r="BC711" t="s">
        <v>74</v>
      </c>
      <c r="BD711">
        <v>75</v>
      </c>
      <c r="BE711" t="s">
        <v>13293</v>
      </c>
      <c r="BF711" t="str">
        <f>HYPERLINK("http://dx.doi.org/10.1007/s11229-023-04300-5","http://dx.doi.org/10.1007/s11229-023-04300-5")</f>
        <v>http://dx.doi.org/10.1007/s11229-023-04300-5</v>
      </c>
      <c r="BG711" t="s">
        <v>74</v>
      </c>
      <c r="BH711" t="s">
        <v>74</v>
      </c>
      <c r="BI711">
        <v>25</v>
      </c>
      <c r="BJ711" t="s">
        <v>13294</v>
      </c>
      <c r="BK711" t="s">
        <v>10278</v>
      </c>
      <c r="BL711" t="s">
        <v>13295</v>
      </c>
      <c r="BM711" t="s">
        <v>13296</v>
      </c>
      <c r="BN711" t="s">
        <v>74</v>
      </c>
      <c r="BO711" t="s">
        <v>183</v>
      </c>
      <c r="BP711" t="s">
        <v>74</v>
      </c>
      <c r="BQ711" t="s">
        <v>74</v>
      </c>
      <c r="BR711" t="s">
        <v>99</v>
      </c>
      <c r="BS711" t="s">
        <v>13297</v>
      </c>
      <c r="BT711" t="str">
        <f>HYPERLINK("https%3A%2F%2Fwww.webofscience.com%2Fwos%2Fwoscc%2Ffull-record%2FWOS:001054495700003","View Full Record in Web of Science")</f>
        <v>View Full Record in Web of Science</v>
      </c>
    </row>
    <row r="712" spans="1:72" x14ac:dyDescent="0.15">
      <c r="A712" t="s">
        <v>72</v>
      </c>
      <c r="B712" t="s">
        <v>13298</v>
      </c>
      <c r="C712" t="s">
        <v>74</v>
      </c>
      <c r="D712" t="s">
        <v>74</v>
      </c>
      <c r="E712" t="s">
        <v>74</v>
      </c>
      <c r="F712" t="s">
        <v>13299</v>
      </c>
      <c r="G712" t="s">
        <v>74</v>
      </c>
      <c r="H712" t="s">
        <v>74</v>
      </c>
      <c r="I712" t="s">
        <v>13300</v>
      </c>
      <c r="J712" t="s">
        <v>3212</v>
      </c>
      <c r="K712" t="s">
        <v>74</v>
      </c>
      <c r="L712" t="s">
        <v>74</v>
      </c>
      <c r="M712" t="s">
        <v>78</v>
      </c>
      <c r="N712" t="s">
        <v>79</v>
      </c>
      <c r="O712" t="s">
        <v>74</v>
      </c>
      <c r="P712" t="s">
        <v>74</v>
      </c>
      <c r="Q712" t="s">
        <v>74</v>
      </c>
      <c r="R712" t="s">
        <v>74</v>
      </c>
      <c r="S712" t="s">
        <v>74</v>
      </c>
      <c r="T712" t="s">
        <v>13301</v>
      </c>
      <c r="U712" t="s">
        <v>13302</v>
      </c>
      <c r="V712" t="s">
        <v>13303</v>
      </c>
      <c r="W712" t="s">
        <v>13304</v>
      </c>
      <c r="X712" t="s">
        <v>13305</v>
      </c>
      <c r="Y712" t="s">
        <v>13306</v>
      </c>
      <c r="Z712" t="s">
        <v>13307</v>
      </c>
      <c r="AA712" t="s">
        <v>74</v>
      </c>
      <c r="AB712" t="s">
        <v>74</v>
      </c>
      <c r="AC712" t="s">
        <v>13308</v>
      </c>
      <c r="AD712" t="s">
        <v>13308</v>
      </c>
      <c r="AE712" t="s">
        <v>13308</v>
      </c>
      <c r="AF712" t="s">
        <v>74</v>
      </c>
      <c r="AG712">
        <v>22</v>
      </c>
      <c r="AH712">
        <v>0</v>
      </c>
      <c r="AI712">
        <v>0</v>
      </c>
      <c r="AJ712">
        <v>0</v>
      </c>
      <c r="AK712">
        <v>0</v>
      </c>
      <c r="AL712" t="s">
        <v>443</v>
      </c>
      <c r="AM712" t="s">
        <v>245</v>
      </c>
      <c r="AN712" t="s">
        <v>444</v>
      </c>
      <c r="AO712" t="s">
        <v>74</v>
      </c>
      <c r="AP712" t="s">
        <v>3220</v>
      </c>
      <c r="AQ712" t="s">
        <v>74</v>
      </c>
      <c r="AR712" t="s">
        <v>3221</v>
      </c>
      <c r="AS712" t="s">
        <v>3222</v>
      </c>
      <c r="AT712" t="s">
        <v>13122</v>
      </c>
      <c r="AU712">
        <v>2023</v>
      </c>
      <c r="AV712">
        <v>23</v>
      </c>
      <c r="AW712">
        <v>1</v>
      </c>
      <c r="AX712" t="s">
        <v>74</v>
      </c>
      <c r="AY712" t="s">
        <v>74</v>
      </c>
      <c r="AZ712" t="s">
        <v>74</v>
      </c>
      <c r="BA712" t="s">
        <v>74</v>
      </c>
      <c r="BB712" t="s">
        <v>74</v>
      </c>
      <c r="BC712" t="s">
        <v>74</v>
      </c>
      <c r="BD712">
        <v>602</v>
      </c>
      <c r="BE712" t="s">
        <v>13309</v>
      </c>
      <c r="BF712" t="str">
        <f>HYPERLINK("http://dx.doi.org/10.1186/s12909-023-04463-2","http://dx.doi.org/10.1186/s12909-023-04463-2")</f>
        <v>http://dx.doi.org/10.1186/s12909-023-04463-2</v>
      </c>
      <c r="BG712" t="s">
        <v>74</v>
      </c>
      <c r="BH712" t="s">
        <v>74</v>
      </c>
      <c r="BI712">
        <v>8</v>
      </c>
      <c r="BJ712" t="s">
        <v>3225</v>
      </c>
      <c r="BK712" t="s">
        <v>2431</v>
      </c>
      <c r="BL712" t="s">
        <v>3226</v>
      </c>
      <c r="BM712" t="s">
        <v>13310</v>
      </c>
      <c r="BN712">
        <v>37620813</v>
      </c>
      <c r="BO712" t="s">
        <v>302</v>
      </c>
      <c r="BP712" t="s">
        <v>74</v>
      </c>
      <c r="BQ712" t="s">
        <v>74</v>
      </c>
      <c r="BR712" t="s">
        <v>99</v>
      </c>
      <c r="BS712" t="s">
        <v>13311</v>
      </c>
      <c r="BT712" t="str">
        <f>HYPERLINK("https%3A%2F%2Fwww.webofscience.com%2Fwos%2Fwoscc%2Ffull-record%2FWOS:001054312900003","View Full Record in Web of Science")</f>
        <v>View Full Record in Web of Science</v>
      </c>
    </row>
    <row r="713" spans="1:72" x14ac:dyDescent="0.15">
      <c r="A713" t="s">
        <v>72</v>
      </c>
      <c r="B713" t="s">
        <v>13312</v>
      </c>
      <c r="C713" t="s">
        <v>74</v>
      </c>
      <c r="D713" t="s">
        <v>74</v>
      </c>
      <c r="E713" t="s">
        <v>74</v>
      </c>
      <c r="F713" t="s">
        <v>13313</v>
      </c>
      <c r="G713" t="s">
        <v>74</v>
      </c>
      <c r="H713" t="s">
        <v>74</v>
      </c>
      <c r="I713" t="s">
        <v>13314</v>
      </c>
      <c r="J713" t="s">
        <v>13315</v>
      </c>
      <c r="K713" t="s">
        <v>74</v>
      </c>
      <c r="L713" t="s">
        <v>74</v>
      </c>
      <c r="M713" t="s">
        <v>78</v>
      </c>
      <c r="N713" t="s">
        <v>79</v>
      </c>
      <c r="O713" t="s">
        <v>74</v>
      </c>
      <c r="P713" t="s">
        <v>74</v>
      </c>
      <c r="Q713" t="s">
        <v>74</v>
      </c>
      <c r="R713" t="s">
        <v>74</v>
      </c>
      <c r="S713" t="s">
        <v>74</v>
      </c>
      <c r="T713" t="s">
        <v>13316</v>
      </c>
      <c r="U713" t="s">
        <v>74</v>
      </c>
      <c r="V713" t="s">
        <v>13317</v>
      </c>
      <c r="W713" t="s">
        <v>13318</v>
      </c>
      <c r="X713" t="s">
        <v>13319</v>
      </c>
      <c r="Y713" t="s">
        <v>13320</v>
      </c>
      <c r="Z713" t="s">
        <v>13321</v>
      </c>
      <c r="AA713" t="s">
        <v>74</v>
      </c>
      <c r="AB713" t="s">
        <v>74</v>
      </c>
      <c r="AC713" t="s">
        <v>74</v>
      </c>
      <c r="AD713" t="s">
        <v>74</v>
      </c>
      <c r="AE713" t="s">
        <v>74</v>
      </c>
      <c r="AF713" t="s">
        <v>74</v>
      </c>
      <c r="AG713">
        <v>7</v>
      </c>
      <c r="AH713">
        <v>0</v>
      </c>
      <c r="AI713">
        <v>0</v>
      </c>
      <c r="AJ713">
        <v>0</v>
      </c>
      <c r="AK713">
        <v>0</v>
      </c>
      <c r="AL713" t="s">
        <v>117</v>
      </c>
      <c r="AM713" t="s">
        <v>118</v>
      </c>
      <c r="AN713" t="s">
        <v>119</v>
      </c>
      <c r="AO713" t="s">
        <v>13322</v>
      </c>
      <c r="AP713" t="s">
        <v>13323</v>
      </c>
      <c r="AQ713" t="s">
        <v>74</v>
      </c>
      <c r="AR713" t="s">
        <v>13324</v>
      </c>
      <c r="AS713" t="s">
        <v>13325</v>
      </c>
      <c r="AT713" t="s">
        <v>13122</v>
      </c>
      <c r="AU713">
        <v>2023</v>
      </c>
      <c r="AV713">
        <v>47</v>
      </c>
      <c r="AW713">
        <v>1</v>
      </c>
      <c r="AX713" t="s">
        <v>74</v>
      </c>
      <c r="AY713" t="s">
        <v>74</v>
      </c>
      <c r="AZ713" t="s">
        <v>74</v>
      </c>
      <c r="BA713" t="s">
        <v>74</v>
      </c>
      <c r="BB713" t="s">
        <v>74</v>
      </c>
      <c r="BC713" t="s">
        <v>74</v>
      </c>
      <c r="BD713">
        <v>92</v>
      </c>
      <c r="BE713" t="s">
        <v>13326</v>
      </c>
      <c r="BF713" t="str">
        <f>HYPERLINK("http://dx.doi.org/10.1007/s10916-023-01977-6","http://dx.doi.org/10.1007/s10916-023-01977-6")</f>
        <v>http://dx.doi.org/10.1007/s10916-023-01977-6</v>
      </c>
      <c r="BG713" t="s">
        <v>74</v>
      </c>
      <c r="BH713" t="s">
        <v>74</v>
      </c>
      <c r="BI713">
        <v>7</v>
      </c>
      <c r="BJ713" t="s">
        <v>13327</v>
      </c>
      <c r="BK713" t="s">
        <v>126</v>
      </c>
      <c r="BL713" t="s">
        <v>13327</v>
      </c>
      <c r="BM713" t="s">
        <v>13328</v>
      </c>
      <c r="BN713">
        <v>37615881</v>
      </c>
      <c r="BO713" t="s">
        <v>327</v>
      </c>
      <c r="BP713" t="s">
        <v>74</v>
      </c>
      <c r="BQ713" t="s">
        <v>74</v>
      </c>
      <c r="BR713" t="s">
        <v>99</v>
      </c>
      <c r="BS713" t="s">
        <v>13329</v>
      </c>
      <c r="BT713" t="str">
        <f>HYPERLINK("https%3A%2F%2Fwww.webofscience.com%2Fwos%2Fwoscc%2Ffull-record%2FWOS:001054421400001","View Full Record in Web of Science")</f>
        <v>View Full Record in Web of Science</v>
      </c>
    </row>
    <row r="714" spans="1:72" x14ac:dyDescent="0.15">
      <c r="A714" t="s">
        <v>72</v>
      </c>
      <c r="B714" t="s">
        <v>13330</v>
      </c>
      <c r="C714" t="s">
        <v>74</v>
      </c>
      <c r="D714" t="s">
        <v>74</v>
      </c>
      <c r="E714" t="s">
        <v>74</v>
      </c>
      <c r="F714" t="s">
        <v>13331</v>
      </c>
      <c r="G714" t="s">
        <v>74</v>
      </c>
      <c r="H714" t="s">
        <v>74</v>
      </c>
      <c r="I714" t="s">
        <v>13332</v>
      </c>
      <c r="J714" t="s">
        <v>12082</v>
      </c>
      <c r="K714" t="s">
        <v>74</v>
      </c>
      <c r="L714" t="s">
        <v>74</v>
      </c>
      <c r="M714" t="s">
        <v>78</v>
      </c>
      <c r="N714" t="s">
        <v>1246</v>
      </c>
      <c r="O714" t="s">
        <v>74</v>
      </c>
      <c r="P714" t="s">
        <v>74</v>
      </c>
      <c r="Q714" t="s">
        <v>74</v>
      </c>
      <c r="R714" t="s">
        <v>74</v>
      </c>
      <c r="S714" t="s">
        <v>74</v>
      </c>
      <c r="T714" t="s">
        <v>13333</v>
      </c>
      <c r="U714" t="s">
        <v>13334</v>
      </c>
      <c r="V714" t="s">
        <v>13335</v>
      </c>
      <c r="W714" t="s">
        <v>13336</v>
      </c>
      <c r="X714" t="s">
        <v>13337</v>
      </c>
      <c r="Y714" t="s">
        <v>13338</v>
      </c>
      <c r="Z714" t="s">
        <v>13339</v>
      </c>
      <c r="AA714" t="s">
        <v>74</v>
      </c>
      <c r="AB714" t="s">
        <v>74</v>
      </c>
      <c r="AC714" t="s">
        <v>74</v>
      </c>
      <c r="AD714" t="s">
        <v>74</v>
      </c>
      <c r="AE714" t="s">
        <v>74</v>
      </c>
      <c r="AF714" t="s">
        <v>74</v>
      </c>
      <c r="AG714">
        <v>54</v>
      </c>
      <c r="AH714">
        <v>0</v>
      </c>
      <c r="AI714">
        <v>0</v>
      </c>
      <c r="AJ714">
        <v>0</v>
      </c>
      <c r="AK714">
        <v>0</v>
      </c>
      <c r="AL714" t="s">
        <v>117</v>
      </c>
      <c r="AM714" t="s">
        <v>118</v>
      </c>
      <c r="AN714" t="s">
        <v>119</v>
      </c>
      <c r="AO714" t="s">
        <v>12095</v>
      </c>
      <c r="AP714" t="s">
        <v>12096</v>
      </c>
      <c r="AQ714" t="s">
        <v>74</v>
      </c>
      <c r="AR714" t="s">
        <v>12097</v>
      </c>
      <c r="AS714" t="s">
        <v>12098</v>
      </c>
      <c r="AT714" t="s">
        <v>13143</v>
      </c>
      <c r="AU714">
        <v>2023</v>
      </c>
      <c r="AV714" t="s">
        <v>74</v>
      </c>
      <c r="AW714" t="s">
        <v>74</v>
      </c>
      <c r="AX714" t="s">
        <v>74</v>
      </c>
      <c r="AY714" t="s">
        <v>74</v>
      </c>
      <c r="AZ714" t="s">
        <v>74</v>
      </c>
      <c r="BA714" t="s">
        <v>74</v>
      </c>
      <c r="BB714" t="s">
        <v>74</v>
      </c>
      <c r="BC714" t="s">
        <v>74</v>
      </c>
      <c r="BD714" t="s">
        <v>74</v>
      </c>
      <c r="BE714" t="s">
        <v>13340</v>
      </c>
      <c r="BF714" t="str">
        <f>HYPERLINK("http://dx.doi.org/10.3758/s13423-023-02357-4","http://dx.doi.org/10.3758/s13423-023-02357-4")</f>
        <v>http://dx.doi.org/10.3758/s13423-023-02357-4</v>
      </c>
      <c r="BG714" t="s">
        <v>74</v>
      </c>
      <c r="BH714" t="s">
        <v>10650</v>
      </c>
      <c r="BI714">
        <v>12</v>
      </c>
      <c r="BJ714" t="s">
        <v>12100</v>
      </c>
      <c r="BK714" t="s">
        <v>425</v>
      </c>
      <c r="BL714" t="s">
        <v>2907</v>
      </c>
      <c r="BM714" t="s">
        <v>13341</v>
      </c>
      <c r="BN714">
        <v>37620633</v>
      </c>
      <c r="BO714" t="s">
        <v>183</v>
      </c>
      <c r="BP714" t="s">
        <v>74</v>
      </c>
      <c r="BQ714" t="s">
        <v>74</v>
      </c>
      <c r="BR714" t="s">
        <v>99</v>
      </c>
      <c r="BS714" t="s">
        <v>13342</v>
      </c>
      <c r="BT714" t="str">
        <f>HYPERLINK("https%3A%2F%2Fwww.webofscience.com%2Fwos%2Fwoscc%2Ffull-record%2FWOS:001060147900001","View Full Record in Web of Science")</f>
        <v>View Full Record in Web of Science</v>
      </c>
    </row>
    <row r="715" spans="1:72" x14ac:dyDescent="0.15">
      <c r="A715" t="s">
        <v>72</v>
      </c>
      <c r="B715" t="s">
        <v>13343</v>
      </c>
      <c r="C715" t="s">
        <v>74</v>
      </c>
      <c r="D715" t="s">
        <v>74</v>
      </c>
      <c r="E715" t="s">
        <v>74</v>
      </c>
      <c r="F715" t="s">
        <v>13344</v>
      </c>
      <c r="G715" t="s">
        <v>74</v>
      </c>
      <c r="H715" t="s">
        <v>74</v>
      </c>
      <c r="I715" t="s">
        <v>13345</v>
      </c>
      <c r="J715" t="s">
        <v>6999</v>
      </c>
      <c r="K715" t="s">
        <v>74</v>
      </c>
      <c r="L715" t="s">
        <v>74</v>
      </c>
      <c r="M715" t="s">
        <v>78</v>
      </c>
      <c r="N715" t="s">
        <v>79</v>
      </c>
      <c r="O715" t="s">
        <v>74</v>
      </c>
      <c r="P715" t="s">
        <v>74</v>
      </c>
      <c r="Q715" t="s">
        <v>74</v>
      </c>
      <c r="R715" t="s">
        <v>74</v>
      </c>
      <c r="S715" t="s">
        <v>74</v>
      </c>
      <c r="T715" t="s">
        <v>74</v>
      </c>
      <c r="U715" t="s">
        <v>74</v>
      </c>
      <c r="V715" t="s">
        <v>13346</v>
      </c>
      <c r="W715" t="s">
        <v>13347</v>
      </c>
      <c r="X715" t="s">
        <v>13348</v>
      </c>
      <c r="Y715" t="s">
        <v>13349</v>
      </c>
      <c r="Z715" t="s">
        <v>13350</v>
      </c>
      <c r="AA715" t="s">
        <v>74</v>
      </c>
      <c r="AB715" t="s">
        <v>13351</v>
      </c>
      <c r="AC715" t="s">
        <v>74</v>
      </c>
      <c r="AD715" t="s">
        <v>74</v>
      </c>
      <c r="AE715" t="s">
        <v>74</v>
      </c>
      <c r="AF715" t="s">
        <v>74</v>
      </c>
      <c r="AG715">
        <v>50</v>
      </c>
      <c r="AH715">
        <v>0</v>
      </c>
      <c r="AI715">
        <v>0</v>
      </c>
      <c r="AJ715">
        <v>3</v>
      </c>
      <c r="AK715">
        <v>3</v>
      </c>
      <c r="AL715" t="s">
        <v>317</v>
      </c>
      <c r="AM715" t="s">
        <v>245</v>
      </c>
      <c r="AN715" t="s">
        <v>318</v>
      </c>
      <c r="AO715" t="s">
        <v>7010</v>
      </c>
      <c r="AP715" t="s">
        <v>7011</v>
      </c>
      <c r="AQ715" t="s">
        <v>74</v>
      </c>
      <c r="AR715" t="s">
        <v>7012</v>
      </c>
      <c r="AS715" t="s">
        <v>7013</v>
      </c>
      <c r="AT715" t="s">
        <v>13122</v>
      </c>
      <c r="AU715">
        <v>2023</v>
      </c>
      <c r="AV715" t="s">
        <v>74</v>
      </c>
      <c r="AW715" t="s">
        <v>74</v>
      </c>
      <c r="AX715" t="s">
        <v>74</v>
      </c>
      <c r="AY715" t="s">
        <v>74</v>
      </c>
      <c r="AZ715" t="s">
        <v>74</v>
      </c>
      <c r="BA715" t="s">
        <v>74</v>
      </c>
      <c r="BB715" t="s">
        <v>74</v>
      </c>
      <c r="BC715" t="s">
        <v>74</v>
      </c>
      <c r="BD715">
        <v>2233</v>
      </c>
      <c r="BE715" t="s">
        <v>13352</v>
      </c>
      <c r="BF715" t="str">
        <f>HYPERLINK("http://dx.doi.org/10.1038/s41380-023-02233-6","http://dx.doi.org/10.1038/s41380-023-02233-6")</f>
        <v>http://dx.doi.org/10.1038/s41380-023-02233-6</v>
      </c>
      <c r="BG715" t="s">
        <v>74</v>
      </c>
      <c r="BH715" t="s">
        <v>74</v>
      </c>
      <c r="BI715">
        <v>10</v>
      </c>
      <c r="BJ715" t="s">
        <v>7016</v>
      </c>
      <c r="BK715" t="s">
        <v>126</v>
      </c>
      <c r="BL715" t="s">
        <v>7017</v>
      </c>
      <c r="BM715" t="s">
        <v>13353</v>
      </c>
      <c r="BN715">
        <v>37612365</v>
      </c>
      <c r="BO715" t="s">
        <v>74</v>
      </c>
      <c r="BP715" t="s">
        <v>74</v>
      </c>
      <c r="BQ715" t="s">
        <v>74</v>
      </c>
      <c r="BR715" t="s">
        <v>99</v>
      </c>
      <c r="BS715" t="s">
        <v>13354</v>
      </c>
      <c r="BT715" t="str">
        <f>HYPERLINK("https%3A%2F%2Fwww.webofscience.com%2Fwos%2Fwoscc%2Ffull-record%2FWOS:001053571700001","View Full Record in Web of Science")</f>
        <v>View Full Record in Web of Science</v>
      </c>
    </row>
    <row r="716" spans="1:72" x14ac:dyDescent="0.15">
      <c r="A716" t="s">
        <v>72</v>
      </c>
      <c r="B716" t="s">
        <v>13355</v>
      </c>
      <c r="C716" t="s">
        <v>74</v>
      </c>
      <c r="D716" t="s">
        <v>74</v>
      </c>
      <c r="E716" t="s">
        <v>74</v>
      </c>
      <c r="F716" t="s">
        <v>13356</v>
      </c>
      <c r="G716" t="s">
        <v>74</v>
      </c>
      <c r="H716" t="s">
        <v>74</v>
      </c>
      <c r="I716" t="s">
        <v>13357</v>
      </c>
      <c r="J716" t="s">
        <v>13358</v>
      </c>
      <c r="K716" t="s">
        <v>74</v>
      </c>
      <c r="L716" t="s">
        <v>74</v>
      </c>
      <c r="M716" t="s">
        <v>78</v>
      </c>
      <c r="N716" t="s">
        <v>1246</v>
      </c>
      <c r="O716" t="s">
        <v>74</v>
      </c>
      <c r="P716" t="s">
        <v>74</v>
      </c>
      <c r="Q716" t="s">
        <v>74</v>
      </c>
      <c r="R716" t="s">
        <v>74</v>
      </c>
      <c r="S716" t="s">
        <v>74</v>
      </c>
      <c r="T716" t="s">
        <v>13359</v>
      </c>
      <c r="U716" t="s">
        <v>13360</v>
      </c>
      <c r="V716" t="s">
        <v>13361</v>
      </c>
      <c r="W716" t="s">
        <v>13362</v>
      </c>
      <c r="X716" t="s">
        <v>13363</v>
      </c>
      <c r="Y716" t="s">
        <v>13364</v>
      </c>
      <c r="Z716" t="s">
        <v>13365</v>
      </c>
      <c r="AA716" t="s">
        <v>74</v>
      </c>
      <c r="AB716" t="s">
        <v>74</v>
      </c>
      <c r="AC716" t="s">
        <v>13366</v>
      </c>
      <c r="AD716" t="s">
        <v>13367</v>
      </c>
      <c r="AE716" t="s">
        <v>13368</v>
      </c>
      <c r="AF716" t="s">
        <v>74</v>
      </c>
      <c r="AG716">
        <v>59</v>
      </c>
      <c r="AH716">
        <v>0</v>
      </c>
      <c r="AI716">
        <v>0</v>
      </c>
      <c r="AJ716">
        <v>5</v>
      </c>
      <c r="AK716">
        <v>5</v>
      </c>
      <c r="AL716" t="s">
        <v>117</v>
      </c>
      <c r="AM716" t="s">
        <v>627</v>
      </c>
      <c r="AN716" t="s">
        <v>628</v>
      </c>
      <c r="AO716" t="s">
        <v>13369</v>
      </c>
      <c r="AP716" t="s">
        <v>13370</v>
      </c>
      <c r="AQ716" t="s">
        <v>74</v>
      </c>
      <c r="AR716" t="s">
        <v>13371</v>
      </c>
      <c r="AS716" t="s">
        <v>13372</v>
      </c>
      <c r="AT716" t="s">
        <v>13143</v>
      </c>
      <c r="AU716">
        <v>2023</v>
      </c>
      <c r="AV716" t="s">
        <v>74</v>
      </c>
      <c r="AW716" t="s">
        <v>74</v>
      </c>
      <c r="AX716" t="s">
        <v>74</v>
      </c>
      <c r="AY716" t="s">
        <v>74</v>
      </c>
      <c r="AZ716" t="s">
        <v>74</v>
      </c>
      <c r="BA716" t="s">
        <v>74</v>
      </c>
      <c r="BB716" t="s">
        <v>74</v>
      </c>
      <c r="BC716" t="s">
        <v>74</v>
      </c>
      <c r="BD716" t="s">
        <v>74</v>
      </c>
      <c r="BE716" t="s">
        <v>13373</v>
      </c>
      <c r="BF716" t="str">
        <f>HYPERLINK("http://dx.doi.org/10.1007/s10726-023-09851","http://dx.doi.org/10.1007/s10726-023-09851")</f>
        <v>http://dx.doi.org/10.1007/s10726-023-09851</v>
      </c>
      <c r="BG716" t="s">
        <v>74</v>
      </c>
      <c r="BH716" t="s">
        <v>10650</v>
      </c>
      <c r="BI716">
        <v>37</v>
      </c>
      <c r="BJ716" t="s">
        <v>13374</v>
      </c>
      <c r="BK716" t="s">
        <v>425</v>
      </c>
      <c r="BL716" t="s">
        <v>13375</v>
      </c>
      <c r="BM716" t="s">
        <v>13376</v>
      </c>
      <c r="BN716" t="s">
        <v>74</v>
      </c>
      <c r="BO716" t="s">
        <v>74</v>
      </c>
      <c r="BP716" t="s">
        <v>74</v>
      </c>
      <c r="BQ716" t="s">
        <v>74</v>
      </c>
      <c r="BR716" t="s">
        <v>99</v>
      </c>
      <c r="BS716" t="s">
        <v>13377</v>
      </c>
      <c r="BT716" t="str">
        <f>HYPERLINK("https%3A%2F%2Fwww.webofscience.com%2Fwos%2Fwoscc%2Ffull-record%2FWOS:001059872100001","View Full Record in Web of Science")</f>
        <v>View Full Record in Web of Science</v>
      </c>
    </row>
    <row r="717" spans="1:72" x14ac:dyDescent="0.15">
      <c r="A717" t="s">
        <v>72</v>
      </c>
      <c r="B717" t="s">
        <v>13378</v>
      </c>
      <c r="C717" t="s">
        <v>74</v>
      </c>
      <c r="D717" t="s">
        <v>74</v>
      </c>
      <c r="E717" t="s">
        <v>74</v>
      </c>
      <c r="F717" t="s">
        <v>13379</v>
      </c>
      <c r="G717" t="s">
        <v>74</v>
      </c>
      <c r="H717" t="s">
        <v>74</v>
      </c>
      <c r="I717" t="s">
        <v>13380</v>
      </c>
      <c r="J717" t="s">
        <v>13381</v>
      </c>
      <c r="K717" t="s">
        <v>74</v>
      </c>
      <c r="L717" t="s">
        <v>74</v>
      </c>
      <c r="M717" t="s">
        <v>78</v>
      </c>
      <c r="N717" t="s">
        <v>1246</v>
      </c>
      <c r="O717" t="s">
        <v>74</v>
      </c>
      <c r="P717" t="s">
        <v>74</v>
      </c>
      <c r="Q717" t="s">
        <v>74</v>
      </c>
      <c r="R717" t="s">
        <v>74</v>
      </c>
      <c r="S717" t="s">
        <v>74</v>
      </c>
      <c r="T717" t="s">
        <v>13382</v>
      </c>
      <c r="U717" t="s">
        <v>13383</v>
      </c>
      <c r="V717" t="s">
        <v>13384</v>
      </c>
      <c r="W717" t="s">
        <v>13385</v>
      </c>
      <c r="X717" t="s">
        <v>13386</v>
      </c>
      <c r="Y717" t="s">
        <v>13387</v>
      </c>
      <c r="Z717" t="s">
        <v>13388</v>
      </c>
      <c r="AA717" t="s">
        <v>74</v>
      </c>
      <c r="AB717" t="s">
        <v>74</v>
      </c>
      <c r="AC717" t="s">
        <v>13389</v>
      </c>
      <c r="AD717" t="s">
        <v>13389</v>
      </c>
      <c r="AE717" t="s">
        <v>13390</v>
      </c>
      <c r="AF717" t="s">
        <v>74</v>
      </c>
      <c r="AG717">
        <v>25</v>
      </c>
      <c r="AH717">
        <v>0</v>
      </c>
      <c r="AI717">
        <v>0</v>
      </c>
      <c r="AJ717">
        <v>0</v>
      </c>
      <c r="AK717">
        <v>0</v>
      </c>
      <c r="AL717" t="s">
        <v>117</v>
      </c>
      <c r="AM717" t="s">
        <v>118</v>
      </c>
      <c r="AN717" t="s">
        <v>119</v>
      </c>
      <c r="AO717" t="s">
        <v>13391</v>
      </c>
      <c r="AP717" t="s">
        <v>13392</v>
      </c>
      <c r="AQ717" t="s">
        <v>74</v>
      </c>
      <c r="AR717" t="s">
        <v>13393</v>
      </c>
      <c r="AS717" t="s">
        <v>13394</v>
      </c>
      <c r="AT717" t="s">
        <v>13143</v>
      </c>
      <c r="AU717">
        <v>2023</v>
      </c>
      <c r="AV717" t="s">
        <v>74</v>
      </c>
      <c r="AW717" t="s">
        <v>74</v>
      </c>
      <c r="AX717" t="s">
        <v>74</v>
      </c>
      <c r="AY717" t="s">
        <v>74</v>
      </c>
      <c r="AZ717" t="s">
        <v>74</v>
      </c>
      <c r="BA717" t="s">
        <v>74</v>
      </c>
      <c r="BB717" t="s">
        <v>74</v>
      </c>
      <c r="BC717" t="s">
        <v>74</v>
      </c>
      <c r="BD717" t="s">
        <v>74</v>
      </c>
      <c r="BE717" t="s">
        <v>13395</v>
      </c>
      <c r="BF717" t="str">
        <f>HYPERLINK("http://dx.doi.org/10.1007/s12237-023-01263-1","http://dx.doi.org/10.1007/s12237-023-01263-1")</f>
        <v>http://dx.doi.org/10.1007/s12237-023-01263-1</v>
      </c>
      <c r="BG717" t="s">
        <v>74</v>
      </c>
      <c r="BH717" t="s">
        <v>10650</v>
      </c>
      <c r="BI717">
        <v>9</v>
      </c>
      <c r="BJ717" t="s">
        <v>13396</v>
      </c>
      <c r="BK717" t="s">
        <v>126</v>
      </c>
      <c r="BL717" t="s">
        <v>13397</v>
      </c>
      <c r="BM717" t="s">
        <v>13398</v>
      </c>
      <c r="BN717" t="s">
        <v>74</v>
      </c>
      <c r="BO717" t="s">
        <v>183</v>
      </c>
      <c r="BP717" t="s">
        <v>74</v>
      </c>
      <c r="BQ717" t="s">
        <v>74</v>
      </c>
      <c r="BR717" t="s">
        <v>99</v>
      </c>
      <c r="BS717" t="s">
        <v>13399</v>
      </c>
      <c r="BT717" t="str">
        <f>HYPERLINK("https%3A%2F%2Fwww.webofscience.com%2Fwos%2Fwoscc%2Ffull-record%2FWOS:001059863700001","View Full Record in Web of Science")</f>
        <v>View Full Record in Web of Science</v>
      </c>
    </row>
    <row r="718" spans="1:72" x14ac:dyDescent="0.15">
      <c r="A718" t="s">
        <v>72</v>
      </c>
      <c r="B718" t="s">
        <v>13400</v>
      </c>
      <c r="C718" t="s">
        <v>74</v>
      </c>
      <c r="D718" t="s">
        <v>74</v>
      </c>
      <c r="E718" t="s">
        <v>74</v>
      </c>
      <c r="F718" t="s">
        <v>13401</v>
      </c>
      <c r="G718" t="s">
        <v>74</v>
      </c>
      <c r="H718" t="s">
        <v>74</v>
      </c>
      <c r="I718" t="s">
        <v>13402</v>
      </c>
      <c r="J718" t="s">
        <v>7245</v>
      </c>
      <c r="K718" t="s">
        <v>74</v>
      </c>
      <c r="L718" t="s">
        <v>74</v>
      </c>
      <c r="M718" t="s">
        <v>78</v>
      </c>
      <c r="N718" t="s">
        <v>79</v>
      </c>
      <c r="O718" t="s">
        <v>74</v>
      </c>
      <c r="P718" t="s">
        <v>74</v>
      </c>
      <c r="Q718" t="s">
        <v>74</v>
      </c>
      <c r="R718" t="s">
        <v>74</v>
      </c>
      <c r="S718" t="s">
        <v>74</v>
      </c>
      <c r="T718" t="s">
        <v>13403</v>
      </c>
      <c r="U718" t="s">
        <v>74</v>
      </c>
      <c r="V718" t="s">
        <v>13404</v>
      </c>
      <c r="W718" t="s">
        <v>13405</v>
      </c>
      <c r="X718" t="s">
        <v>13406</v>
      </c>
      <c r="Y718" t="s">
        <v>13407</v>
      </c>
      <c r="Z718" t="s">
        <v>13408</v>
      </c>
      <c r="AA718" t="s">
        <v>74</v>
      </c>
      <c r="AB718" t="s">
        <v>13409</v>
      </c>
      <c r="AC718" t="s">
        <v>13410</v>
      </c>
      <c r="AD718" t="s">
        <v>13411</v>
      </c>
      <c r="AE718" t="s">
        <v>13412</v>
      </c>
      <c r="AF718" t="s">
        <v>74</v>
      </c>
      <c r="AG718">
        <v>38</v>
      </c>
      <c r="AH718">
        <v>0</v>
      </c>
      <c r="AI718">
        <v>0</v>
      </c>
      <c r="AJ718">
        <v>0</v>
      </c>
      <c r="AK718">
        <v>0</v>
      </c>
      <c r="AL718" t="s">
        <v>443</v>
      </c>
      <c r="AM718" t="s">
        <v>245</v>
      </c>
      <c r="AN718" t="s">
        <v>444</v>
      </c>
      <c r="AO718" t="s">
        <v>74</v>
      </c>
      <c r="AP718" t="s">
        <v>7257</v>
      </c>
      <c r="AQ718" t="s">
        <v>74</v>
      </c>
      <c r="AR718" t="s">
        <v>7258</v>
      </c>
      <c r="AS718" t="s">
        <v>7259</v>
      </c>
      <c r="AT718" t="s">
        <v>13122</v>
      </c>
      <c r="AU718">
        <v>2023</v>
      </c>
      <c r="AV718">
        <v>23</v>
      </c>
      <c r="AW718">
        <v>1</v>
      </c>
      <c r="AX718" t="s">
        <v>74</v>
      </c>
      <c r="AY718" t="s">
        <v>74</v>
      </c>
      <c r="AZ718" t="s">
        <v>74</v>
      </c>
      <c r="BA718" t="s">
        <v>74</v>
      </c>
      <c r="BB718" t="s">
        <v>74</v>
      </c>
      <c r="BC718" t="s">
        <v>74</v>
      </c>
      <c r="BD718">
        <v>552</v>
      </c>
      <c r="BE718" t="s">
        <v>13413</v>
      </c>
      <c r="BF718" t="str">
        <f>HYPERLINK("http://dx.doi.org/10.1186/s12879-023-08535-y","http://dx.doi.org/10.1186/s12879-023-08535-y")</f>
        <v>http://dx.doi.org/10.1186/s12879-023-08535-y</v>
      </c>
      <c r="BG718" t="s">
        <v>74</v>
      </c>
      <c r="BH718" t="s">
        <v>74</v>
      </c>
      <c r="BI718">
        <v>10</v>
      </c>
      <c r="BJ718" t="s">
        <v>7261</v>
      </c>
      <c r="BK718" t="s">
        <v>126</v>
      </c>
      <c r="BL718" t="s">
        <v>7261</v>
      </c>
      <c r="BM718" t="s">
        <v>13414</v>
      </c>
      <c r="BN718">
        <v>37620774</v>
      </c>
      <c r="BO718" t="s">
        <v>3356</v>
      </c>
      <c r="BP718" t="s">
        <v>74</v>
      </c>
      <c r="BQ718" t="s">
        <v>74</v>
      </c>
      <c r="BR718" t="s">
        <v>99</v>
      </c>
      <c r="BS718" t="s">
        <v>13415</v>
      </c>
      <c r="BT718" t="str">
        <f>HYPERLINK("https%3A%2F%2Fwww.webofscience.com%2Fwos%2Fwoscc%2Ffull-record%2FWOS:001054270300002","View Full Record in Web of Science")</f>
        <v>View Full Record in Web of Science</v>
      </c>
    </row>
    <row r="719" spans="1:72" x14ac:dyDescent="0.15">
      <c r="A719" t="s">
        <v>72</v>
      </c>
      <c r="B719" t="s">
        <v>13416</v>
      </c>
      <c r="C719" t="s">
        <v>74</v>
      </c>
      <c r="D719" t="s">
        <v>74</v>
      </c>
      <c r="E719" t="s">
        <v>74</v>
      </c>
      <c r="F719" t="s">
        <v>13417</v>
      </c>
      <c r="G719" t="s">
        <v>74</v>
      </c>
      <c r="H719" t="s">
        <v>74</v>
      </c>
      <c r="I719" t="s">
        <v>13418</v>
      </c>
      <c r="J719" t="s">
        <v>5413</v>
      </c>
      <c r="K719" t="s">
        <v>74</v>
      </c>
      <c r="L719" t="s">
        <v>74</v>
      </c>
      <c r="M719" t="s">
        <v>78</v>
      </c>
      <c r="N719" t="s">
        <v>79</v>
      </c>
      <c r="O719" t="s">
        <v>74</v>
      </c>
      <c r="P719" t="s">
        <v>74</v>
      </c>
      <c r="Q719" t="s">
        <v>74</v>
      </c>
      <c r="R719" t="s">
        <v>74</v>
      </c>
      <c r="S719" t="s">
        <v>74</v>
      </c>
      <c r="T719" t="s">
        <v>13419</v>
      </c>
      <c r="U719" t="s">
        <v>13420</v>
      </c>
      <c r="V719" t="s">
        <v>13421</v>
      </c>
      <c r="W719" t="s">
        <v>13422</v>
      </c>
      <c r="X719" t="s">
        <v>13423</v>
      </c>
      <c r="Y719" t="s">
        <v>13424</v>
      </c>
      <c r="Z719" t="s">
        <v>13425</v>
      </c>
      <c r="AA719" t="s">
        <v>74</v>
      </c>
      <c r="AB719" t="s">
        <v>13426</v>
      </c>
      <c r="AC719" t="s">
        <v>13427</v>
      </c>
      <c r="AD719" t="s">
        <v>13428</v>
      </c>
      <c r="AE719" t="s">
        <v>13429</v>
      </c>
      <c r="AF719" t="s">
        <v>74</v>
      </c>
      <c r="AG719">
        <v>48</v>
      </c>
      <c r="AH719">
        <v>0</v>
      </c>
      <c r="AI719">
        <v>0</v>
      </c>
      <c r="AJ719">
        <v>0</v>
      </c>
      <c r="AK719">
        <v>0</v>
      </c>
      <c r="AL719" t="s">
        <v>443</v>
      </c>
      <c r="AM719" t="s">
        <v>245</v>
      </c>
      <c r="AN719" t="s">
        <v>444</v>
      </c>
      <c r="AO719" t="s">
        <v>5422</v>
      </c>
      <c r="AP719" t="s">
        <v>5423</v>
      </c>
      <c r="AQ719" t="s">
        <v>74</v>
      </c>
      <c r="AR719" t="s">
        <v>5424</v>
      </c>
      <c r="AS719" t="s">
        <v>5425</v>
      </c>
      <c r="AT719" t="s">
        <v>13122</v>
      </c>
      <c r="AU719">
        <v>2023</v>
      </c>
      <c r="AV719">
        <v>51</v>
      </c>
      <c r="AW719">
        <v>1</v>
      </c>
      <c r="AX719" t="s">
        <v>74</v>
      </c>
      <c r="AY719" t="s">
        <v>74</v>
      </c>
      <c r="AZ719" t="s">
        <v>74</v>
      </c>
      <c r="BA719" t="s">
        <v>74</v>
      </c>
      <c r="BB719" t="s">
        <v>74</v>
      </c>
      <c r="BC719" t="s">
        <v>74</v>
      </c>
      <c r="BD719" t="s">
        <v>74</v>
      </c>
      <c r="BE719" t="s">
        <v>13430</v>
      </c>
      <c r="BF719" t="str">
        <f>HYPERLINK("http://dx.doi.org/10.1186/s41182-023-00538-4","http://dx.doi.org/10.1186/s41182-023-00538-4")</f>
        <v>http://dx.doi.org/10.1186/s41182-023-00538-4</v>
      </c>
      <c r="BG719" t="s">
        <v>74</v>
      </c>
      <c r="BH719" t="s">
        <v>74</v>
      </c>
      <c r="BI719">
        <v>8</v>
      </c>
      <c r="BJ719" t="s">
        <v>5427</v>
      </c>
      <c r="BK719" t="s">
        <v>97</v>
      </c>
      <c r="BL719" t="s">
        <v>5427</v>
      </c>
      <c r="BM719" t="s">
        <v>13431</v>
      </c>
      <c r="BN719">
        <v>37620918</v>
      </c>
      <c r="BO719" t="s">
        <v>302</v>
      </c>
      <c r="BP719" t="s">
        <v>74</v>
      </c>
      <c r="BQ719" t="s">
        <v>74</v>
      </c>
      <c r="BR719" t="s">
        <v>99</v>
      </c>
      <c r="BS719" t="s">
        <v>13432</v>
      </c>
      <c r="BT719" t="str">
        <f>HYPERLINK("https%3A%2F%2Fwww.webofscience.com%2Fwos%2Fwoscc%2Ffull-record%2FWOS:001054256700001","View Full Record in Web of Science")</f>
        <v>View Full Record in Web of Science</v>
      </c>
    </row>
    <row r="720" spans="1:72" x14ac:dyDescent="0.15">
      <c r="A720" t="s">
        <v>72</v>
      </c>
      <c r="B720" t="s">
        <v>13433</v>
      </c>
      <c r="C720" t="s">
        <v>74</v>
      </c>
      <c r="D720" t="s">
        <v>74</v>
      </c>
      <c r="E720" t="s">
        <v>74</v>
      </c>
      <c r="F720" t="s">
        <v>13434</v>
      </c>
      <c r="G720" t="s">
        <v>74</v>
      </c>
      <c r="H720" t="s">
        <v>74</v>
      </c>
      <c r="I720" t="s">
        <v>13435</v>
      </c>
      <c r="J720" t="s">
        <v>13436</v>
      </c>
      <c r="K720" t="s">
        <v>74</v>
      </c>
      <c r="L720" t="s">
        <v>74</v>
      </c>
      <c r="M720" t="s">
        <v>78</v>
      </c>
      <c r="N720" t="s">
        <v>1246</v>
      </c>
      <c r="O720" t="s">
        <v>74</v>
      </c>
      <c r="P720" t="s">
        <v>74</v>
      </c>
      <c r="Q720" t="s">
        <v>74</v>
      </c>
      <c r="R720" t="s">
        <v>74</v>
      </c>
      <c r="S720" t="s">
        <v>74</v>
      </c>
      <c r="T720" t="s">
        <v>13437</v>
      </c>
      <c r="U720" t="s">
        <v>13438</v>
      </c>
      <c r="V720" t="s">
        <v>13439</v>
      </c>
      <c r="W720" t="s">
        <v>13440</v>
      </c>
      <c r="X720" t="s">
        <v>13441</v>
      </c>
      <c r="Y720" t="s">
        <v>13442</v>
      </c>
      <c r="Z720" t="s">
        <v>13443</v>
      </c>
      <c r="AA720" t="s">
        <v>74</v>
      </c>
      <c r="AB720" t="s">
        <v>13444</v>
      </c>
      <c r="AC720" t="s">
        <v>13445</v>
      </c>
      <c r="AD720" t="s">
        <v>13446</v>
      </c>
      <c r="AE720" t="s">
        <v>13447</v>
      </c>
      <c r="AF720" t="s">
        <v>74</v>
      </c>
      <c r="AG720">
        <v>52</v>
      </c>
      <c r="AH720">
        <v>1</v>
      </c>
      <c r="AI720">
        <v>1</v>
      </c>
      <c r="AJ720">
        <v>0</v>
      </c>
      <c r="AK720">
        <v>0</v>
      </c>
      <c r="AL720" t="s">
        <v>117</v>
      </c>
      <c r="AM720" t="s">
        <v>627</v>
      </c>
      <c r="AN720" t="s">
        <v>628</v>
      </c>
      <c r="AO720" t="s">
        <v>13448</v>
      </c>
      <c r="AP720" t="s">
        <v>13449</v>
      </c>
      <c r="AQ720" t="s">
        <v>74</v>
      </c>
      <c r="AR720" t="s">
        <v>13450</v>
      </c>
      <c r="AS720" t="s">
        <v>13451</v>
      </c>
      <c r="AT720" t="s">
        <v>13143</v>
      </c>
      <c r="AU720">
        <v>2023</v>
      </c>
      <c r="AV720" t="s">
        <v>74</v>
      </c>
      <c r="AW720" t="s">
        <v>74</v>
      </c>
      <c r="AX720" t="s">
        <v>74</v>
      </c>
      <c r="AY720" t="s">
        <v>74</v>
      </c>
      <c r="AZ720" t="s">
        <v>74</v>
      </c>
      <c r="BA720" t="s">
        <v>74</v>
      </c>
      <c r="BB720" t="s">
        <v>74</v>
      </c>
      <c r="BC720" t="s">
        <v>74</v>
      </c>
      <c r="BD720" t="s">
        <v>74</v>
      </c>
      <c r="BE720" t="s">
        <v>13452</v>
      </c>
      <c r="BF720" t="str">
        <f>HYPERLINK("http://dx.doi.org/10.1007/s10973-023-12448-y","http://dx.doi.org/10.1007/s10973-023-12448-y")</f>
        <v>http://dx.doi.org/10.1007/s10973-023-12448-y</v>
      </c>
      <c r="BG720" t="s">
        <v>74</v>
      </c>
      <c r="BH720" t="s">
        <v>10650</v>
      </c>
      <c r="BI720">
        <v>12</v>
      </c>
      <c r="BJ720" t="s">
        <v>13453</v>
      </c>
      <c r="BK720" t="s">
        <v>126</v>
      </c>
      <c r="BL720" t="s">
        <v>13454</v>
      </c>
      <c r="BM720" t="s">
        <v>13455</v>
      </c>
      <c r="BN720" t="s">
        <v>74</v>
      </c>
      <c r="BO720" t="s">
        <v>74</v>
      </c>
      <c r="BP720" t="s">
        <v>74</v>
      </c>
      <c r="BQ720" t="s">
        <v>74</v>
      </c>
      <c r="BR720" t="s">
        <v>99</v>
      </c>
      <c r="BS720" t="s">
        <v>13456</v>
      </c>
      <c r="BT720" t="str">
        <f>HYPERLINK("https%3A%2F%2Fwww.webofscience.com%2Fwos%2Fwoscc%2Ffull-record%2FWOS:001059701000001","View Full Record in Web of Science")</f>
        <v>View Full Record in Web of Science</v>
      </c>
    </row>
    <row r="721" spans="1:72" x14ac:dyDescent="0.15">
      <c r="A721" t="s">
        <v>72</v>
      </c>
      <c r="B721" t="s">
        <v>13457</v>
      </c>
      <c r="C721" t="s">
        <v>74</v>
      </c>
      <c r="D721" t="s">
        <v>74</v>
      </c>
      <c r="E721" t="s">
        <v>74</v>
      </c>
      <c r="F721" t="s">
        <v>13458</v>
      </c>
      <c r="G721" t="s">
        <v>74</v>
      </c>
      <c r="H721" t="s">
        <v>74</v>
      </c>
      <c r="I721" t="s">
        <v>13459</v>
      </c>
      <c r="J721" t="s">
        <v>13460</v>
      </c>
      <c r="K721" t="s">
        <v>74</v>
      </c>
      <c r="L721" t="s">
        <v>74</v>
      </c>
      <c r="M721" t="s">
        <v>78</v>
      </c>
      <c r="N721" t="s">
        <v>1246</v>
      </c>
      <c r="O721" t="s">
        <v>74</v>
      </c>
      <c r="P721" t="s">
        <v>74</v>
      </c>
      <c r="Q721" t="s">
        <v>74</v>
      </c>
      <c r="R721" t="s">
        <v>74</v>
      </c>
      <c r="S721" t="s">
        <v>74</v>
      </c>
      <c r="T721" t="s">
        <v>13461</v>
      </c>
      <c r="U721" t="s">
        <v>13462</v>
      </c>
      <c r="V721" t="s">
        <v>13463</v>
      </c>
      <c r="W721" t="s">
        <v>13464</v>
      </c>
      <c r="X721" t="s">
        <v>7784</v>
      </c>
      <c r="Y721" t="s">
        <v>13465</v>
      </c>
      <c r="Z721" t="s">
        <v>13466</v>
      </c>
      <c r="AA721" t="s">
        <v>74</v>
      </c>
      <c r="AB721" t="s">
        <v>74</v>
      </c>
      <c r="AC721" t="s">
        <v>13467</v>
      </c>
      <c r="AD721" t="s">
        <v>13468</v>
      </c>
      <c r="AE721" t="s">
        <v>13469</v>
      </c>
      <c r="AF721" t="s">
        <v>74</v>
      </c>
      <c r="AG721">
        <v>85</v>
      </c>
      <c r="AH721">
        <v>0</v>
      </c>
      <c r="AI721">
        <v>0</v>
      </c>
      <c r="AJ721">
        <v>0</v>
      </c>
      <c r="AK721">
        <v>0</v>
      </c>
      <c r="AL721" t="s">
        <v>117</v>
      </c>
      <c r="AM721" t="s">
        <v>118</v>
      </c>
      <c r="AN721" t="s">
        <v>119</v>
      </c>
      <c r="AO721" t="s">
        <v>13470</v>
      </c>
      <c r="AP721" t="s">
        <v>13471</v>
      </c>
      <c r="AQ721" t="s">
        <v>74</v>
      </c>
      <c r="AR721" t="s">
        <v>13472</v>
      </c>
      <c r="AS721" t="s">
        <v>13473</v>
      </c>
      <c r="AT721" t="s">
        <v>13143</v>
      </c>
      <c r="AU721">
        <v>2023</v>
      </c>
      <c r="AV721" t="s">
        <v>74</v>
      </c>
      <c r="AW721" t="s">
        <v>74</v>
      </c>
      <c r="AX721" t="s">
        <v>74</v>
      </c>
      <c r="AY721" t="s">
        <v>74</v>
      </c>
      <c r="AZ721" t="s">
        <v>74</v>
      </c>
      <c r="BA721" t="s">
        <v>74</v>
      </c>
      <c r="BB721" t="s">
        <v>74</v>
      </c>
      <c r="BC721" t="s">
        <v>74</v>
      </c>
      <c r="BD721" t="s">
        <v>74</v>
      </c>
      <c r="BE721" t="s">
        <v>13474</v>
      </c>
      <c r="BF721" t="str">
        <f>HYPERLINK("http://dx.doi.org/10.1007/s12195-023-00781","http://dx.doi.org/10.1007/s12195-023-00781")</f>
        <v>http://dx.doi.org/10.1007/s12195-023-00781</v>
      </c>
      <c r="BG721" t="s">
        <v>74</v>
      </c>
      <c r="BH721" t="s">
        <v>10650</v>
      </c>
      <c r="BI721">
        <v>17</v>
      </c>
      <c r="BJ721" t="s">
        <v>13475</v>
      </c>
      <c r="BK721" t="s">
        <v>126</v>
      </c>
      <c r="BL721" t="s">
        <v>13476</v>
      </c>
      <c r="BM721" t="s">
        <v>13477</v>
      </c>
      <c r="BN721" t="s">
        <v>74</v>
      </c>
      <c r="BO721" t="s">
        <v>74</v>
      </c>
      <c r="BP721" t="s">
        <v>74</v>
      </c>
      <c r="BQ721" t="s">
        <v>74</v>
      </c>
      <c r="BR721" t="s">
        <v>99</v>
      </c>
      <c r="BS721" t="s">
        <v>13478</v>
      </c>
      <c r="BT721" t="str">
        <f>HYPERLINK("https%3A%2F%2Fwww.webofscience.com%2Fwos%2Fwoscc%2Ffull-record%2FWOS:001060125500002","View Full Record in Web of Science")</f>
        <v>View Full Record in Web of Science</v>
      </c>
    </row>
    <row r="722" spans="1:72" x14ac:dyDescent="0.15">
      <c r="A722" t="s">
        <v>72</v>
      </c>
      <c r="B722" t="s">
        <v>13479</v>
      </c>
      <c r="C722" t="s">
        <v>74</v>
      </c>
      <c r="D722" t="s">
        <v>74</v>
      </c>
      <c r="E722" t="s">
        <v>74</v>
      </c>
      <c r="F722" t="s">
        <v>13480</v>
      </c>
      <c r="G722" t="s">
        <v>74</v>
      </c>
      <c r="H722" t="s">
        <v>74</v>
      </c>
      <c r="I722" t="s">
        <v>13481</v>
      </c>
      <c r="J722" t="s">
        <v>1226</v>
      </c>
      <c r="K722" t="s">
        <v>74</v>
      </c>
      <c r="L722" t="s">
        <v>74</v>
      </c>
      <c r="M722" t="s">
        <v>78</v>
      </c>
      <c r="N722" t="s">
        <v>79</v>
      </c>
      <c r="O722" t="s">
        <v>74</v>
      </c>
      <c r="P722" t="s">
        <v>74</v>
      </c>
      <c r="Q722" t="s">
        <v>74</v>
      </c>
      <c r="R722" t="s">
        <v>74</v>
      </c>
      <c r="S722" t="s">
        <v>74</v>
      </c>
      <c r="T722" t="s">
        <v>13482</v>
      </c>
      <c r="U722" t="s">
        <v>74</v>
      </c>
      <c r="V722" t="s">
        <v>13483</v>
      </c>
      <c r="W722" t="s">
        <v>13484</v>
      </c>
      <c r="X722" t="s">
        <v>74</v>
      </c>
      <c r="Y722" t="s">
        <v>13485</v>
      </c>
      <c r="Z722" t="s">
        <v>13486</v>
      </c>
      <c r="AA722" t="s">
        <v>74</v>
      </c>
      <c r="AB722" t="s">
        <v>74</v>
      </c>
      <c r="AC722" t="s">
        <v>74</v>
      </c>
      <c r="AD722" t="s">
        <v>74</v>
      </c>
      <c r="AE722" t="s">
        <v>74</v>
      </c>
      <c r="AF722" t="s">
        <v>74</v>
      </c>
      <c r="AG722">
        <v>13</v>
      </c>
      <c r="AH722">
        <v>0</v>
      </c>
      <c r="AI722">
        <v>0</v>
      </c>
      <c r="AJ722">
        <v>0</v>
      </c>
      <c r="AK722">
        <v>0</v>
      </c>
      <c r="AL722" t="s">
        <v>317</v>
      </c>
      <c r="AM722" t="s">
        <v>245</v>
      </c>
      <c r="AN722" t="s">
        <v>318</v>
      </c>
      <c r="AO722" t="s">
        <v>74</v>
      </c>
      <c r="AP722" t="s">
        <v>1232</v>
      </c>
      <c r="AQ722" t="s">
        <v>74</v>
      </c>
      <c r="AR722" t="s">
        <v>1233</v>
      </c>
      <c r="AS722" t="s">
        <v>1234</v>
      </c>
      <c r="AT722" t="s">
        <v>13122</v>
      </c>
      <c r="AU722">
        <v>2023</v>
      </c>
      <c r="AV722">
        <v>15</v>
      </c>
      <c r="AW722">
        <v>8</v>
      </c>
      <c r="AX722" t="s">
        <v>74</v>
      </c>
      <c r="AY722" t="s">
        <v>74</v>
      </c>
      <c r="AZ722" t="s">
        <v>74</v>
      </c>
      <c r="BA722" t="s">
        <v>74</v>
      </c>
      <c r="BB722" t="s">
        <v>74</v>
      </c>
      <c r="BC722" t="s">
        <v>74</v>
      </c>
      <c r="BD722" t="s">
        <v>13487</v>
      </c>
      <c r="BE722" t="s">
        <v>13488</v>
      </c>
      <c r="BF722" t="str">
        <f>HYPERLINK("http://dx.doi.org/10.7759/cureus.44017","http://dx.doi.org/10.7759/cureus.44017")</f>
        <v>http://dx.doi.org/10.7759/cureus.44017</v>
      </c>
      <c r="BG722" t="s">
        <v>74</v>
      </c>
      <c r="BH722" t="s">
        <v>74</v>
      </c>
      <c r="BI722">
        <v>4</v>
      </c>
      <c r="BJ722" t="s">
        <v>1238</v>
      </c>
      <c r="BK722" t="s">
        <v>97</v>
      </c>
      <c r="BL722" t="s">
        <v>1239</v>
      </c>
      <c r="BM722" t="s">
        <v>13489</v>
      </c>
      <c r="BN722">
        <v>37746468</v>
      </c>
      <c r="BO722" t="s">
        <v>302</v>
      </c>
      <c r="BP722" t="s">
        <v>74</v>
      </c>
      <c r="BQ722" t="s">
        <v>74</v>
      </c>
      <c r="BR722" t="s">
        <v>99</v>
      </c>
      <c r="BS722" t="s">
        <v>13490</v>
      </c>
      <c r="BT722" t="str">
        <f>HYPERLINK("https%3A%2F%2Fwww.webofscience.com%2Fwos%2Fwoscc%2Ffull-record%2FWOS:001062130300024","View Full Record in Web of Science")</f>
        <v>View Full Record in Web of Science</v>
      </c>
    </row>
    <row r="723" spans="1:72" x14ac:dyDescent="0.15">
      <c r="A723" t="s">
        <v>72</v>
      </c>
      <c r="B723" t="s">
        <v>13491</v>
      </c>
      <c r="C723" t="s">
        <v>74</v>
      </c>
      <c r="D723" t="s">
        <v>74</v>
      </c>
      <c r="E723" t="s">
        <v>74</v>
      </c>
      <c r="F723" t="s">
        <v>13492</v>
      </c>
      <c r="G723" t="s">
        <v>74</v>
      </c>
      <c r="H723" t="s">
        <v>74</v>
      </c>
      <c r="I723" t="s">
        <v>13493</v>
      </c>
      <c r="J723" t="s">
        <v>5375</v>
      </c>
      <c r="K723" t="s">
        <v>74</v>
      </c>
      <c r="L723" t="s">
        <v>74</v>
      </c>
      <c r="M723" t="s">
        <v>78</v>
      </c>
      <c r="N723" t="s">
        <v>1246</v>
      </c>
      <c r="O723" t="s">
        <v>74</v>
      </c>
      <c r="P723" t="s">
        <v>74</v>
      </c>
      <c r="Q723" t="s">
        <v>74</v>
      </c>
      <c r="R723" t="s">
        <v>74</v>
      </c>
      <c r="S723" t="s">
        <v>74</v>
      </c>
      <c r="T723" t="s">
        <v>13494</v>
      </c>
      <c r="U723" t="s">
        <v>13495</v>
      </c>
      <c r="V723" t="s">
        <v>13496</v>
      </c>
      <c r="W723" t="s">
        <v>13497</v>
      </c>
      <c r="X723" t="s">
        <v>13498</v>
      </c>
      <c r="Y723" t="s">
        <v>13499</v>
      </c>
      <c r="Z723" t="s">
        <v>13500</v>
      </c>
      <c r="AA723" t="s">
        <v>74</v>
      </c>
      <c r="AB723" t="s">
        <v>74</v>
      </c>
      <c r="AC723" t="s">
        <v>74</v>
      </c>
      <c r="AD723" t="s">
        <v>74</v>
      </c>
      <c r="AE723" t="s">
        <v>74</v>
      </c>
      <c r="AF723" t="s">
        <v>74</v>
      </c>
      <c r="AG723">
        <v>50</v>
      </c>
      <c r="AH723">
        <v>0</v>
      </c>
      <c r="AI723">
        <v>0</v>
      </c>
      <c r="AJ723">
        <v>0</v>
      </c>
      <c r="AK723">
        <v>0</v>
      </c>
      <c r="AL723" t="s">
        <v>244</v>
      </c>
      <c r="AM723" t="s">
        <v>245</v>
      </c>
      <c r="AN723" t="s">
        <v>246</v>
      </c>
      <c r="AO723" t="s">
        <v>5385</v>
      </c>
      <c r="AP723" t="s">
        <v>5386</v>
      </c>
      <c r="AQ723" t="s">
        <v>74</v>
      </c>
      <c r="AR723" t="s">
        <v>5387</v>
      </c>
      <c r="AS723" t="s">
        <v>5388</v>
      </c>
      <c r="AT723" t="s">
        <v>13143</v>
      </c>
      <c r="AU723">
        <v>2023</v>
      </c>
      <c r="AV723" t="s">
        <v>74</v>
      </c>
      <c r="AW723" t="s">
        <v>74</v>
      </c>
      <c r="AX723" t="s">
        <v>74</v>
      </c>
      <c r="AY723" t="s">
        <v>74</v>
      </c>
      <c r="AZ723" t="s">
        <v>74</v>
      </c>
      <c r="BA723" t="s">
        <v>74</v>
      </c>
      <c r="BB723" t="s">
        <v>74</v>
      </c>
      <c r="BC723" t="s">
        <v>74</v>
      </c>
      <c r="BD723" t="s">
        <v>74</v>
      </c>
      <c r="BE723" t="s">
        <v>13501</v>
      </c>
      <c r="BF723" t="str">
        <f>HYPERLINK("http://dx.doi.org/10.1007/s00521-023-08821-5","http://dx.doi.org/10.1007/s00521-023-08821-5")</f>
        <v>http://dx.doi.org/10.1007/s00521-023-08821-5</v>
      </c>
      <c r="BG723" t="s">
        <v>74</v>
      </c>
      <c r="BH723" t="s">
        <v>10650</v>
      </c>
      <c r="BI723">
        <v>16</v>
      </c>
      <c r="BJ723" t="s">
        <v>5390</v>
      </c>
      <c r="BK723" t="s">
        <v>126</v>
      </c>
      <c r="BL723" t="s">
        <v>1139</v>
      </c>
      <c r="BM723" t="s">
        <v>13502</v>
      </c>
      <c r="BN723" t="s">
        <v>74</v>
      </c>
      <c r="BO723" t="s">
        <v>74</v>
      </c>
      <c r="BP723" t="s">
        <v>74</v>
      </c>
      <c r="BQ723" t="s">
        <v>74</v>
      </c>
      <c r="BR723" t="s">
        <v>99</v>
      </c>
      <c r="BS723" t="s">
        <v>13503</v>
      </c>
      <c r="BT723" t="str">
        <f>HYPERLINK("https%3A%2F%2Fwww.webofscience.com%2Fwos%2Fwoscc%2Ffull-record%2FWOS:001060146700001","View Full Record in Web of Science")</f>
        <v>View Full Record in Web of Science</v>
      </c>
    </row>
    <row r="724" spans="1:72" x14ac:dyDescent="0.15">
      <c r="A724" t="s">
        <v>72</v>
      </c>
      <c r="B724" t="s">
        <v>13504</v>
      </c>
      <c r="C724" t="s">
        <v>74</v>
      </c>
      <c r="D724" t="s">
        <v>74</v>
      </c>
      <c r="E724" t="s">
        <v>74</v>
      </c>
      <c r="F724" t="s">
        <v>13505</v>
      </c>
      <c r="G724" t="s">
        <v>74</v>
      </c>
      <c r="H724" t="s">
        <v>74</v>
      </c>
      <c r="I724" t="s">
        <v>13506</v>
      </c>
      <c r="J724" t="s">
        <v>1226</v>
      </c>
      <c r="K724" t="s">
        <v>74</v>
      </c>
      <c r="L724" t="s">
        <v>74</v>
      </c>
      <c r="M724" t="s">
        <v>78</v>
      </c>
      <c r="N724" t="s">
        <v>79</v>
      </c>
      <c r="O724" t="s">
        <v>74</v>
      </c>
      <c r="P724" t="s">
        <v>74</v>
      </c>
      <c r="Q724" t="s">
        <v>74</v>
      </c>
      <c r="R724" t="s">
        <v>74</v>
      </c>
      <c r="S724" t="s">
        <v>74</v>
      </c>
      <c r="T724" t="s">
        <v>13507</v>
      </c>
      <c r="U724" t="s">
        <v>13508</v>
      </c>
      <c r="V724" t="s">
        <v>13509</v>
      </c>
      <c r="W724" t="s">
        <v>13510</v>
      </c>
      <c r="X724" t="s">
        <v>13511</v>
      </c>
      <c r="Y724" t="s">
        <v>13512</v>
      </c>
      <c r="Z724" t="s">
        <v>13513</v>
      </c>
      <c r="AA724" t="s">
        <v>74</v>
      </c>
      <c r="AB724" t="s">
        <v>74</v>
      </c>
      <c r="AC724" t="s">
        <v>74</v>
      </c>
      <c r="AD724" t="s">
        <v>74</v>
      </c>
      <c r="AE724" t="s">
        <v>74</v>
      </c>
      <c r="AF724" t="s">
        <v>74</v>
      </c>
      <c r="AG724">
        <v>17</v>
      </c>
      <c r="AH724">
        <v>0</v>
      </c>
      <c r="AI724">
        <v>0</v>
      </c>
      <c r="AJ724">
        <v>0</v>
      </c>
      <c r="AK724">
        <v>0</v>
      </c>
      <c r="AL724" t="s">
        <v>317</v>
      </c>
      <c r="AM724" t="s">
        <v>245</v>
      </c>
      <c r="AN724" t="s">
        <v>318</v>
      </c>
      <c r="AO724" t="s">
        <v>74</v>
      </c>
      <c r="AP724" t="s">
        <v>1232</v>
      </c>
      <c r="AQ724" t="s">
        <v>74</v>
      </c>
      <c r="AR724" t="s">
        <v>1233</v>
      </c>
      <c r="AS724" t="s">
        <v>1234</v>
      </c>
      <c r="AT724" t="s">
        <v>13122</v>
      </c>
      <c r="AU724">
        <v>2023</v>
      </c>
      <c r="AV724">
        <v>15</v>
      </c>
      <c r="AW724">
        <v>8</v>
      </c>
      <c r="AX724" t="s">
        <v>74</v>
      </c>
      <c r="AY724" t="s">
        <v>74</v>
      </c>
      <c r="AZ724" t="s">
        <v>74</v>
      </c>
      <c r="BA724" t="s">
        <v>74</v>
      </c>
      <c r="BB724" t="s">
        <v>74</v>
      </c>
      <c r="BC724" t="s">
        <v>74</v>
      </c>
      <c r="BD724" t="s">
        <v>13514</v>
      </c>
      <c r="BE724" t="s">
        <v>13515</v>
      </c>
      <c r="BF724" t="str">
        <f>HYPERLINK("http://dx.doi.org/10.7759/cureus.44030","http://dx.doi.org/10.7759/cureus.44030")</f>
        <v>http://dx.doi.org/10.7759/cureus.44030</v>
      </c>
      <c r="BG724" t="s">
        <v>74</v>
      </c>
      <c r="BH724" t="s">
        <v>74</v>
      </c>
      <c r="BI724">
        <v>9</v>
      </c>
      <c r="BJ724" t="s">
        <v>1238</v>
      </c>
      <c r="BK724" t="s">
        <v>97</v>
      </c>
      <c r="BL724" t="s">
        <v>1239</v>
      </c>
      <c r="BM724" t="s">
        <v>13489</v>
      </c>
      <c r="BN724">
        <v>37746491</v>
      </c>
      <c r="BO724" t="s">
        <v>302</v>
      </c>
      <c r="BP724" t="s">
        <v>74</v>
      </c>
      <c r="BQ724" t="s">
        <v>74</v>
      </c>
      <c r="BR724" t="s">
        <v>99</v>
      </c>
      <c r="BS724" t="s">
        <v>13516</v>
      </c>
      <c r="BT724" t="str">
        <f>HYPERLINK("https%3A%2F%2Fwww.webofscience.com%2Fwos%2Fwoscc%2Ffull-record%2FWOS:001062130300001","View Full Record in Web of Science")</f>
        <v>View Full Record in Web of Science</v>
      </c>
    </row>
    <row r="725" spans="1:72" x14ac:dyDescent="0.15">
      <c r="A725" t="s">
        <v>72</v>
      </c>
      <c r="B725" t="s">
        <v>13517</v>
      </c>
      <c r="C725" t="s">
        <v>74</v>
      </c>
      <c r="D725" t="s">
        <v>74</v>
      </c>
      <c r="E725" t="s">
        <v>74</v>
      </c>
      <c r="F725" t="s">
        <v>13518</v>
      </c>
      <c r="G725" t="s">
        <v>74</v>
      </c>
      <c r="H725" t="s">
        <v>74</v>
      </c>
      <c r="I725" t="s">
        <v>13519</v>
      </c>
      <c r="J725" t="s">
        <v>13520</v>
      </c>
      <c r="K725" t="s">
        <v>74</v>
      </c>
      <c r="L725" t="s">
        <v>74</v>
      </c>
      <c r="M725" t="s">
        <v>78</v>
      </c>
      <c r="N725" t="s">
        <v>79</v>
      </c>
      <c r="O725" t="s">
        <v>74</v>
      </c>
      <c r="P725" t="s">
        <v>74</v>
      </c>
      <c r="Q725" t="s">
        <v>74</v>
      </c>
      <c r="R725" t="s">
        <v>74</v>
      </c>
      <c r="S725" t="s">
        <v>74</v>
      </c>
      <c r="T725" t="s">
        <v>13521</v>
      </c>
      <c r="U725" t="s">
        <v>13522</v>
      </c>
      <c r="V725" t="s">
        <v>13523</v>
      </c>
      <c r="W725" t="s">
        <v>13524</v>
      </c>
      <c r="X725" t="s">
        <v>13525</v>
      </c>
      <c r="Y725" t="s">
        <v>13526</v>
      </c>
      <c r="Z725" t="s">
        <v>13527</v>
      </c>
      <c r="AA725" t="s">
        <v>74</v>
      </c>
      <c r="AB725" t="s">
        <v>74</v>
      </c>
      <c r="AC725" t="s">
        <v>13528</v>
      </c>
      <c r="AD725" t="s">
        <v>13528</v>
      </c>
      <c r="AE725" t="s">
        <v>13529</v>
      </c>
      <c r="AF725" t="s">
        <v>74</v>
      </c>
      <c r="AG725">
        <v>43</v>
      </c>
      <c r="AH725">
        <v>0</v>
      </c>
      <c r="AI725">
        <v>0</v>
      </c>
      <c r="AJ725">
        <v>1</v>
      </c>
      <c r="AK725">
        <v>1</v>
      </c>
      <c r="AL725" t="s">
        <v>443</v>
      </c>
      <c r="AM725" t="s">
        <v>245</v>
      </c>
      <c r="AN725" t="s">
        <v>444</v>
      </c>
      <c r="AO725" t="s">
        <v>13530</v>
      </c>
      <c r="AP725" t="s">
        <v>13531</v>
      </c>
      <c r="AQ725" t="s">
        <v>74</v>
      </c>
      <c r="AR725" t="s">
        <v>13532</v>
      </c>
      <c r="AS725" t="s">
        <v>13533</v>
      </c>
      <c r="AT725" t="s">
        <v>13122</v>
      </c>
      <c r="AU725">
        <v>2023</v>
      </c>
      <c r="AV725">
        <v>81</v>
      </c>
      <c r="AW725">
        <v>1</v>
      </c>
      <c r="AX725" t="s">
        <v>74</v>
      </c>
      <c r="AY725" t="s">
        <v>74</v>
      </c>
      <c r="AZ725" t="s">
        <v>74</v>
      </c>
      <c r="BA725" t="s">
        <v>74</v>
      </c>
      <c r="BB725" t="s">
        <v>74</v>
      </c>
      <c r="BC725" t="s">
        <v>74</v>
      </c>
      <c r="BD725">
        <v>158</v>
      </c>
      <c r="BE725" t="s">
        <v>13534</v>
      </c>
      <c r="BF725" t="str">
        <f>HYPERLINK("http://dx.doi.org/10.1186/s13690-023-01171-7","http://dx.doi.org/10.1186/s13690-023-01171-7")</f>
        <v>http://dx.doi.org/10.1186/s13690-023-01171-7</v>
      </c>
      <c r="BG725" t="s">
        <v>74</v>
      </c>
      <c r="BH725" t="s">
        <v>74</v>
      </c>
      <c r="BI725">
        <v>10</v>
      </c>
      <c r="BJ725" t="s">
        <v>2744</v>
      </c>
      <c r="BK725" t="s">
        <v>2431</v>
      </c>
      <c r="BL725" t="s">
        <v>2744</v>
      </c>
      <c r="BM725" t="s">
        <v>13535</v>
      </c>
      <c r="BN725">
        <v>37620877</v>
      </c>
      <c r="BO725" t="s">
        <v>302</v>
      </c>
      <c r="BP725" t="s">
        <v>74</v>
      </c>
      <c r="BQ725" t="s">
        <v>74</v>
      </c>
      <c r="BR725" t="s">
        <v>99</v>
      </c>
      <c r="BS725" t="s">
        <v>13536</v>
      </c>
      <c r="BT725" t="str">
        <f>HYPERLINK("https%3A%2F%2Fwww.webofscience.com%2Fwos%2Fwoscc%2Ffull-record%2FWOS:001054421700003","View Full Record in Web of Science")</f>
        <v>View Full Record in Web of Science</v>
      </c>
    </row>
    <row r="726" spans="1:72" x14ac:dyDescent="0.15">
      <c r="A726" t="s">
        <v>72</v>
      </c>
      <c r="B726" t="s">
        <v>13537</v>
      </c>
      <c r="C726" t="s">
        <v>74</v>
      </c>
      <c r="D726" t="s">
        <v>74</v>
      </c>
      <c r="E726" t="s">
        <v>74</v>
      </c>
      <c r="F726" t="s">
        <v>13538</v>
      </c>
      <c r="G726" t="s">
        <v>74</v>
      </c>
      <c r="H726" t="s">
        <v>74</v>
      </c>
      <c r="I726" t="s">
        <v>13539</v>
      </c>
      <c r="J726" t="s">
        <v>2415</v>
      </c>
      <c r="K726" t="s">
        <v>74</v>
      </c>
      <c r="L726" t="s">
        <v>74</v>
      </c>
      <c r="M726" t="s">
        <v>78</v>
      </c>
      <c r="N726" t="s">
        <v>79</v>
      </c>
      <c r="O726" t="s">
        <v>74</v>
      </c>
      <c r="P726" t="s">
        <v>74</v>
      </c>
      <c r="Q726" t="s">
        <v>74</v>
      </c>
      <c r="R726" t="s">
        <v>74</v>
      </c>
      <c r="S726" t="s">
        <v>74</v>
      </c>
      <c r="T726" t="s">
        <v>13540</v>
      </c>
      <c r="U726" t="s">
        <v>13541</v>
      </c>
      <c r="V726" t="s">
        <v>13542</v>
      </c>
      <c r="W726" t="s">
        <v>13543</v>
      </c>
      <c r="X726" t="s">
        <v>13544</v>
      </c>
      <c r="Y726" t="s">
        <v>13545</v>
      </c>
      <c r="Z726" t="s">
        <v>13546</v>
      </c>
      <c r="AA726" t="s">
        <v>74</v>
      </c>
      <c r="AB726" t="s">
        <v>13547</v>
      </c>
      <c r="AC726" t="s">
        <v>13548</v>
      </c>
      <c r="AD726" t="s">
        <v>13549</v>
      </c>
      <c r="AE726" t="s">
        <v>13550</v>
      </c>
      <c r="AF726" t="s">
        <v>74</v>
      </c>
      <c r="AG726">
        <v>91</v>
      </c>
      <c r="AH726">
        <v>0</v>
      </c>
      <c r="AI726">
        <v>0</v>
      </c>
      <c r="AJ726">
        <v>0</v>
      </c>
      <c r="AK726">
        <v>0</v>
      </c>
      <c r="AL726" t="s">
        <v>443</v>
      </c>
      <c r="AM726" t="s">
        <v>245</v>
      </c>
      <c r="AN726" t="s">
        <v>444</v>
      </c>
      <c r="AO726" t="s">
        <v>74</v>
      </c>
      <c r="AP726" t="s">
        <v>2425</v>
      </c>
      <c r="AQ726" t="s">
        <v>74</v>
      </c>
      <c r="AR726" t="s">
        <v>2426</v>
      </c>
      <c r="AS726" t="s">
        <v>2427</v>
      </c>
      <c r="AT726" t="s">
        <v>13122</v>
      </c>
      <c r="AU726">
        <v>2023</v>
      </c>
      <c r="AV726">
        <v>23</v>
      </c>
      <c r="AW726">
        <v>1</v>
      </c>
      <c r="AX726" t="s">
        <v>74</v>
      </c>
      <c r="AY726" t="s">
        <v>74</v>
      </c>
      <c r="AZ726" t="s">
        <v>74</v>
      </c>
      <c r="BA726" t="s">
        <v>74</v>
      </c>
      <c r="BB726" t="s">
        <v>74</v>
      </c>
      <c r="BC726" t="s">
        <v>74</v>
      </c>
      <c r="BD726">
        <v>512</v>
      </c>
      <c r="BE726" t="s">
        <v>13551</v>
      </c>
      <c r="BF726" t="str">
        <f>HYPERLINK("http://dx.doi.org/10.1186/s12877-023-04216-2","http://dx.doi.org/10.1186/s12877-023-04216-2")</f>
        <v>http://dx.doi.org/10.1186/s12877-023-04216-2</v>
      </c>
      <c r="BG726" t="s">
        <v>74</v>
      </c>
      <c r="BH726" t="s">
        <v>74</v>
      </c>
      <c r="BI726">
        <v>22</v>
      </c>
      <c r="BJ726" t="s">
        <v>2430</v>
      </c>
      <c r="BK726" t="s">
        <v>2431</v>
      </c>
      <c r="BL726" t="s">
        <v>672</v>
      </c>
      <c r="BM726" t="s">
        <v>13552</v>
      </c>
      <c r="BN726">
        <v>37620838</v>
      </c>
      <c r="BO726" t="s">
        <v>302</v>
      </c>
      <c r="BP726" t="s">
        <v>74</v>
      </c>
      <c r="BQ726" t="s">
        <v>74</v>
      </c>
      <c r="BR726" t="s">
        <v>99</v>
      </c>
      <c r="BS726" t="s">
        <v>13553</v>
      </c>
      <c r="BT726" t="str">
        <f>HYPERLINK("https%3A%2F%2Fwww.webofscience.com%2Fwos%2Fwoscc%2Ffull-record%2FWOS:001054262000001","View Full Record in Web of Science")</f>
        <v>View Full Record in Web of Science</v>
      </c>
    </row>
    <row r="727" spans="1:72" x14ac:dyDescent="0.15">
      <c r="A727" t="s">
        <v>72</v>
      </c>
      <c r="B727" t="s">
        <v>13554</v>
      </c>
      <c r="C727" t="s">
        <v>74</v>
      </c>
      <c r="D727" t="s">
        <v>74</v>
      </c>
      <c r="E727" t="s">
        <v>74</v>
      </c>
      <c r="F727" t="s">
        <v>13555</v>
      </c>
      <c r="G727" t="s">
        <v>74</v>
      </c>
      <c r="H727" t="s">
        <v>74</v>
      </c>
      <c r="I727" t="s">
        <v>13556</v>
      </c>
      <c r="J727" t="s">
        <v>13557</v>
      </c>
      <c r="K727" t="s">
        <v>74</v>
      </c>
      <c r="L727" t="s">
        <v>74</v>
      </c>
      <c r="M727" t="s">
        <v>78</v>
      </c>
      <c r="N727" t="s">
        <v>1246</v>
      </c>
      <c r="O727" t="s">
        <v>74</v>
      </c>
      <c r="P727" t="s">
        <v>74</v>
      </c>
      <c r="Q727" t="s">
        <v>74</v>
      </c>
      <c r="R727" t="s">
        <v>74</v>
      </c>
      <c r="S727" t="s">
        <v>74</v>
      </c>
      <c r="T727" t="s">
        <v>13558</v>
      </c>
      <c r="U727" t="s">
        <v>13559</v>
      </c>
      <c r="V727" t="s">
        <v>13560</v>
      </c>
      <c r="W727" t="s">
        <v>13561</v>
      </c>
      <c r="X727" t="s">
        <v>13562</v>
      </c>
      <c r="Y727" t="s">
        <v>13563</v>
      </c>
      <c r="Z727" t="s">
        <v>13564</v>
      </c>
      <c r="AA727" t="s">
        <v>74</v>
      </c>
      <c r="AB727" t="s">
        <v>74</v>
      </c>
      <c r="AC727" t="s">
        <v>13565</v>
      </c>
      <c r="AD727" t="s">
        <v>13566</v>
      </c>
      <c r="AE727" t="s">
        <v>13567</v>
      </c>
      <c r="AF727" t="s">
        <v>74</v>
      </c>
      <c r="AG727">
        <v>26</v>
      </c>
      <c r="AH727">
        <v>0</v>
      </c>
      <c r="AI727">
        <v>0</v>
      </c>
      <c r="AJ727">
        <v>0</v>
      </c>
      <c r="AK727">
        <v>0</v>
      </c>
      <c r="AL727" t="s">
        <v>172</v>
      </c>
      <c r="AM727" t="s">
        <v>173</v>
      </c>
      <c r="AN727" t="s">
        <v>174</v>
      </c>
      <c r="AO727" t="s">
        <v>13568</v>
      </c>
      <c r="AP727" t="s">
        <v>13569</v>
      </c>
      <c r="AQ727" t="s">
        <v>74</v>
      </c>
      <c r="AR727" t="s">
        <v>13570</v>
      </c>
      <c r="AS727" t="s">
        <v>13571</v>
      </c>
      <c r="AT727" t="s">
        <v>13143</v>
      </c>
      <c r="AU727">
        <v>2023</v>
      </c>
      <c r="AV727" t="s">
        <v>74</v>
      </c>
      <c r="AW727" t="s">
        <v>74</v>
      </c>
      <c r="AX727" t="s">
        <v>74</v>
      </c>
      <c r="AY727" t="s">
        <v>74</v>
      </c>
      <c r="AZ727" t="s">
        <v>74</v>
      </c>
      <c r="BA727" t="s">
        <v>74</v>
      </c>
      <c r="BB727" t="s">
        <v>74</v>
      </c>
      <c r="BC727" t="s">
        <v>74</v>
      </c>
      <c r="BD727" t="s">
        <v>74</v>
      </c>
      <c r="BE727" t="s">
        <v>13572</v>
      </c>
      <c r="BF727" t="str">
        <f>HYPERLINK("http://dx.doi.org/10.1007/s11517-023-02907","http://dx.doi.org/10.1007/s11517-023-02907")</f>
        <v>http://dx.doi.org/10.1007/s11517-023-02907</v>
      </c>
      <c r="BG727" t="s">
        <v>74</v>
      </c>
      <c r="BH727" t="s">
        <v>10650</v>
      </c>
      <c r="BI727">
        <v>18</v>
      </c>
      <c r="BJ727" t="s">
        <v>13573</v>
      </c>
      <c r="BK727" t="s">
        <v>126</v>
      </c>
      <c r="BL727" t="s">
        <v>13574</v>
      </c>
      <c r="BM727" t="s">
        <v>13575</v>
      </c>
      <c r="BN727" t="s">
        <v>74</v>
      </c>
      <c r="BO727" t="s">
        <v>74</v>
      </c>
      <c r="BP727" t="s">
        <v>74</v>
      </c>
      <c r="BQ727" t="s">
        <v>74</v>
      </c>
      <c r="BR727" t="s">
        <v>99</v>
      </c>
      <c r="BS727" t="s">
        <v>13576</v>
      </c>
      <c r="BT727" t="str">
        <f>HYPERLINK("https%3A%2F%2Fwww.webofscience.com%2Fwos%2Fwoscc%2Ffull-record%2FWOS:001060124600002","View Full Record in Web of Science")</f>
        <v>View Full Record in Web of Science</v>
      </c>
    </row>
    <row r="728" spans="1:72" x14ac:dyDescent="0.15">
      <c r="A728" t="s">
        <v>72</v>
      </c>
      <c r="B728" t="s">
        <v>13577</v>
      </c>
      <c r="C728" t="s">
        <v>74</v>
      </c>
      <c r="D728" t="s">
        <v>74</v>
      </c>
      <c r="E728" t="s">
        <v>74</v>
      </c>
      <c r="F728" t="s">
        <v>13578</v>
      </c>
      <c r="G728" t="s">
        <v>74</v>
      </c>
      <c r="H728" t="s">
        <v>74</v>
      </c>
      <c r="I728" t="s">
        <v>13579</v>
      </c>
      <c r="J728" t="s">
        <v>13580</v>
      </c>
      <c r="K728" t="s">
        <v>74</v>
      </c>
      <c r="L728" t="s">
        <v>74</v>
      </c>
      <c r="M728" t="s">
        <v>78</v>
      </c>
      <c r="N728" t="s">
        <v>1246</v>
      </c>
      <c r="O728" t="s">
        <v>74</v>
      </c>
      <c r="P728" t="s">
        <v>74</v>
      </c>
      <c r="Q728" t="s">
        <v>74</v>
      </c>
      <c r="R728" t="s">
        <v>74</v>
      </c>
      <c r="S728" t="s">
        <v>74</v>
      </c>
      <c r="T728" t="s">
        <v>13581</v>
      </c>
      <c r="U728" t="s">
        <v>13582</v>
      </c>
      <c r="V728" t="s">
        <v>13583</v>
      </c>
      <c r="W728" t="s">
        <v>13584</v>
      </c>
      <c r="X728" t="s">
        <v>13585</v>
      </c>
      <c r="Y728" t="s">
        <v>13586</v>
      </c>
      <c r="Z728" t="s">
        <v>13587</v>
      </c>
      <c r="AA728" t="s">
        <v>74</v>
      </c>
      <c r="AB728" t="s">
        <v>74</v>
      </c>
      <c r="AC728" t="s">
        <v>13588</v>
      </c>
      <c r="AD728" t="s">
        <v>13588</v>
      </c>
      <c r="AE728" t="s">
        <v>13589</v>
      </c>
      <c r="AF728" t="s">
        <v>74</v>
      </c>
      <c r="AG728">
        <v>41</v>
      </c>
      <c r="AH728">
        <v>0</v>
      </c>
      <c r="AI728">
        <v>0</v>
      </c>
      <c r="AJ728">
        <v>0</v>
      </c>
      <c r="AK728">
        <v>0</v>
      </c>
      <c r="AL728" t="s">
        <v>269</v>
      </c>
      <c r="AM728" t="s">
        <v>118</v>
      </c>
      <c r="AN728" t="s">
        <v>270</v>
      </c>
      <c r="AO728" t="s">
        <v>13590</v>
      </c>
      <c r="AP728" t="s">
        <v>13591</v>
      </c>
      <c r="AQ728" t="s">
        <v>74</v>
      </c>
      <c r="AR728" t="s">
        <v>13592</v>
      </c>
      <c r="AS728" t="s">
        <v>13593</v>
      </c>
      <c r="AT728" t="s">
        <v>13594</v>
      </c>
      <c r="AU728">
        <v>2023</v>
      </c>
      <c r="AV728" t="s">
        <v>74</v>
      </c>
      <c r="AW728" t="s">
        <v>74</v>
      </c>
      <c r="AX728" t="s">
        <v>74</v>
      </c>
      <c r="AY728" t="s">
        <v>74</v>
      </c>
      <c r="AZ728" t="s">
        <v>74</v>
      </c>
      <c r="BA728" t="s">
        <v>74</v>
      </c>
      <c r="BB728" t="s">
        <v>74</v>
      </c>
      <c r="BC728" t="s">
        <v>74</v>
      </c>
      <c r="BD728" t="s">
        <v>74</v>
      </c>
      <c r="BE728" t="s">
        <v>13595</v>
      </c>
      <c r="BF728" t="str">
        <f>HYPERLINK("http://dx.doi.org/10.1007/s10862-023-10079-z","http://dx.doi.org/10.1007/s10862-023-10079-z")</f>
        <v>http://dx.doi.org/10.1007/s10862-023-10079-z</v>
      </c>
      <c r="BG728" t="s">
        <v>74</v>
      </c>
      <c r="BH728" t="s">
        <v>10650</v>
      </c>
      <c r="BI728">
        <v>8</v>
      </c>
      <c r="BJ728" t="s">
        <v>9325</v>
      </c>
      <c r="BK728" t="s">
        <v>425</v>
      </c>
      <c r="BL728" t="s">
        <v>2907</v>
      </c>
      <c r="BM728" t="s">
        <v>13596</v>
      </c>
      <c r="BN728" t="s">
        <v>74</v>
      </c>
      <c r="BO728" t="s">
        <v>74</v>
      </c>
      <c r="BP728" t="s">
        <v>74</v>
      </c>
      <c r="BQ728" t="s">
        <v>74</v>
      </c>
      <c r="BR728" t="s">
        <v>99</v>
      </c>
      <c r="BS728" t="s">
        <v>13597</v>
      </c>
      <c r="BT728" t="str">
        <f>HYPERLINK("https%3A%2F%2Fwww.webofscience.com%2Fwos%2Fwoscc%2Ffull-record%2FWOS:001052454500001","View Full Record in Web of Science")</f>
        <v>View Full Record in Web of Science</v>
      </c>
    </row>
    <row r="729" spans="1:72" x14ac:dyDescent="0.15">
      <c r="A729" t="s">
        <v>72</v>
      </c>
      <c r="B729" t="s">
        <v>13598</v>
      </c>
      <c r="C729" t="s">
        <v>74</v>
      </c>
      <c r="D729" t="s">
        <v>74</v>
      </c>
      <c r="E729" t="s">
        <v>74</v>
      </c>
      <c r="F729" t="s">
        <v>13599</v>
      </c>
      <c r="G729" t="s">
        <v>74</v>
      </c>
      <c r="H729" t="s">
        <v>74</v>
      </c>
      <c r="I729" t="s">
        <v>13600</v>
      </c>
      <c r="J729" t="s">
        <v>13601</v>
      </c>
      <c r="K729" t="s">
        <v>74</v>
      </c>
      <c r="L729" t="s">
        <v>74</v>
      </c>
      <c r="M729" t="s">
        <v>78</v>
      </c>
      <c r="N729" t="s">
        <v>2174</v>
      </c>
      <c r="O729" t="s">
        <v>74</v>
      </c>
      <c r="P729" t="s">
        <v>74</v>
      </c>
      <c r="Q729" t="s">
        <v>74</v>
      </c>
      <c r="R729" t="s">
        <v>74</v>
      </c>
      <c r="S729" t="s">
        <v>74</v>
      </c>
      <c r="T729" t="s">
        <v>13602</v>
      </c>
      <c r="U729" t="s">
        <v>13603</v>
      </c>
      <c r="V729" t="s">
        <v>13604</v>
      </c>
      <c r="W729" t="s">
        <v>13605</v>
      </c>
      <c r="X729" t="s">
        <v>13606</v>
      </c>
      <c r="Y729" t="s">
        <v>13607</v>
      </c>
      <c r="Z729" t="s">
        <v>13608</v>
      </c>
      <c r="AA729" t="s">
        <v>74</v>
      </c>
      <c r="AB729" t="s">
        <v>74</v>
      </c>
      <c r="AC729" t="s">
        <v>74</v>
      </c>
      <c r="AD729" t="s">
        <v>74</v>
      </c>
      <c r="AE729" t="s">
        <v>74</v>
      </c>
      <c r="AF729" t="s">
        <v>74</v>
      </c>
      <c r="AG729">
        <v>45</v>
      </c>
      <c r="AH729">
        <v>0</v>
      </c>
      <c r="AI729">
        <v>0</v>
      </c>
      <c r="AJ729">
        <v>0</v>
      </c>
      <c r="AK729">
        <v>0</v>
      </c>
      <c r="AL729" t="s">
        <v>317</v>
      </c>
      <c r="AM729" t="s">
        <v>245</v>
      </c>
      <c r="AN729" t="s">
        <v>318</v>
      </c>
      <c r="AO729" t="s">
        <v>13609</v>
      </c>
      <c r="AP729" t="s">
        <v>13610</v>
      </c>
      <c r="AQ729" t="s">
        <v>74</v>
      </c>
      <c r="AR729" t="s">
        <v>13611</v>
      </c>
      <c r="AS729" t="s">
        <v>13612</v>
      </c>
      <c r="AT729" t="s">
        <v>13594</v>
      </c>
      <c r="AU729">
        <v>2023</v>
      </c>
      <c r="AV729" t="s">
        <v>74</v>
      </c>
      <c r="AW729" t="s">
        <v>74</v>
      </c>
      <c r="AX729" t="s">
        <v>74</v>
      </c>
      <c r="AY729" t="s">
        <v>74</v>
      </c>
      <c r="AZ729" t="s">
        <v>74</v>
      </c>
      <c r="BA729" t="s">
        <v>74</v>
      </c>
      <c r="BB729" t="s">
        <v>74</v>
      </c>
      <c r="BC729" t="s">
        <v>74</v>
      </c>
      <c r="BD729" t="s">
        <v>74</v>
      </c>
      <c r="BE729" t="s">
        <v>13613</v>
      </c>
      <c r="BF729" t="str">
        <f>HYPERLINK("http://dx.doi.org/10.1007/s41066-023-00402-0","http://dx.doi.org/10.1007/s41066-023-00402-0")</f>
        <v>http://dx.doi.org/10.1007/s41066-023-00402-0</v>
      </c>
      <c r="BG729" t="s">
        <v>74</v>
      </c>
      <c r="BH729" t="s">
        <v>10650</v>
      </c>
      <c r="BI729">
        <v>23</v>
      </c>
      <c r="BJ729" t="s">
        <v>3818</v>
      </c>
      <c r="BK729" t="s">
        <v>97</v>
      </c>
      <c r="BL729" t="s">
        <v>1139</v>
      </c>
      <c r="BM729" t="s">
        <v>13614</v>
      </c>
      <c r="BN729" t="s">
        <v>74</v>
      </c>
      <c r="BO729" t="s">
        <v>74</v>
      </c>
      <c r="BP729" t="s">
        <v>74</v>
      </c>
      <c r="BQ729" t="s">
        <v>74</v>
      </c>
      <c r="BR729" t="s">
        <v>99</v>
      </c>
      <c r="BS729" t="s">
        <v>13615</v>
      </c>
      <c r="BT729" t="str">
        <f>HYPERLINK("https%3A%2F%2Fwww.webofscience.com%2Fwos%2Fwoscc%2Ffull-record%2FWOS:001063513700002","View Full Record in Web of Science")</f>
        <v>View Full Record in Web of Science</v>
      </c>
    </row>
    <row r="730" spans="1:72" x14ac:dyDescent="0.15">
      <c r="A730" t="s">
        <v>72</v>
      </c>
      <c r="B730" t="s">
        <v>13616</v>
      </c>
      <c r="C730" t="s">
        <v>74</v>
      </c>
      <c r="D730" t="s">
        <v>74</v>
      </c>
      <c r="E730" t="s">
        <v>74</v>
      </c>
      <c r="F730" t="s">
        <v>13617</v>
      </c>
      <c r="G730" t="s">
        <v>74</v>
      </c>
      <c r="H730" t="s">
        <v>74</v>
      </c>
      <c r="I730" t="s">
        <v>13618</v>
      </c>
      <c r="J730" t="s">
        <v>13619</v>
      </c>
      <c r="K730" t="s">
        <v>74</v>
      </c>
      <c r="L730" t="s">
        <v>74</v>
      </c>
      <c r="M730" t="s">
        <v>78</v>
      </c>
      <c r="N730" t="s">
        <v>79</v>
      </c>
      <c r="O730" t="s">
        <v>74</v>
      </c>
      <c r="P730" t="s">
        <v>74</v>
      </c>
      <c r="Q730" t="s">
        <v>74</v>
      </c>
      <c r="R730" t="s">
        <v>74</v>
      </c>
      <c r="S730" t="s">
        <v>74</v>
      </c>
      <c r="T730" t="s">
        <v>13620</v>
      </c>
      <c r="U730" t="s">
        <v>13621</v>
      </c>
      <c r="V730" t="s">
        <v>13622</v>
      </c>
      <c r="W730" t="s">
        <v>13623</v>
      </c>
      <c r="X730" t="s">
        <v>13624</v>
      </c>
      <c r="Y730" t="s">
        <v>13625</v>
      </c>
      <c r="Z730" t="s">
        <v>13626</v>
      </c>
      <c r="AA730" t="s">
        <v>74</v>
      </c>
      <c r="AB730" t="s">
        <v>13627</v>
      </c>
      <c r="AC730" t="s">
        <v>74</v>
      </c>
      <c r="AD730" t="s">
        <v>74</v>
      </c>
      <c r="AE730" t="s">
        <v>74</v>
      </c>
      <c r="AF730" t="s">
        <v>74</v>
      </c>
      <c r="AG730">
        <v>19</v>
      </c>
      <c r="AH730">
        <v>0</v>
      </c>
      <c r="AI730">
        <v>0</v>
      </c>
      <c r="AJ730">
        <v>0</v>
      </c>
      <c r="AK730">
        <v>0</v>
      </c>
      <c r="AL730" t="s">
        <v>117</v>
      </c>
      <c r="AM730" t="s">
        <v>627</v>
      </c>
      <c r="AN730" t="s">
        <v>628</v>
      </c>
      <c r="AO730" t="s">
        <v>13628</v>
      </c>
      <c r="AP730" t="s">
        <v>13629</v>
      </c>
      <c r="AQ730" t="s">
        <v>74</v>
      </c>
      <c r="AR730" t="s">
        <v>13630</v>
      </c>
      <c r="AS730" t="s">
        <v>13631</v>
      </c>
      <c r="AT730" t="s">
        <v>13632</v>
      </c>
      <c r="AU730">
        <v>2023</v>
      </c>
      <c r="AV730" t="s">
        <v>74</v>
      </c>
      <c r="AW730" t="s">
        <v>74</v>
      </c>
      <c r="AX730" t="s">
        <v>74</v>
      </c>
      <c r="AY730" t="s">
        <v>74</v>
      </c>
      <c r="AZ730" t="s">
        <v>74</v>
      </c>
      <c r="BA730" t="s">
        <v>74</v>
      </c>
      <c r="BB730" t="s">
        <v>74</v>
      </c>
      <c r="BC730" t="s">
        <v>74</v>
      </c>
      <c r="BD730" t="s">
        <v>13633</v>
      </c>
      <c r="BE730" t="s">
        <v>13634</v>
      </c>
      <c r="BF730" t="str">
        <f>HYPERLINK("http://dx.doi.org/10.1007/s10840-023-01627-4","http://dx.doi.org/10.1007/s10840-023-01627-4")</f>
        <v>http://dx.doi.org/10.1007/s10840-023-01627-4</v>
      </c>
      <c r="BG730" t="s">
        <v>74</v>
      </c>
      <c r="BH730" t="s">
        <v>74</v>
      </c>
      <c r="BI730">
        <v>7</v>
      </c>
      <c r="BJ730" t="s">
        <v>8785</v>
      </c>
      <c r="BK730" t="s">
        <v>126</v>
      </c>
      <c r="BL730" t="s">
        <v>6249</v>
      </c>
      <c r="BM730" t="s">
        <v>13635</v>
      </c>
      <c r="BN730">
        <v>37612562</v>
      </c>
      <c r="BO730" t="s">
        <v>74</v>
      </c>
      <c r="BP730" t="s">
        <v>74</v>
      </c>
      <c r="BQ730" t="s">
        <v>74</v>
      </c>
      <c r="BR730" t="s">
        <v>99</v>
      </c>
      <c r="BS730" t="s">
        <v>13636</v>
      </c>
      <c r="BT730" t="str">
        <f>HYPERLINK("https%3A%2F%2Fwww.webofscience.com%2Fwos%2Fwoscc%2Ffull-record%2FWOS:001053699900001","View Full Record in Web of Science")</f>
        <v>View Full Record in Web of Science</v>
      </c>
    </row>
    <row r="731" spans="1:72" x14ac:dyDescent="0.15">
      <c r="A731" t="s">
        <v>72</v>
      </c>
      <c r="B731" t="s">
        <v>13637</v>
      </c>
      <c r="C731" t="s">
        <v>74</v>
      </c>
      <c r="D731" t="s">
        <v>74</v>
      </c>
      <c r="E731" t="s">
        <v>74</v>
      </c>
      <c r="F731" t="s">
        <v>13638</v>
      </c>
      <c r="G731" t="s">
        <v>74</v>
      </c>
      <c r="H731" t="s">
        <v>74</v>
      </c>
      <c r="I731" t="s">
        <v>13639</v>
      </c>
      <c r="J731" t="s">
        <v>13640</v>
      </c>
      <c r="K731" t="s">
        <v>74</v>
      </c>
      <c r="L731" t="s">
        <v>74</v>
      </c>
      <c r="M731" t="s">
        <v>78</v>
      </c>
      <c r="N731" t="s">
        <v>79</v>
      </c>
      <c r="O731" t="s">
        <v>74</v>
      </c>
      <c r="P731" t="s">
        <v>74</v>
      </c>
      <c r="Q731" t="s">
        <v>74</v>
      </c>
      <c r="R731" t="s">
        <v>74</v>
      </c>
      <c r="S731" t="s">
        <v>74</v>
      </c>
      <c r="T731" t="s">
        <v>13641</v>
      </c>
      <c r="U731" t="s">
        <v>13642</v>
      </c>
      <c r="V731" t="s">
        <v>13643</v>
      </c>
      <c r="W731" t="s">
        <v>13644</v>
      </c>
      <c r="X731" t="s">
        <v>13645</v>
      </c>
      <c r="Y731" t="s">
        <v>13646</v>
      </c>
      <c r="Z731" t="s">
        <v>13647</v>
      </c>
      <c r="AA731" t="s">
        <v>74</v>
      </c>
      <c r="AB731" t="s">
        <v>13648</v>
      </c>
      <c r="AC731" t="s">
        <v>74</v>
      </c>
      <c r="AD731" t="s">
        <v>74</v>
      </c>
      <c r="AE731" t="s">
        <v>74</v>
      </c>
      <c r="AF731" t="s">
        <v>74</v>
      </c>
      <c r="AG731">
        <v>114</v>
      </c>
      <c r="AH731">
        <v>0</v>
      </c>
      <c r="AI731">
        <v>0</v>
      </c>
      <c r="AJ731">
        <v>3</v>
      </c>
      <c r="AK731">
        <v>3</v>
      </c>
      <c r="AL731" t="s">
        <v>705</v>
      </c>
      <c r="AM731" t="s">
        <v>706</v>
      </c>
      <c r="AN731" t="s">
        <v>707</v>
      </c>
      <c r="AO731" t="s">
        <v>13649</v>
      </c>
      <c r="AP731" t="s">
        <v>13650</v>
      </c>
      <c r="AQ731" t="s">
        <v>74</v>
      </c>
      <c r="AR731" t="s">
        <v>13651</v>
      </c>
      <c r="AS731" t="s">
        <v>13652</v>
      </c>
      <c r="AT731" t="s">
        <v>13632</v>
      </c>
      <c r="AU731">
        <v>2023</v>
      </c>
      <c r="AV731" t="s">
        <v>74</v>
      </c>
      <c r="AW731" t="s">
        <v>74</v>
      </c>
      <c r="AX731" t="s">
        <v>74</v>
      </c>
      <c r="AY731" t="s">
        <v>74</v>
      </c>
      <c r="AZ731" t="s">
        <v>74</v>
      </c>
      <c r="BA731" t="s">
        <v>74</v>
      </c>
      <c r="BB731" t="s">
        <v>74</v>
      </c>
      <c r="BC731" t="s">
        <v>74</v>
      </c>
      <c r="BD731">
        <v>243</v>
      </c>
      <c r="BE731" t="s">
        <v>13653</v>
      </c>
      <c r="BF731" t="str">
        <f>HYPERLINK("http://dx.doi.org/10.1057/s41264-023-00243-7","http://dx.doi.org/10.1057/s41264-023-00243-7")</f>
        <v>http://dx.doi.org/10.1057/s41264-023-00243-7</v>
      </c>
      <c r="BG731" t="s">
        <v>74</v>
      </c>
      <c r="BH731" t="s">
        <v>74</v>
      </c>
      <c r="BI731">
        <v>18</v>
      </c>
      <c r="BJ731" t="s">
        <v>13654</v>
      </c>
      <c r="BK731" t="s">
        <v>97</v>
      </c>
      <c r="BL731" t="s">
        <v>426</v>
      </c>
      <c r="BM731" t="s">
        <v>13655</v>
      </c>
      <c r="BN731" t="s">
        <v>74</v>
      </c>
      <c r="BO731" t="s">
        <v>74</v>
      </c>
      <c r="BP731" t="s">
        <v>74</v>
      </c>
      <c r="BQ731" t="s">
        <v>74</v>
      </c>
      <c r="BR731" t="s">
        <v>99</v>
      </c>
      <c r="BS731" t="s">
        <v>13656</v>
      </c>
      <c r="BT731" t="str">
        <f>HYPERLINK("https%3A%2F%2Fwww.webofscience.com%2Fwos%2Fwoscc%2Ffull-record%2FWOS:001053698300001","View Full Record in Web of Science")</f>
        <v>View Full Record in Web of Science</v>
      </c>
    </row>
    <row r="732" spans="1:72" x14ac:dyDescent="0.15">
      <c r="A732" t="s">
        <v>72</v>
      </c>
      <c r="B732" t="s">
        <v>13657</v>
      </c>
      <c r="C732" t="s">
        <v>74</v>
      </c>
      <c r="D732" t="s">
        <v>74</v>
      </c>
      <c r="E732" t="s">
        <v>74</v>
      </c>
      <c r="F732" t="s">
        <v>13658</v>
      </c>
      <c r="G732" t="s">
        <v>74</v>
      </c>
      <c r="H732" t="s">
        <v>74</v>
      </c>
      <c r="I732" t="s">
        <v>13659</v>
      </c>
      <c r="J732" t="s">
        <v>13660</v>
      </c>
      <c r="K732" t="s">
        <v>74</v>
      </c>
      <c r="L732" t="s">
        <v>74</v>
      </c>
      <c r="M732" t="s">
        <v>78</v>
      </c>
      <c r="N732" t="s">
        <v>79</v>
      </c>
      <c r="O732" t="s">
        <v>74</v>
      </c>
      <c r="P732" t="s">
        <v>74</v>
      </c>
      <c r="Q732" t="s">
        <v>74</v>
      </c>
      <c r="R732" t="s">
        <v>74</v>
      </c>
      <c r="S732" t="s">
        <v>74</v>
      </c>
      <c r="T732" t="s">
        <v>13661</v>
      </c>
      <c r="U732" t="s">
        <v>13662</v>
      </c>
      <c r="V732" t="s">
        <v>13663</v>
      </c>
      <c r="W732" t="s">
        <v>13664</v>
      </c>
      <c r="X732" t="s">
        <v>13665</v>
      </c>
      <c r="Y732" t="s">
        <v>13666</v>
      </c>
      <c r="Z732" t="s">
        <v>13667</v>
      </c>
      <c r="AA732" t="s">
        <v>74</v>
      </c>
      <c r="AB732" t="s">
        <v>13668</v>
      </c>
      <c r="AC732" t="s">
        <v>13669</v>
      </c>
      <c r="AD732" t="s">
        <v>13670</v>
      </c>
      <c r="AE732" t="s">
        <v>13671</v>
      </c>
      <c r="AF732" t="s">
        <v>74</v>
      </c>
      <c r="AG732">
        <v>76</v>
      </c>
      <c r="AH732">
        <v>0</v>
      </c>
      <c r="AI732">
        <v>0</v>
      </c>
      <c r="AJ732">
        <v>2</v>
      </c>
      <c r="AK732">
        <v>2</v>
      </c>
      <c r="AL732" t="s">
        <v>117</v>
      </c>
      <c r="AM732" t="s">
        <v>627</v>
      </c>
      <c r="AN732" t="s">
        <v>628</v>
      </c>
      <c r="AO732" t="s">
        <v>13672</v>
      </c>
      <c r="AP732" t="s">
        <v>13673</v>
      </c>
      <c r="AQ732" t="s">
        <v>74</v>
      </c>
      <c r="AR732" t="s">
        <v>13660</v>
      </c>
      <c r="AS732" t="s">
        <v>13674</v>
      </c>
      <c r="AT732" t="s">
        <v>13632</v>
      </c>
      <c r="AU732">
        <v>2023</v>
      </c>
      <c r="AV732" t="s">
        <v>74</v>
      </c>
      <c r="AW732" t="s">
        <v>74</v>
      </c>
      <c r="AX732" t="s">
        <v>74</v>
      </c>
      <c r="AY732" t="s">
        <v>74</v>
      </c>
      <c r="AZ732" t="s">
        <v>74</v>
      </c>
      <c r="BA732" t="s">
        <v>74</v>
      </c>
      <c r="BB732" t="s">
        <v>74</v>
      </c>
      <c r="BC732" t="s">
        <v>74</v>
      </c>
      <c r="BD732" t="s">
        <v>13675</v>
      </c>
      <c r="BE732" t="s">
        <v>13676</v>
      </c>
      <c r="BF732" t="str">
        <f>HYPERLINK("http://dx.doi.org/10.1007/s10646-023-02693-0","http://dx.doi.org/10.1007/s10646-023-02693-0")</f>
        <v>http://dx.doi.org/10.1007/s10646-023-02693-0</v>
      </c>
      <c r="BG732" t="s">
        <v>74</v>
      </c>
      <c r="BH732" t="s">
        <v>74</v>
      </c>
      <c r="BI732">
        <v>13</v>
      </c>
      <c r="BJ732" t="s">
        <v>13677</v>
      </c>
      <c r="BK732" t="s">
        <v>126</v>
      </c>
      <c r="BL732" t="s">
        <v>13678</v>
      </c>
      <c r="BM732" t="s">
        <v>13679</v>
      </c>
      <c r="BN732">
        <v>37612563</v>
      </c>
      <c r="BO732" t="s">
        <v>74</v>
      </c>
      <c r="BP732" t="s">
        <v>74</v>
      </c>
      <c r="BQ732" t="s">
        <v>74</v>
      </c>
      <c r="BR732" t="s">
        <v>99</v>
      </c>
      <c r="BS732" t="s">
        <v>13680</v>
      </c>
      <c r="BT732" t="str">
        <f>HYPERLINK("https%3A%2F%2Fwww.webofscience.com%2Fwos%2Fwoscc%2Ffull-record%2FWOS:001053699100001","View Full Record in Web of Science")</f>
        <v>View Full Record in Web of Science</v>
      </c>
    </row>
    <row r="733" spans="1:72" x14ac:dyDescent="0.15">
      <c r="A733" t="s">
        <v>72</v>
      </c>
      <c r="B733" t="s">
        <v>13681</v>
      </c>
      <c r="C733" t="s">
        <v>74</v>
      </c>
      <c r="D733" t="s">
        <v>74</v>
      </c>
      <c r="E733" t="s">
        <v>74</v>
      </c>
      <c r="F733" t="s">
        <v>13682</v>
      </c>
      <c r="G733" t="s">
        <v>74</v>
      </c>
      <c r="H733" t="s">
        <v>74</v>
      </c>
      <c r="I733" t="s">
        <v>13683</v>
      </c>
      <c r="J733" t="s">
        <v>5743</v>
      </c>
      <c r="K733" t="s">
        <v>74</v>
      </c>
      <c r="L733" t="s">
        <v>74</v>
      </c>
      <c r="M733" t="s">
        <v>78</v>
      </c>
      <c r="N733" t="s">
        <v>79</v>
      </c>
      <c r="O733" t="s">
        <v>74</v>
      </c>
      <c r="P733" t="s">
        <v>74</v>
      </c>
      <c r="Q733" t="s">
        <v>74</v>
      </c>
      <c r="R733" t="s">
        <v>74</v>
      </c>
      <c r="S733" t="s">
        <v>74</v>
      </c>
      <c r="T733" t="s">
        <v>13684</v>
      </c>
      <c r="U733" t="s">
        <v>13685</v>
      </c>
      <c r="V733" t="s">
        <v>13686</v>
      </c>
      <c r="W733" t="s">
        <v>13687</v>
      </c>
      <c r="X733" t="s">
        <v>13688</v>
      </c>
      <c r="Y733" t="s">
        <v>13689</v>
      </c>
      <c r="Z733" t="s">
        <v>13690</v>
      </c>
      <c r="AA733" t="s">
        <v>74</v>
      </c>
      <c r="AB733" t="s">
        <v>74</v>
      </c>
      <c r="AC733" t="s">
        <v>13691</v>
      </c>
      <c r="AD733" t="s">
        <v>13692</v>
      </c>
      <c r="AE733" t="s">
        <v>13693</v>
      </c>
      <c r="AF733" t="s">
        <v>74</v>
      </c>
      <c r="AG733">
        <v>55</v>
      </c>
      <c r="AH733">
        <v>0</v>
      </c>
      <c r="AI733">
        <v>0</v>
      </c>
      <c r="AJ733">
        <v>2</v>
      </c>
      <c r="AK733">
        <v>2</v>
      </c>
      <c r="AL733" t="s">
        <v>443</v>
      </c>
      <c r="AM733" t="s">
        <v>245</v>
      </c>
      <c r="AN733" t="s">
        <v>444</v>
      </c>
      <c r="AO733" t="s">
        <v>74</v>
      </c>
      <c r="AP733" t="s">
        <v>5752</v>
      </c>
      <c r="AQ733" t="s">
        <v>74</v>
      </c>
      <c r="AR733" t="s">
        <v>5743</v>
      </c>
      <c r="AS733" t="s">
        <v>5753</v>
      </c>
      <c r="AT733" t="s">
        <v>13632</v>
      </c>
      <c r="AU733">
        <v>2023</v>
      </c>
      <c r="AV733">
        <v>23</v>
      </c>
      <c r="AW733">
        <v>1</v>
      </c>
      <c r="AX733" t="s">
        <v>74</v>
      </c>
      <c r="AY733" t="s">
        <v>74</v>
      </c>
      <c r="AZ733" t="s">
        <v>74</v>
      </c>
      <c r="BA733" t="s">
        <v>74</v>
      </c>
      <c r="BB733" t="s">
        <v>74</v>
      </c>
      <c r="BC733" t="s">
        <v>74</v>
      </c>
      <c r="BD733">
        <v>1602</v>
      </c>
      <c r="BE733" t="s">
        <v>13694</v>
      </c>
      <c r="BF733" t="str">
        <f>HYPERLINK("http://dx.doi.org/10.1186/s12889-023-16517-7","http://dx.doi.org/10.1186/s12889-023-16517-7")</f>
        <v>http://dx.doi.org/10.1186/s12889-023-16517-7</v>
      </c>
      <c r="BG733" t="s">
        <v>74</v>
      </c>
      <c r="BH733" t="s">
        <v>74</v>
      </c>
      <c r="BI733">
        <v>12</v>
      </c>
      <c r="BJ733" t="s">
        <v>2744</v>
      </c>
      <c r="BK733" t="s">
        <v>126</v>
      </c>
      <c r="BL733" t="s">
        <v>2744</v>
      </c>
      <c r="BM733" t="s">
        <v>13695</v>
      </c>
      <c r="BN733">
        <v>37608246</v>
      </c>
      <c r="BO733" t="s">
        <v>3356</v>
      </c>
      <c r="BP733" t="s">
        <v>74</v>
      </c>
      <c r="BQ733" t="s">
        <v>74</v>
      </c>
      <c r="BR733" t="s">
        <v>99</v>
      </c>
      <c r="BS733" t="s">
        <v>13696</v>
      </c>
      <c r="BT733" t="str">
        <f>HYPERLINK("https%3A%2F%2Fwww.webofscience.com%2Fwos%2Fwoscc%2Ffull-record%2FWOS:001052544400002","View Full Record in Web of Science")</f>
        <v>View Full Record in Web of Science</v>
      </c>
    </row>
    <row r="734" spans="1:72" x14ac:dyDescent="0.15">
      <c r="A734" t="s">
        <v>72</v>
      </c>
      <c r="B734" t="s">
        <v>13697</v>
      </c>
      <c r="C734" t="s">
        <v>74</v>
      </c>
      <c r="D734" t="s">
        <v>74</v>
      </c>
      <c r="E734" t="s">
        <v>74</v>
      </c>
      <c r="F734" t="s">
        <v>13698</v>
      </c>
      <c r="G734" t="s">
        <v>74</v>
      </c>
      <c r="H734" t="s">
        <v>74</v>
      </c>
      <c r="I734" t="s">
        <v>13699</v>
      </c>
      <c r="J734" t="s">
        <v>13700</v>
      </c>
      <c r="K734" t="s">
        <v>74</v>
      </c>
      <c r="L734" t="s">
        <v>74</v>
      </c>
      <c r="M734" t="s">
        <v>78</v>
      </c>
      <c r="N734" t="s">
        <v>952</v>
      </c>
      <c r="O734" t="s">
        <v>74</v>
      </c>
      <c r="P734" t="s">
        <v>74</v>
      </c>
      <c r="Q734" t="s">
        <v>74</v>
      </c>
      <c r="R734" t="s">
        <v>74</v>
      </c>
      <c r="S734" t="s">
        <v>74</v>
      </c>
      <c r="T734" t="s">
        <v>74</v>
      </c>
      <c r="U734" t="s">
        <v>13701</v>
      </c>
      <c r="V734" t="s">
        <v>13702</v>
      </c>
      <c r="W734" t="s">
        <v>13703</v>
      </c>
      <c r="X734" t="s">
        <v>13704</v>
      </c>
      <c r="Y734" t="s">
        <v>13705</v>
      </c>
      <c r="Z734" t="s">
        <v>13706</v>
      </c>
      <c r="AA734" t="s">
        <v>13707</v>
      </c>
      <c r="AB734" t="s">
        <v>13708</v>
      </c>
      <c r="AC734" t="s">
        <v>13709</v>
      </c>
      <c r="AD734" t="s">
        <v>13710</v>
      </c>
      <c r="AE734" t="s">
        <v>13711</v>
      </c>
      <c r="AF734" t="s">
        <v>74</v>
      </c>
      <c r="AG734">
        <v>45</v>
      </c>
      <c r="AH734">
        <v>0</v>
      </c>
      <c r="AI734">
        <v>0</v>
      </c>
      <c r="AJ734">
        <v>5</v>
      </c>
      <c r="AK734">
        <v>5</v>
      </c>
      <c r="AL734" t="s">
        <v>219</v>
      </c>
      <c r="AM734" t="s">
        <v>220</v>
      </c>
      <c r="AN734" t="s">
        <v>221</v>
      </c>
      <c r="AO734" t="s">
        <v>13712</v>
      </c>
      <c r="AP734" t="s">
        <v>13713</v>
      </c>
      <c r="AQ734" t="s">
        <v>74</v>
      </c>
      <c r="AR734" t="s">
        <v>13714</v>
      </c>
      <c r="AS734" t="s">
        <v>13715</v>
      </c>
      <c r="AT734" t="s">
        <v>13632</v>
      </c>
      <c r="AU734">
        <v>2023</v>
      </c>
      <c r="AV734" t="s">
        <v>74</v>
      </c>
      <c r="AW734" t="s">
        <v>74</v>
      </c>
      <c r="AX734" t="s">
        <v>74</v>
      </c>
      <c r="AY734" t="s">
        <v>74</v>
      </c>
      <c r="AZ734" t="s">
        <v>74</v>
      </c>
      <c r="BA734" t="s">
        <v>74</v>
      </c>
      <c r="BB734" t="s">
        <v>74</v>
      </c>
      <c r="BC734" t="s">
        <v>74</v>
      </c>
      <c r="BD734" t="s">
        <v>13716</v>
      </c>
      <c r="BE734" t="s">
        <v>13717</v>
      </c>
      <c r="BF734" t="str">
        <f>HYPERLINK("http://dx.doi.org/10.1007/s00040-023-00929-0","http://dx.doi.org/10.1007/s00040-023-00929-0")</f>
        <v>http://dx.doi.org/10.1007/s00040-023-00929-0</v>
      </c>
      <c r="BG734" t="s">
        <v>74</v>
      </c>
      <c r="BH734" t="s">
        <v>74</v>
      </c>
      <c r="BI734">
        <v>5</v>
      </c>
      <c r="BJ734" t="s">
        <v>2572</v>
      </c>
      <c r="BK734" t="s">
        <v>126</v>
      </c>
      <c r="BL734" t="s">
        <v>2572</v>
      </c>
      <c r="BM734" t="s">
        <v>13718</v>
      </c>
      <c r="BN734" t="s">
        <v>74</v>
      </c>
      <c r="BO734" t="s">
        <v>74</v>
      </c>
      <c r="BP734" t="s">
        <v>74</v>
      </c>
      <c r="BQ734" t="s">
        <v>74</v>
      </c>
      <c r="BR734" t="s">
        <v>99</v>
      </c>
      <c r="BS734" t="s">
        <v>13719</v>
      </c>
      <c r="BT734" t="str">
        <f>HYPERLINK("https%3A%2F%2Fwww.webofscience.com%2Fwos%2Fwoscc%2Ffull-record%2FWOS:001053701600001","View Full Record in Web of Science")</f>
        <v>View Full Record in Web of Science</v>
      </c>
    </row>
    <row r="735" spans="1:72" x14ac:dyDescent="0.15">
      <c r="A735" t="s">
        <v>72</v>
      </c>
      <c r="B735" t="s">
        <v>13720</v>
      </c>
      <c r="C735" t="s">
        <v>74</v>
      </c>
      <c r="D735" t="s">
        <v>74</v>
      </c>
      <c r="E735" t="s">
        <v>74</v>
      </c>
      <c r="F735" t="s">
        <v>13721</v>
      </c>
      <c r="G735" t="s">
        <v>74</v>
      </c>
      <c r="H735" t="s">
        <v>74</v>
      </c>
      <c r="I735" t="s">
        <v>13722</v>
      </c>
      <c r="J735" t="s">
        <v>13723</v>
      </c>
      <c r="K735" t="s">
        <v>74</v>
      </c>
      <c r="L735" t="s">
        <v>74</v>
      </c>
      <c r="M735" t="s">
        <v>78</v>
      </c>
      <c r="N735" t="s">
        <v>79</v>
      </c>
      <c r="O735" t="s">
        <v>74</v>
      </c>
      <c r="P735" t="s">
        <v>74</v>
      </c>
      <c r="Q735" t="s">
        <v>74</v>
      </c>
      <c r="R735" t="s">
        <v>74</v>
      </c>
      <c r="S735" t="s">
        <v>74</v>
      </c>
      <c r="T735" t="s">
        <v>13724</v>
      </c>
      <c r="U735" t="s">
        <v>13725</v>
      </c>
      <c r="V735" t="s">
        <v>13726</v>
      </c>
      <c r="W735" t="s">
        <v>13727</v>
      </c>
      <c r="X735" t="s">
        <v>13728</v>
      </c>
      <c r="Y735" t="s">
        <v>13729</v>
      </c>
      <c r="Z735" t="s">
        <v>13730</v>
      </c>
      <c r="AA735" t="s">
        <v>74</v>
      </c>
      <c r="AB735" t="s">
        <v>74</v>
      </c>
      <c r="AC735" t="s">
        <v>74</v>
      </c>
      <c r="AD735" t="s">
        <v>74</v>
      </c>
      <c r="AE735" t="s">
        <v>74</v>
      </c>
      <c r="AF735" t="s">
        <v>74</v>
      </c>
      <c r="AG735">
        <v>39</v>
      </c>
      <c r="AH735">
        <v>0</v>
      </c>
      <c r="AI735">
        <v>0</v>
      </c>
      <c r="AJ735">
        <v>7</v>
      </c>
      <c r="AK735">
        <v>7</v>
      </c>
      <c r="AL735" t="s">
        <v>443</v>
      </c>
      <c r="AM735" t="s">
        <v>245</v>
      </c>
      <c r="AN735" t="s">
        <v>444</v>
      </c>
      <c r="AO735" t="s">
        <v>74</v>
      </c>
      <c r="AP735" t="s">
        <v>13731</v>
      </c>
      <c r="AQ735" t="s">
        <v>74</v>
      </c>
      <c r="AR735" t="s">
        <v>13732</v>
      </c>
      <c r="AS735" t="s">
        <v>13733</v>
      </c>
      <c r="AT735" t="s">
        <v>13632</v>
      </c>
      <c r="AU735">
        <v>2023</v>
      </c>
      <c r="AV735">
        <v>22</v>
      </c>
      <c r="AW735">
        <v>1</v>
      </c>
      <c r="AX735" t="s">
        <v>74</v>
      </c>
      <c r="AY735" t="s">
        <v>74</v>
      </c>
      <c r="AZ735" t="s">
        <v>74</v>
      </c>
      <c r="BA735" t="s">
        <v>74</v>
      </c>
      <c r="BB735" t="s">
        <v>74</v>
      </c>
      <c r="BC735" t="s">
        <v>74</v>
      </c>
      <c r="BD735">
        <v>161</v>
      </c>
      <c r="BE735" t="s">
        <v>13734</v>
      </c>
      <c r="BF735" t="str">
        <f>HYPERLINK("http://dx.doi.org/10.1186/s12939-023-01949-9","http://dx.doi.org/10.1186/s12939-023-01949-9")</f>
        <v>http://dx.doi.org/10.1186/s12939-023-01949-9</v>
      </c>
      <c r="BG735" t="s">
        <v>74</v>
      </c>
      <c r="BH735" t="s">
        <v>74</v>
      </c>
      <c r="BI735">
        <v>9</v>
      </c>
      <c r="BJ735" t="s">
        <v>2744</v>
      </c>
      <c r="BK735" t="s">
        <v>425</v>
      </c>
      <c r="BL735" t="s">
        <v>2744</v>
      </c>
      <c r="BM735" t="s">
        <v>13735</v>
      </c>
      <c r="BN735">
        <v>37612748</v>
      </c>
      <c r="BO735" t="s">
        <v>302</v>
      </c>
      <c r="BP735" t="s">
        <v>74</v>
      </c>
      <c r="BQ735" t="s">
        <v>74</v>
      </c>
      <c r="BR735" t="s">
        <v>99</v>
      </c>
      <c r="BS735" t="s">
        <v>13736</v>
      </c>
      <c r="BT735" t="str">
        <f>HYPERLINK("https%3A%2F%2Fwww.webofscience.com%2Fwos%2Fwoscc%2Ffull-record%2FWOS:001053781900001","View Full Record in Web of Science")</f>
        <v>View Full Record in Web of Science</v>
      </c>
    </row>
    <row r="736" spans="1:72" x14ac:dyDescent="0.15">
      <c r="A736" t="s">
        <v>72</v>
      </c>
      <c r="B736" t="s">
        <v>13737</v>
      </c>
      <c r="C736" t="s">
        <v>74</v>
      </c>
      <c r="D736" t="s">
        <v>74</v>
      </c>
      <c r="E736" t="s">
        <v>74</v>
      </c>
      <c r="F736" t="s">
        <v>13738</v>
      </c>
      <c r="G736" t="s">
        <v>74</v>
      </c>
      <c r="H736" t="s">
        <v>74</v>
      </c>
      <c r="I736" t="s">
        <v>13739</v>
      </c>
      <c r="J736" t="s">
        <v>2645</v>
      </c>
      <c r="K736" t="s">
        <v>74</v>
      </c>
      <c r="L736" t="s">
        <v>74</v>
      </c>
      <c r="M736" t="s">
        <v>78</v>
      </c>
      <c r="N736" t="s">
        <v>1246</v>
      </c>
      <c r="O736" t="s">
        <v>74</v>
      </c>
      <c r="P736" t="s">
        <v>74</v>
      </c>
      <c r="Q736" t="s">
        <v>74</v>
      </c>
      <c r="R736" t="s">
        <v>74</v>
      </c>
      <c r="S736" t="s">
        <v>74</v>
      </c>
      <c r="T736" t="s">
        <v>13740</v>
      </c>
      <c r="U736" t="s">
        <v>74</v>
      </c>
      <c r="V736" t="s">
        <v>13741</v>
      </c>
      <c r="W736" t="s">
        <v>13742</v>
      </c>
      <c r="X736" t="s">
        <v>13743</v>
      </c>
      <c r="Y736" t="s">
        <v>13744</v>
      </c>
      <c r="Z736" t="s">
        <v>13745</v>
      </c>
      <c r="AA736" t="s">
        <v>74</v>
      </c>
      <c r="AB736" t="s">
        <v>74</v>
      </c>
      <c r="AC736" t="s">
        <v>13746</v>
      </c>
      <c r="AD736" t="s">
        <v>13747</v>
      </c>
      <c r="AE736" t="s">
        <v>13748</v>
      </c>
      <c r="AF736" t="s">
        <v>74</v>
      </c>
      <c r="AG736">
        <v>18</v>
      </c>
      <c r="AH736">
        <v>0</v>
      </c>
      <c r="AI736">
        <v>0</v>
      </c>
      <c r="AJ736">
        <v>0</v>
      </c>
      <c r="AK736">
        <v>0</v>
      </c>
      <c r="AL736" t="s">
        <v>172</v>
      </c>
      <c r="AM736" t="s">
        <v>173</v>
      </c>
      <c r="AN736" t="s">
        <v>174</v>
      </c>
      <c r="AO736" t="s">
        <v>2653</v>
      </c>
      <c r="AP736" t="s">
        <v>2654</v>
      </c>
      <c r="AQ736" t="s">
        <v>74</v>
      </c>
      <c r="AR736" t="s">
        <v>2655</v>
      </c>
      <c r="AS736" t="s">
        <v>2656</v>
      </c>
      <c r="AT736" t="s">
        <v>13594</v>
      </c>
      <c r="AU736">
        <v>2023</v>
      </c>
      <c r="AV736" t="s">
        <v>74</v>
      </c>
      <c r="AW736" t="s">
        <v>74</v>
      </c>
      <c r="AX736" t="s">
        <v>74</v>
      </c>
      <c r="AY736" t="s">
        <v>74</v>
      </c>
      <c r="AZ736" t="s">
        <v>74</v>
      </c>
      <c r="BA736" t="s">
        <v>74</v>
      </c>
      <c r="BB736" t="s">
        <v>74</v>
      </c>
      <c r="BC736" t="s">
        <v>74</v>
      </c>
      <c r="BD736" t="s">
        <v>74</v>
      </c>
      <c r="BE736" t="s">
        <v>13749</v>
      </c>
      <c r="BF736" t="str">
        <f>HYPERLINK("http://dx.doi.org/10.1007/s11370-023-00480-8","http://dx.doi.org/10.1007/s11370-023-00480-8")</f>
        <v>http://dx.doi.org/10.1007/s11370-023-00480-8</v>
      </c>
      <c r="BG736" t="s">
        <v>74</v>
      </c>
      <c r="BH736" t="s">
        <v>10650</v>
      </c>
      <c r="BI736">
        <v>16</v>
      </c>
      <c r="BJ736" t="s">
        <v>2658</v>
      </c>
      <c r="BK736" t="s">
        <v>126</v>
      </c>
      <c r="BL736" t="s">
        <v>2658</v>
      </c>
      <c r="BM736" t="s">
        <v>13750</v>
      </c>
      <c r="BN736" t="s">
        <v>74</v>
      </c>
      <c r="BO736" t="s">
        <v>74</v>
      </c>
      <c r="BP736" t="s">
        <v>74</v>
      </c>
      <c r="BQ736" t="s">
        <v>74</v>
      </c>
      <c r="BR736" t="s">
        <v>99</v>
      </c>
      <c r="BS736" t="s">
        <v>13751</v>
      </c>
      <c r="BT736" t="str">
        <f>HYPERLINK("https%3A%2F%2Fwww.webofscience.com%2Fwos%2Fwoscc%2Ffull-record%2FWOS:001060080100001","View Full Record in Web of Science")</f>
        <v>View Full Record in Web of Science</v>
      </c>
    </row>
    <row r="737" spans="1:72" x14ac:dyDescent="0.15">
      <c r="A737" t="s">
        <v>72</v>
      </c>
      <c r="B737" t="s">
        <v>13752</v>
      </c>
      <c r="C737" t="s">
        <v>74</v>
      </c>
      <c r="D737" t="s">
        <v>74</v>
      </c>
      <c r="E737" t="s">
        <v>74</v>
      </c>
      <c r="F737" t="s">
        <v>13753</v>
      </c>
      <c r="G737" t="s">
        <v>74</v>
      </c>
      <c r="H737" t="s">
        <v>74</v>
      </c>
      <c r="I737" t="s">
        <v>13754</v>
      </c>
      <c r="J737" t="s">
        <v>13755</v>
      </c>
      <c r="K737" t="s">
        <v>74</v>
      </c>
      <c r="L737" t="s">
        <v>74</v>
      </c>
      <c r="M737" t="s">
        <v>78</v>
      </c>
      <c r="N737" t="s">
        <v>79</v>
      </c>
      <c r="O737" t="s">
        <v>74</v>
      </c>
      <c r="P737" t="s">
        <v>74</v>
      </c>
      <c r="Q737" t="s">
        <v>74</v>
      </c>
      <c r="R737" t="s">
        <v>74</v>
      </c>
      <c r="S737" t="s">
        <v>74</v>
      </c>
      <c r="T737" t="s">
        <v>13756</v>
      </c>
      <c r="U737" t="s">
        <v>13757</v>
      </c>
      <c r="V737" t="s">
        <v>13758</v>
      </c>
      <c r="W737" t="s">
        <v>13759</v>
      </c>
      <c r="X737" t="s">
        <v>13760</v>
      </c>
      <c r="Y737" t="s">
        <v>13761</v>
      </c>
      <c r="Z737" t="s">
        <v>13762</v>
      </c>
      <c r="AA737" t="s">
        <v>74</v>
      </c>
      <c r="AB737" t="s">
        <v>74</v>
      </c>
      <c r="AC737" t="s">
        <v>13763</v>
      </c>
      <c r="AD737" t="s">
        <v>13763</v>
      </c>
      <c r="AE737" t="s">
        <v>13764</v>
      </c>
      <c r="AF737" t="s">
        <v>74</v>
      </c>
      <c r="AG737">
        <v>49</v>
      </c>
      <c r="AH737">
        <v>0</v>
      </c>
      <c r="AI737">
        <v>0</v>
      </c>
      <c r="AJ737">
        <v>0</v>
      </c>
      <c r="AK737">
        <v>0</v>
      </c>
      <c r="AL737" t="s">
        <v>844</v>
      </c>
      <c r="AM737" t="s">
        <v>845</v>
      </c>
      <c r="AN737" t="s">
        <v>933</v>
      </c>
      <c r="AO737" t="s">
        <v>13765</v>
      </c>
      <c r="AP737" t="s">
        <v>13766</v>
      </c>
      <c r="AQ737" t="s">
        <v>74</v>
      </c>
      <c r="AR737" t="s">
        <v>13767</v>
      </c>
      <c r="AS737" t="s">
        <v>13768</v>
      </c>
      <c r="AT737" t="s">
        <v>13632</v>
      </c>
      <c r="AU737">
        <v>2023</v>
      </c>
      <c r="AV737" t="s">
        <v>74</v>
      </c>
      <c r="AW737" t="s">
        <v>74</v>
      </c>
      <c r="AX737" t="s">
        <v>74</v>
      </c>
      <c r="AY737" t="s">
        <v>74</v>
      </c>
      <c r="AZ737" t="s">
        <v>74</v>
      </c>
      <c r="BA737" t="s">
        <v>74</v>
      </c>
      <c r="BB737" t="s">
        <v>74</v>
      </c>
      <c r="BC737" t="s">
        <v>74</v>
      </c>
      <c r="BD737" t="s">
        <v>13769</v>
      </c>
      <c r="BE737" t="s">
        <v>13770</v>
      </c>
      <c r="BF737" t="str">
        <f>HYPERLINK("http://dx.doi.org/10.1007/s41324-023-00544-y","http://dx.doi.org/10.1007/s41324-023-00544-y")</f>
        <v>http://dx.doi.org/10.1007/s41324-023-00544-y</v>
      </c>
      <c r="BG737" t="s">
        <v>74</v>
      </c>
      <c r="BH737" t="s">
        <v>74</v>
      </c>
      <c r="BI737">
        <v>12</v>
      </c>
      <c r="BJ737" t="s">
        <v>1485</v>
      </c>
      <c r="BK737" t="s">
        <v>97</v>
      </c>
      <c r="BL737" t="s">
        <v>1485</v>
      </c>
      <c r="BM737" t="s">
        <v>13771</v>
      </c>
      <c r="BN737" t="s">
        <v>74</v>
      </c>
      <c r="BO737" t="s">
        <v>74</v>
      </c>
      <c r="BP737" t="s">
        <v>74</v>
      </c>
      <c r="BQ737" t="s">
        <v>74</v>
      </c>
      <c r="BR737" t="s">
        <v>99</v>
      </c>
      <c r="BS737" t="s">
        <v>13772</v>
      </c>
      <c r="BT737" t="str">
        <f>HYPERLINK("https%3A%2F%2Fwww.webofscience.com%2Fwos%2Fwoscc%2Ffull-record%2FWOS:001053560000001","View Full Record in Web of Science")</f>
        <v>View Full Record in Web of Science</v>
      </c>
    </row>
    <row r="738" spans="1:72" x14ac:dyDescent="0.15">
      <c r="A738" t="s">
        <v>72</v>
      </c>
      <c r="B738" t="s">
        <v>13773</v>
      </c>
      <c r="C738" t="s">
        <v>74</v>
      </c>
      <c r="D738" t="s">
        <v>74</v>
      </c>
      <c r="E738" t="s">
        <v>74</v>
      </c>
      <c r="F738" t="s">
        <v>13774</v>
      </c>
      <c r="G738" t="s">
        <v>74</v>
      </c>
      <c r="H738" t="s">
        <v>74</v>
      </c>
      <c r="I738" t="s">
        <v>13775</v>
      </c>
      <c r="J738" t="s">
        <v>13776</v>
      </c>
      <c r="K738" t="s">
        <v>74</v>
      </c>
      <c r="L738" t="s">
        <v>74</v>
      </c>
      <c r="M738" t="s">
        <v>78</v>
      </c>
      <c r="N738" t="s">
        <v>79</v>
      </c>
      <c r="O738" t="s">
        <v>74</v>
      </c>
      <c r="P738" t="s">
        <v>74</v>
      </c>
      <c r="Q738" t="s">
        <v>74</v>
      </c>
      <c r="R738" t="s">
        <v>74</v>
      </c>
      <c r="S738" t="s">
        <v>74</v>
      </c>
      <c r="T738" t="s">
        <v>13777</v>
      </c>
      <c r="U738" t="s">
        <v>13778</v>
      </c>
      <c r="V738" t="s">
        <v>13779</v>
      </c>
      <c r="W738" t="s">
        <v>13780</v>
      </c>
      <c r="X738" t="s">
        <v>13781</v>
      </c>
      <c r="Y738" t="s">
        <v>13782</v>
      </c>
      <c r="Z738" t="s">
        <v>13783</v>
      </c>
      <c r="AA738" t="s">
        <v>74</v>
      </c>
      <c r="AB738" t="s">
        <v>13784</v>
      </c>
      <c r="AC738" t="s">
        <v>13785</v>
      </c>
      <c r="AD738" t="s">
        <v>13785</v>
      </c>
      <c r="AE738" t="s">
        <v>13785</v>
      </c>
      <c r="AF738" t="s">
        <v>74</v>
      </c>
      <c r="AG738">
        <v>41</v>
      </c>
      <c r="AH738">
        <v>0</v>
      </c>
      <c r="AI738">
        <v>0</v>
      </c>
      <c r="AJ738">
        <v>1</v>
      </c>
      <c r="AK738">
        <v>1</v>
      </c>
      <c r="AL738" t="s">
        <v>443</v>
      </c>
      <c r="AM738" t="s">
        <v>245</v>
      </c>
      <c r="AN738" t="s">
        <v>444</v>
      </c>
      <c r="AO738" t="s">
        <v>13786</v>
      </c>
      <c r="AP738" t="s">
        <v>74</v>
      </c>
      <c r="AQ738" t="s">
        <v>74</v>
      </c>
      <c r="AR738" t="s">
        <v>13787</v>
      </c>
      <c r="AS738" t="s">
        <v>13788</v>
      </c>
      <c r="AT738" t="s">
        <v>13632</v>
      </c>
      <c r="AU738">
        <v>2023</v>
      </c>
      <c r="AV738">
        <v>23</v>
      </c>
      <c r="AW738">
        <v>1</v>
      </c>
      <c r="AX738" t="s">
        <v>74</v>
      </c>
      <c r="AY738" t="s">
        <v>74</v>
      </c>
      <c r="AZ738" t="s">
        <v>74</v>
      </c>
      <c r="BA738" t="s">
        <v>74</v>
      </c>
      <c r="BB738" t="s">
        <v>74</v>
      </c>
      <c r="BC738" t="s">
        <v>74</v>
      </c>
      <c r="BD738">
        <v>95</v>
      </c>
      <c r="BE738" t="s">
        <v>13789</v>
      </c>
      <c r="BF738" t="str">
        <f>HYPERLINK("http://dx.doi.org/10.1186/s12873-023-00872-0","http://dx.doi.org/10.1186/s12873-023-00872-0")</f>
        <v>http://dx.doi.org/10.1186/s12873-023-00872-0</v>
      </c>
      <c r="BG738" t="s">
        <v>74</v>
      </c>
      <c r="BH738" t="s">
        <v>74</v>
      </c>
      <c r="BI738">
        <v>7</v>
      </c>
      <c r="BJ738" t="s">
        <v>3455</v>
      </c>
      <c r="BK738" t="s">
        <v>126</v>
      </c>
      <c r="BL738" t="s">
        <v>3455</v>
      </c>
      <c r="BM738" t="s">
        <v>13790</v>
      </c>
      <c r="BN738">
        <v>37612650</v>
      </c>
      <c r="BO738" t="s">
        <v>302</v>
      </c>
      <c r="BP738" t="s">
        <v>74</v>
      </c>
      <c r="BQ738" t="s">
        <v>74</v>
      </c>
      <c r="BR738" t="s">
        <v>99</v>
      </c>
      <c r="BS738" t="s">
        <v>13791</v>
      </c>
      <c r="BT738" t="str">
        <f>HYPERLINK("https%3A%2F%2Fwww.webofscience.com%2Fwos%2Fwoscc%2Ffull-record%2FWOS:001053803300001","View Full Record in Web of Science")</f>
        <v>View Full Record in Web of Science</v>
      </c>
    </row>
    <row r="739" spans="1:72" x14ac:dyDescent="0.15">
      <c r="A739" t="s">
        <v>72</v>
      </c>
      <c r="B739" t="s">
        <v>13792</v>
      </c>
      <c r="C739" t="s">
        <v>74</v>
      </c>
      <c r="D739" t="s">
        <v>74</v>
      </c>
      <c r="E739" t="s">
        <v>74</v>
      </c>
      <c r="F739" t="s">
        <v>13793</v>
      </c>
      <c r="G739" t="s">
        <v>74</v>
      </c>
      <c r="H739" t="s">
        <v>13794</v>
      </c>
      <c r="I739" t="s">
        <v>13795</v>
      </c>
      <c r="J739" t="s">
        <v>5265</v>
      </c>
      <c r="K739" t="s">
        <v>74</v>
      </c>
      <c r="L739" t="s">
        <v>74</v>
      </c>
      <c r="M739" t="s">
        <v>78</v>
      </c>
      <c r="N739" t="s">
        <v>3318</v>
      </c>
      <c r="O739" t="s">
        <v>74</v>
      </c>
      <c r="P739" t="s">
        <v>74</v>
      </c>
      <c r="Q739" t="s">
        <v>74</v>
      </c>
      <c r="R739" t="s">
        <v>74</v>
      </c>
      <c r="S739" t="s">
        <v>74</v>
      </c>
      <c r="T739" t="s">
        <v>74</v>
      </c>
      <c r="U739" t="s">
        <v>74</v>
      </c>
      <c r="V739" t="s">
        <v>74</v>
      </c>
      <c r="W739" t="s">
        <v>13796</v>
      </c>
      <c r="X739" t="s">
        <v>13797</v>
      </c>
      <c r="Y739" t="s">
        <v>13798</v>
      </c>
      <c r="Z739" t="s">
        <v>13799</v>
      </c>
      <c r="AA739" t="s">
        <v>74</v>
      </c>
      <c r="AB739" t="s">
        <v>74</v>
      </c>
      <c r="AC739" t="s">
        <v>649</v>
      </c>
      <c r="AD739" t="s">
        <v>649</v>
      </c>
      <c r="AE739" t="s">
        <v>650</v>
      </c>
      <c r="AF739" t="s">
        <v>74</v>
      </c>
      <c r="AG739">
        <v>5</v>
      </c>
      <c r="AH739">
        <v>0</v>
      </c>
      <c r="AI739">
        <v>0</v>
      </c>
      <c r="AJ739">
        <v>1</v>
      </c>
      <c r="AK739">
        <v>1</v>
      </c>
      <c r="AL739" t="s">
        <v>117</v>
      </c>
      <c r="AM739" t="s">
        <v>118</v>
      </c>
      <c r="AN739" t="s">
        <v>119</v>
      </c>
      <c r="AO739" t="s">
        <v>5273</v>
      </c>
      <c r="AP739" t="s">
        <v>5274</v>
      </c>
      <c r="AQ739" t="s">
        <v>74</v>
      </c>
      <c r="AR739" t="s">
        <v>5275</v>
      </c>
      <c r="AS739" t="s">
        <v>5276</v>
      </c>
      <c r="AT739" t="s">
        <v>13632</v>
      </c>
      <c r="AU739">
        <v>2023</v>
      </c>
      <c r="AV739" t="s">
        <v>74</v>
      </c>
      <c r="AW739" t="s">
        <v>74</v>
      </c>
      <c r="AX739" t="s">
        <v>74</v>
      </c>
      <c r="AY739" t="s">
        <v>74</v>
      </c>
      <c r="AZ739" t="s">
        <v>74</v>
      </c>
      <c r="BA739" t="s">
        <v>74</v>
      </c>
      <c r="BB739" t="s">
        <v>74</v>
      </c>
      <c r="BC739" t="s">
        <v>74</v>
      </c>
      <c r="BD739" t="s">
        <v>13800</v>
      </c>
      <c r="BE739" t="s">
        <v>13801</v>
      </c>
      <c r="BF739" t="str">
        <f>HYPERLINK("http://dx.doi.org/10.1007/s00134-023-07193-7","http://dx.doi.org/10.1007/s00134-023-07193-7")</f>
        <v>http://dx.doi.org/10.1007/s00134-023-07193-7</v>
      </c>
      <c r="BG739" t="s">
        <v>74</v>
      </c>
      <c r="BH739" t="s">
        <v>74</v>
      </c>
      <c r="BI739">
        <v>3</v>
      </c>
      <c r="BJ739" t="s">
        <v>2251</v>
      </c>
      <c r="BK739" t="s">
        <v>126</v>
      </c>
      <c r="BL739" t="s">
        <v>1239</v>
      </c>
      <c r="BM739" t="s">
        <v>13802</v>
      </c>
      <c r="BN739">
        <v>37610485</v>
      </c>
      <c r="BO739" t="s">
        <v>183</v>
      </c>
      <c r="BP739" t="s">
        <v>74</v>
      </c>
      <c r="BQ739" t="s">
        <v>74</v>
      </c>
      <c r="BR739" t="s">
        <v>99</v>
      </c>
      <c r="BS739" t="s">
        <v>13803</v>
      </c>
      <c r="BT739" t="str">
        <f>HYPERLINK("https%3A%2F%2Fwww.webofscience.com%2Fwos%2Fwoscc%2Ffull-record%2FWOS:001053693500004","View Full Record in Web of Science")</f>
        <v>View Full Record in Web of Science</v>
      </c>
    </row>
    <row r="740" spans="1:72" x14ac:dyDescent="0.15">
      <c r="A740" t="s">
        <v>72</v>
      </c>
      <c r="B740" t="s">
        <v>13804</v>
      </c>
      <c r="C740" t="s">
        <v>74</v>
      </c>
      <c r="D740" t="s">
        <v>74</v>
      </c>
      <c r="E740" t="s">
        <v>74</v>
      </c>
      <c r="F740" t="s">
        <v>13805</v>
      </c>
      <c r="G740" t="s">
        <v>74</v>
      </c>
      <c r="H740" t="s">
        <v>74</v>
      </c>
      <c r="I740" t="s">
        <v>13806</v>
      </c>
      <c r="J740" t="s">
        <v>13807</v>
      </c>
      <c r="K740" t="s">
        <v>74</v>
      </c>
      <c r="L740" t="s">
        <v>74</v>
      </c>
      <c r="M740" t="s">
        <v>78</v>
      </c>
      <c r="N740" t="s">
        <v>79</v>
      </c>
      <c r="O740" t="s">
        <v>74</v>
      </c>
      <c r="P740" t="s">
        <v>74</v>
      </c>
      <c r="Q740" t="s">
        <v>74</v>
      </c>
      <c r="R740" t="s">
        <v>74</v>
      </c>
      <c r="S740" t="s">
        <v>74</v>
      </c>
      <c r="T740" t="s">
        <v>13808</v>
      </c>
      <c r="U740" t="s">
        <v>13809</v>
      </c>
      <c r="V740" t="s">
        <v>13810</v>
      </c>
      <c r="W740" t="s">
        <v>13811</v>
      </c>
      <c r="X740" t="s">
        <v>13812</v>
      </c>
      <c r="Y740" t="s">
        <v>13813</v>
      </c>
      <c r="Z740" t="s">
        <v>13814</v>
      </c>
      <c r="AA740" t="s">
        <v>74</v>
      </c>
      <c r="AB740" t="s">
        <v>13815</v>
      </c>
      <c r="AC740" t="s">
        <v>13816</v>
      </c>
      <c r="AD740" t="s">
        <v>13816</v>
      </c>
      <c r="AE740" t="s">
        <v>13817</v>
      </c>
      <c r="AF740" t="s">
        <v>74</v>
      </c>
      <c r="AG740">
        <v>35</v>
      </c>
      <c r="AH740">
        <v>0</v>
      </c>
      <c r="AI740">
        <v>0</v>
      </c>
      <c r="AJ740">
        <v>0</v>
      </c>
      <c r="AK740">
        <v>0</v>
      </c>
      <c r="AL740" t="s">
        <v>172</v>
      </c>
      <c r="AM740" t="s">
        <v>173</v>
      </c>
      <c r="AN740" t="s">
        <v>174</v>
      </c>
      <c r="AO740" t="s">
        <v>13818</v>
      </c>
      <c r="AP740" t="s">
        <v>13819</v>
      </c>
      <c r="AQ740" t="s">
        <v>74</v>
      </c>
      <c r="AR740" t="s">
        <v>13820</v>
      </c>
      <c r="AS740" t="s">
        <v>13821</v>
      </c>
      <c r="AT740" t="s">
        <v>1136</v>
      </c>
      <c r="AU740">
        <v>2023</v>
      </c>
      <c r="AV740">
        <v>43</v>
      </c>
      <c r="AW740">
        <v>11</v>
      </c>
      <c r="AX740" t="s">
        <v>74</v>
      </c>
      <c r="AY740" t="s">
        <v>74</v>
      </c>
      <c r="AZ740" t="s">
        <v>74</v>
      </c>
      <c r="BA740" t="s">
        <v>74</v>
      </c>
      <c r="BB740">
        <v>2081</v>
      </c>
      <c r="BC740">
        <v>2088</v>
      </c>
      <c r="BD740" t="s">
        <v>74</v>
      </c>
      <c r="BE740" t="s">
        <v>13822</v>
      </c>
      <c r="BF740" t="str">
        <f>HYPERLINK("http://dx.doi.org/10.1007/s00296-023-05424-0","http://dx.doi.org/10.1007/s00296-023-05424-0")</f>
        <v>http://dx.doi.org/10.1007/s00296-023-05424-0</v>
      </c>
      <c r="BG740" t="s">
        <v>74</v>
      </c>
      <c r="BH740" t="s">
        <v>10650</v>
      </c>
      <c r="BI740">
        <v>8</v>
      </c>
      <c r="BJ740" t="s">
        <v>2452</v>
      </c>
      <c r="BK740" t="s">
        <v>126</v>
      </c>
      <c r="BL740" t="s">
        <v>2452</v>
      </c>
      <c r="BM740" t="s">
        <v>13823</v>
      </c>
      <c r="BN740">
        <v>37610650</v>
      </c>
      <c r="BO740" t="s">
        <v>183</v>
      </c>
      <c r="BP740" t="s">
        <v>74</v>
      </c>
      <c r="BQ740" t="s">
        <v>74</v>
      </c>
      <c r="BR740" t="s">
        <v>99</v>
      </c>
      <c r="BS740" t="s">
        <v>13824</v>
      </c>
      <c r="BT740" t="str">
        <f>HYPERLINK("https%3A%2F%2Fwww.webofscience.com%2Fwos%2Fwoscc%2Ffull-record%2FWOS:001060120200001","View Full Record in Web of Science")</f>
        <v>View Full Record in Web of Science</v>
      </c>
    </row>
    <row r="741" spans="1:72" x14ac:dyDescent="0.15">
      <c r="A741" t="s">
        <v>72</v>
      </c>
      <c r="B741" t="s">
        <v>13825</v>
      </c>
      <c r="C741" t="s">
        <v>74</v>
      </c>
      <c r="D741" t="s">
        <v>74</v>
      </c>
      <c r="E741" t="s">
        <v>74</v>
      </c>
      <c r="F741" t="s">
        <v>13826</v>
      </c>
      <c r="G741" t="s">
        <v>74</v>
      </c>
      <c r="H741" t="s">
        <v>74</v>
      </c>
      <c r="I741" t="s">
        <v>13827</v>
      </c>
      <c r="J741" t="s">
        <v>13828</v>
      </c>
      <c r="K741" t="s">
        <v>74</v>
      </c>
      <c r="L741" t="s">
        <v>74</v>
      </c>
      <c r="M741" t="s">
        <v>78</v>
      </c>
      <c r="N741" t="s">
        <v>1246</v>
      </c>
      <c r="O741" t="s">
        <v>74</v>
      </c>
      <c r="P741" t="s">
        <v>74</v>
      </c>
      <c r="Q741" t="s">
        <v>74</v>
      </c>
      <c r="R741" t="s">
        <v>74</v>
      </c>
      <c r="S741" t="s">
        <v>74</v>
      </c>
      <c r="T741" t="s">
        <v>13829</v>
      </c>
      <c r="U741" t="s">
        <v>13830</v>
      </c>
      <c r="V741" t="s">
        <v>13831</v>
      </c>
      <c r="W741" t="s">
        <v>13832</v>
      </c>
      <c r="X741" t="s">
        <v>13833</v>
      </c>
      <c r="Y741" t="s">
        <v>13834</v>
      </c>
      <c r="Z741" t="s">
        <v>13835</v>
      </c>
      <c r="AA741" t="s">
        <v>74</v>
      </c>
      <c r="AB741" t="s">
        <v>74</v>
      </c>
      <c r="AC741" t="s">
        <v>13836</v>
      </c>
      <c r="AD741" t="s">
        <v>13837</v>
      </c>
      <c r="AE741" t="s">
        <v>13838</v>
      </c>
      <c r="AF741" t="s">
        <v>74</v>
      </c>
      <c r="AG741">
        <v>56</v>
      </c>
      <c r="AH741">
        <v>0</v>
      </c>
      <c r="AI741">
        <v>0</v>
      </c>
      <c r="AJ741">
        <v>1</v>
      </c>
      <c r="AK741">
        <v>1</v>
      </c>
      <c r="AL741" t="s">
        <v>117</v>
      </c>
      <c r="AM741" t="s">
        <v>118</v>
      </c>
      <c r="AN741" t="s">
        <v>119</v>
      </c>
      <c r="AO741" t="s">
        <v>13839</v>
      </c>
      <c r="AP741" t="s">
        <v>13840</v>
      </c>
      <c r="AQ741" t="s">
        <v>74</v>
      </c>
      <c r="AR741" t="s">
        <v>13841</v>
      </c>
      <c r="AS741" t="s">
        <v>13842</v>
      </c>
      <c r="AT741" t="s">
        <v>13594</v>
      </c>
      <c r="AU741">
        <v>2023</v>
      </c>
      <c r="AV741" t="s">
        <v>74</v>
      </c>
      <c r="AW741" t="s">
        <v>74</v>
      </c>
      <c r="AX741" t="s">
        <v>74</v>
      </c>
      <c r="AY741" t="s">
        <v>74</v>
      </c>
      <c r="AZ741" t="s">
        <v>74</v>
      </c>
      <c r="BA741" t="s">
        <v>74</v>
      </c>
      <c r="BB741" t="s">
        <v>74</v>
      </c>
      <c r="BC741" t="s">
        <v>74</v>
      </c>
      <c r="BD741" t="s">
        <v>74</v>
      </c>
      <c r="BE741" t="s">
        <v>13843</v>
      </c>
      <c r="BF741" t="str">
        <f>HYPERLINK("http://dx.doi.org/10.1007/s00371-023-02940-9","http://dx.doi.org/10.1007/s00371-023-02940-9")</f>
        <v>http://dx.doi.org/10.1007/s00371-023-02940-9</v>
      </c>
      <c r="BG741" t="s">
        <v>74</v>
      </c>
      <c r="BH741" t="s">
        <v>10650</v>
      </c>
      <c r="BI741">
        <v>16</v>
      </c>
      <c r="BJ741" t="s">
        <v>1138</v>
      </c>
      <c r="BK741" t="s">
        <v>126</v>
      </c>
      <c r="BL741" t="s">
        <v>1139</v>
      </c>
      <c r="BM741" t="s">
        <v>13844</v>
      </c>
      <c r="BN741" t="s">
        <v>74</v>
      </c>
      <c r="BO741" t="s">
        <v>74</v>
      </c>
      <c r="BP741" t="s">
        <v>74</v>
      </c>
      <c r="BQ741" t="s">
        <v>74</v>
      </c>
      <c r="BR741" t="s">
        <v>99</v>
      </c>
      <c r="BS741" t="s">
        <v>13845</v>
      </c>
      <c r="BT741" t="str">
        <f>HYPERLINK("https%3A%2F%2Fwww.webofscience.com%2Fwos%2Fwoscc%2Ffull-record%2FWOS:001060100700003","View Full Record in Web of Science")</f>
        <v>View Full Record in Web of Science</v>
      </c>
    </row>
    <row r="742" spans="1:72" x14ac:dyDescent="0.15">
      <c r="A742" t="s">
        <v>72</v>
      </c>
      <c r="B742" t="s">
        <v>13846</v>
      </c>
      <c r="C742" t="s">
        <v>74</v>
      </c>
      <c r="D742" t="s">
        <v>74</v>
      </c>
      <c r="E742" t="s">
        <v>74</v>
      </c>
      <c r="F742" t="s">
        <v>13847</v>
      </c>
      <c r="G742" t="s">
        <v>74</v>
      </c>
      <c r="H742" t="s">
        <v>74</v>
      </c>
      <c r="I742" t="s">
        <v>13848</v>
      </c>
      <c r="J742" t="s">
        <v>2415</v>
      </c>
      <c r="K742" t="s">
        <v>74</v>
      </c>
      <c r="L742" t="s">
        <v>74</v>
      </c>
      <c r="M742" t="s">
        <v>78</v>
      </c>
      <c r="N742" t="s">
        <v>79</v>
      </c>
      <c r="O742" t="s">
        <v>74</v>
      </c>
      <c r="P742" t="s">
        <v>74</v>
      </c>
      <c r="Q742" t="s">
        <v>74</v>
      </c>
      <c r="R742" t="s">
        <v>74</v>
      </c>
      <c r="S742" t="s">
        <v>74</v>
      </c>
      <c r="T742" t="s">
        <v>13849</v>
      </c>
      <c r="U742" t="s">
        <v>13850</v>
      </c>
      <c r="V742" t="s">
        <v>13851</v>
      </c>
      <c r="W742" t="s">
        <v>13852</v>
      </c>
      <c r="X742" t="s">
        <v>13853</v>
      </c>
      <c r="Y742" t="s">
        <v>13854</v>
      </c>
      <c r="Z742" t="s">
        <v>13855</v>
      </c>
      <c r="AA742" t="s">
        <v>74</v>
      </c>
      <c r="AB742" t="s">
        <v>74</v>
      </c>
      <c r="AC742" t="s">
        <v>13856</v>
      </c>
      <c r="AD742" t="s">
        <v>13856</v>
      </c>
      <c r="AE742" t="s">
        <v>13856</v>
      </c>
      <c r="AF742" t="s">
        <v>74</v>
      </c>
      <c r="AG742">
        <v>32</v>
      </c>
      <c r="AH742">
        <v>0</v>
      </c>
      <c r="AI742">
        <v>0</v>
      </c>
      <c r="AJ742">
        <v>1</v>
      </c>
      <c r="AK742">
        <v>1</v>
      </c>
      <c r="AL742" t="s">
        <v>443</v>
      </c>
      <c r="AM742" t="s">
        <v>245</v>
      </c>
      <c r="AN742" t="s">
        <v>444</v>
      </c>
      <c r="AO742" t="s">
        <v>74</v>
      </c>
      <c r="AP742" t="s">
        <v>2425</v>
      </c>
      <c r="AQ742" t="s">
        <v>74</v>
      </c>
      <c r="AR742" t="s">
        <v>2426</v>
      </c>
      <c r="AS742" t="s">
        <v>2427</v>
      </c>
      <c r="AT742" t="s">
        <v>13632</v>
      </c>
      <c r="AU742">
        <v>2023</v>
      </c>
      <c r="AV742">
        <v>23</v>
      </c>
      <c r="AW742">
        <v>1</v>
      </c>
      <c r="AX742" t="s">
        <v>74</v>
      </c>
      <c r="AY742" t="s">
        <v>74</v>
      </c>
      <c r="AZ742" t="s">
        <v>74</v>
      </c>
      <c r="BA742" t="s">
        <v>74</v>
      </c>
      <c r="BB742" t="s">
        <v>74</v>
      </c>
      <c r="BC742" t="s">
        <v>74</v>
      </c>
      <c r="BD742">
        <v>509</v>
      </c>
      <c r="BE742" t="s">
        <v>13857</v>
      </c>
      <c r="BF742" t="str">
        <f>HYPERLINK("http://dx.doi.org/10.1186/s12877-023-04180-x","http://dx.doi.org/10.1186/s12877-023-04180-x")</f>
        <v>http://dx.doi.org/10.1186/s12877-023-04180-x</v>
      </c>
      <c r="BG742" t="s">
        <v>74</v>
      </c>
      <c r="BH742" t="s">
        <v>74</v>
      </c>
      <c r="BI742">
        <v>8</v>
      </c>
      <c r="BJ742" t="s">
        <v>2430</v>
      </c>
      <c r="BK742" t="s">
        <v>2431</v>
      </c>
      <c r="BL742" t="s">
        <v>672</v>
      </c>
      <c r="BM742" t="s">
        <v>13858</v>
      </c>
      <c r="BN742">
        <v>37612657</v>
      </c>
      <c r="BO742" t="s">
        <v>302</v>
      </c>
      <c r="BP742" t="s">
        <v>74</v>
      </c>
      <c r="BQ742" t="s">
        <v>74</v>
      </c>
      <c r="BR742" t="s">
        <v>99</v>
      </c>
      <c r="BS742" t="s">
        <v>13859</v>
      </c>
      <c r="BT742" t="str">
        <f>HYPERLINK("https%3A%2F%2Fwww.webofscience.com%2Fwos%2Fwoscc%2Ffull-record%2FWOS:001053715100001","View Full Record in Web of Science")</f>
        <v>View Full Record in Web of Science</v>
      </c>
    </row>
    <row r="743" spans="1:72" x14ac:dyDescent="0.15">
      <c r="A743" t="s">
        <v>72</v>
      </c>
      <c r="B743" t="s">
        <v>13860</v>
      </c>
      <c r="C743" t="s">
        <v>74</v>
      </c>
      <c r="D743" t="s">
        <v>74</v>
      </c>
      <c r="E743" t="s">
        <v>74</v>
      </c>
      <c r="F743" t="s">
        <v>13861</v>
      </c>
      <c r="G743" t="s">
        <v>74</v>
      </c>
      <c r="H743" t="s">
        <v>74</v>
      </c>
      <c r="I743" t="s">
        <v>13862</v>
      </c>
      <c r="J743" t="s">
        <v>13863</v>
      </c>
      <c r="K743" t="s">
        <v>74</v>
      </c>
      <c r="L743" t="s">
        <v>74</v>
      </c>
      <c r="M743" t="s">
        <v>78</v>
      </c>
      <c r="N743" t="s">
        <v>79</v>
      </c>
      <c r="O743" t="s">
        <v>74</v>
      </c>
      <c r="P743" t="s">
        <v>74</v>
      </c>
      <c r="Q743" t="s">
        <v>74</v>
      </c>
      <c r="R743" t="s">
        <v>74</v>
      </c>
      <c r="S743" t="s">
        <v>74</v>
      </c>
      <c r="T743" t="s">
        <v>13864</v>
      </c>
      <c r="U743" t="s">
        <v>13865</v>
      </c>
      <c r="V743" t="s">
        <v>13866</v>
      </c>
      <c r="W743" t="s">
        <v>13867</v>
      </c>
      <c r="X743" t="s">
        <v>13868</v>
      </c>
      <c r="Y743" t="s">
        <v>13869</v>
      </c>
      <c r="Z743" t="s">
        <v>13870</v>
      </c>
      <c r="AA743" t="s">
        <v>74</v>
      </c>
      <c r="AB743" t="s">
        <v>74</v>
      </c>
      <c r="AC743" t="s">
        <v>13871</v>
      </c>
      <c r="AD743" t="s">
        <v>13872</v>
      </c>
      <c r="AE743" t="s">
        <v>13873</v>
      </c>
      <c r="AF743" t="s">
        <v>74</v>
      </c>
      <c r="AG743">
        <v>67</v>
      </c>
      <c r="AH743">
        <v>0</v>
      </c>
      <c r="AI743">
        <v>0</v>
      </c>
      <c r="AJ743">
        <v>0</v>
      </c>
      <c r="AK743">
        <v>0</v>
      </c>
      <c r="AL743" t="s">
        <v>269</v>
      </c>
      <c r="AM743" t="s">
        <v>118</v>
      </c>
      <c r="AN743" t="s">
        <v>270</v>
      </c>
      <c r="AO743" t="s">
        <v>13874</v>
      </c>
      <c r="AP743" t="s">
        <v>13875</v>
      </c>
      <c r="AQ743" t="s">
        <v>74</v>
      </c>
      <c r="AR743" t="s">
        <v>13876</v>
      </c>
      <c r="AS743" t="s">
        <v>13877</v>
      </c>
      <c r="AT743" t="s">
        <v>13632</v>
      </c>
      <c r="AU743">
        <v>2023</v>
      </c>
      <c r="AV743" t="s">
        <v>74</v>
      </c>
      <c r="AW743" t="s">
        <v>74</v>
      </c>
      <c r="AX743" t="s">
        <v>74</v>
      </c>
      <c r="AY743" t="s">
        <v>74</v>
      </c>
      <c r="AZ743" t="s">
        <v>74</v>
      </c>
      <c r="BA743" t="s">
        <v>74</v>
      </c>
      <c r="BB743" t="s">
        <v>74</v>
      </c>
      <c r="BC743" t="s">
        <v>74</v>
      </c>
      <c r="BD743" t="s">
        <v>13878</v>
      </c>
      <c r="BE743" t="s">
        <v>13879</v>
      </c>
      <c r="BF743" t="str">
        <f>HYPERLINK("http://dx.doi.org/10.1007/s10461-023-04145-6","http://dx.doi.org/10.1007/s10461-023-04145-6")</f>
        <v>http://dx.doi.org/10.1007/s10461-023-04145-6</v>
      </c>
      <c r="BG743" t="s">
        <v>74</v>
      </c>
      <c r="BH743" t="s">
        <v>74</v>
      </c>
      <c r="BI743">
        <v>10</v>
      </c>
      <c r="BJ743" t="s">
        <v>13880</v>
      </c>
      <c r="BK743" t="s">
        <v>425</v>
      </c>
      <c r="BL743" t="s">
        <v>13881</v>
      </c>
      <c r="BM743" t="s">
        <v>13882</v>
      </c>
      <c r="BN743">
        <v>37610534</v>
      </c>
      <c r="BO743" t="s">
        <v>74</v>
      </c>
      <c r="BP743" t="s">
        <v>74</v>
      </c>
      <c r="BQ743" t="s">
        <v>74</v>
      </c>
      <c r="BR743" t="s">
        <v>99</v>
      </c>
      <c r="BS743" t="s">
        <v>13883</v>
      </c>
      <c r="BT743" t="str">
        <f>HYPERLINK("https%3A%2F%2Fwww.webofscience.com%2Fwos%2Fwoscc%2Ffull-record%2FWOS:001053629300001","View Full Record in Web of Science")</f>
        <v>View Full Record in Web of Science</v>
      </c>
    </row>
    <row r="744" spans="1:72" x14ac:dyDescent="0.15">
      <c r="A744" t="s">
        <v>72</v>
      </c>
      <c r="B744" t="s">
        <v>13884</v>
      </c>
      <c r="C744" t="s">
        <v>74</v>
      </c>
      <c r="D744" t="s">
        <v>74</v>
      </c>
      <c r="E744" t="s">
        <v>74</v>
      </c>
      <c r="F744" t="s">
        <v>13885</v>
      </c>
      <c r="G744" t="s">
        <v>74</v>
      </c>
      <c r="H744" t="s">
        <v>74</v>
      </c>
      <c r="I744" t="s">
        <v>13886</v>
      </c>
      <c r="J744" t="s">
        <v>13887</v>
      </c>
      <c r="K744" t="s">
        <v>74</v>
      </c>
      <c r="L744" t="s">
        <v>74</v>
      </c>
      <c r="M744" t="s">
        <v>78</v>
      </c>
      <c r="N744" t="s">
        <v>79</v>
      </c>
      <c r="O744" t="s">
        <v>74</v>
      </c>
      <c r="P744" t="s">
        <v>74</v>
      </c>
      <c r="Q744" t="s">
        <v>74</v>
      </c>
      <c r="R744" t="s">
        <v>74</v>
      </c>
      <c r="S744" t="s">
        <v>74</v>
      </c>
      <c r="T744" t="s">
        <v>13888</v>
      </c>
      <c r="U744" t="s">
        <v>13889</v>
      </c>
      <c r="V744" t="s">
        <v>13890</v>
      </c>
      <c r="W744" t="s">
        <v>13891</v>
      </c>
      <c r="X744" t="s">
        <v>13892</v>
      </c>
      <c r="Y744" t="s">
        <v>13893</v>
      </c>
      <c r="Z744" t="s">
        <v>13894</v>
      </c>
      <c r="AA744" t="s">
        <v>74</v>
      </c>
      <c r="AB744" t="s">
        <v>74</v>
      </c>
      <c r="AC744" t="s">
        <v>13895</v>
      </c>
      <c r="AD744" t="s">
        <v>13895</v>
      </c>
      <c r="AE744" t="s">
        <v>13895</v>
      </c>
      <c r="AF744" t="s">
        <v>74</v>
      </c>
      <c r="AG744">
        <v>11</v>
      </c>
      <c r="AH744">
        <v>0</v>
      </c>
      <c r="AI744">
        <v>0</v>
      </c>
      <c r="AJ744">
        <v>0</v>
      </c>
      <c r="AK744">
        <v>0</v>
      </c>
      <c r="AL744" t="s">
        <v>117</v>
      </c>
      <c r="AM744" t="s">
        <v>118</v>
      </c>
      <c r="AN744" t="s">
        <v>119</v>
      </c>
      <c r="AO744" t="s">
        <v>13896</v>
      </c>
      <c r="AP744" t="s">
        <v>13897</v>
      </c>
      <c r="AQ744" t="s">
        <v>74</v>
      </c>
      <c r="AR744" t="s">
        <v>13898</v>
      </c>
      <c r="AS744" t="s">
        <v>13899</v>
      </c>
      <c r="AT744" t="s">
        <v>13632</v>
      </c>
      <c r="AU744">
        <v>2023</v>
      </c>
      <c r="AV744">
        <v>15</v>
      </c>
      <c r="AW744">
        <v>1</v>
      </c>
      <c r="AX744" t="s">
        <v>74</v>
      </c>
      <c r="AY744" t="s">
        <v>74</v>
      </c>
      <c r="AZ744" t="s">
        <v>74</v>
      </c>
      <c r="BA744" t="s">
        <v>74</v>
      </c>
      <c r="BB744" t="s">
        <v>74</v>
      </c>
      <c r="BC744" t="s">
        <v>74</v>
      </c>
      <c r="BD744">
        <v>68</v>
      </c>
      <c r="BE744" t="s">
        <v>13900</v>
      </c>
      <c r="BF744" t="str">
        <f>HYPERLINK("http://dx.doi.org/10.1186/s42077-023-00357-z","http://dx.doi.org/10.1186/s42077-023-00357-z")</f>
        <v>http://dx.doi.org/10.1186/s42077-023-00357-z</v>
      </c>
      <c r="BG744" t="s">
        <v>74</v>
      </c>
      <c r="BH744" t="s">
        <v>74</v>
      </c>
      <c r="BI744">
        <v>5</v>
      </c>
      <c r="BJ744" t="s">
        <v>3574</v>
      </c>
      <c r="BK744" t="s">
        <v>97</v>
      </c>
      <c r="BL744" t="s">
        <v>3574</v>
      </c>
      <c r="BM744" t="s">
        <v>13901</v>
      </c>
      <c r="BN744" t="s">
        <v>74</v>
      </c>
      <c r="BO744" t="s">
        <v>302</v>
      </c>
      <c r="BP744" t="s">
        <v>74</v>
      </c>
      <c r="BQ744" t="s">
        <v>74</v>
      </c>
      <c r="BR744" t="s">
        <v>99</v>
      </c>
      <c r="BS744" t="s">
        <v>13902</v>
      </c>
      <c r="BT744" t="str">
        <f>HYPERLINK("https%3A%2F%2Fwww.webofscience.com%2Fwos%2Fwoscc%2Ffull-record%2FWOS:001053807900001","View Full Record in Web of Science")</f>
        <v>View Full Record in Web of Science</v>
      </c>
    </row>
    <row r="745" spans="1:72" x14ac:dyDescent="0.15">
      <c r="A745" t="s">
        <v>72</v>
      </c>
      <c r="B745" t="s">
        <v>13903</v>
      </c>
      <c r="C745" t="s">
        <v>74</v>
      </c>
      <c r="D745" t="s">
        <v>74</v>
      </c>
      <c r="E745" t="s">
        <v>74</v>
      </c>
      <c r="F745" t="s">
        <v>13904</v>
      </c>
      <c r="G745" t="s">
        <v>74</v>
      </c>
      <c r="H745" t="s">
        <v>74</v>
      </c>
      <c r="I745" t="s">
        <v>13905</v>
      </c>
      <c r="J745" t="s">
        <v>13906</v>
      </c>
      <c r="K745" t="s">
        <v>74</v>
      </c>
      <c r="L745" t="s">
        <v>74</v>
      </c>
      <c r="M745" t="s">
        <v>78</v>
      </c>
      <c r="N745" t="s">
        <v>79</v>
      </c>
      <c r="O745" t="s">
        <v>74</v>
      </c>
      <c r="P745" t="s">
        <v>74</v>
      </c>
      <c r="Q745" t="s">
        <v>74</v>
      </c>
      <c r="R745" t="s">
        <v>74</v>
      </c>
      <c r="S745" t="s">
        <v>74</v>
      </c>
      <c r="T745" t="s">
        <v>13907</v>
      </c>
      <c r="U745" t="s">
        <v>13908</v>
      </c>
      <c r="V745" t="s">
        <v>13909</v>
      </c>
      <c r="W745" t="s">
        <v>13910</v>
      </c>
      <c r="X745" t="s">
        <v>13911</v>
      </c>
      <c r="Y745" t="s">
        <v>13912</v>
      </c>
      <c r="Z745" t="s">
        <v>13913</v>
      </c>
      <c r="AA745" t="s">
        <v>74</v>
      </c>
      <c r="AB745" t="s">
        <v>74</v>
      </c>
      <c r="AC745" t="s">
        <v>13914</v>
      </c>
      <c r="AD745" t="s">
        <v>13914</v>
      </c>
      <c r="AE745" t="s">
        <v>13914</v>
      </c>
      <c r="AF745" t="s">
        <v>74</v>
      </c>
      <c r="AG745">
        <v>44</v>
      </c>
      <c r="AH745">
        <v>0</v>
      </c>
      <c r="AI745">
        <v>0</v>
      </c>
      <c r="AJ745">
        <v>0</v>
      </c>
      <c r="AK745">
        <v>0</v>
      </c>
      <c r="AL745" t="s">
        <v>443</v>
      </c>
      <c r="AM745" t="s">
        <v>245</v>
      </c>
      <c r="AN745" t="s">
        <v>444</v>
      </c>
      <c r="AO745" t="s">
        <v>13915</v>
      </c>
      <c r="AP745" t="s">
        <v>74</v>
      </c>
      <c r="AQ745" t="s">
        <v>74</v>
      </c>
      <c r="AR745" t="s">
        <v>13916</v>
      </c>
      <c r="AS745" t="s">
        <v>13917</v>
      </c>
      <c r="AT745" t="s">
        <v>13632</v>
      </c>
      <c r="AU745">
        <v>2023</v>
      </c>
      <c r="AV745">
        <v>52</v>
      </c>
      <c r="AW745">
        <v>1</v>
      </c>
      <c r="AX745" t="s">
        <v>74</v>
      </c>
      <c r="AY745" t="s">
        <v>74</v>
      </c>
      <c r="AZ745" t="s">
        <v>74</v>
      </c>
      <c r="BA745" t="s">
        <v>74</v>
      </c>
      <c r="BB745" t="s">
        <v>74</v>
      </c>
      <c r="BC745" t="s">
        <v>74</v>
      </c>
      <c r="BD745">
        <v>55</v>
      </c>
      <c r="BE745" t="s">
        <v>13918</v>
      </c>
      <c r="BF745" t="str">
        <f>HYPERLINK("http://dx.doi.org/10.1186/s40463-023-00649-2","http://dx.doi.org/10.1186/s40463-023-00649-2")</f>
        <v>http://dx.doi.org/10.1186/s40463-023-00649-2</v>
      </c>
      <c r="BG745" t="s">
        <v>74</v>
      </c>
      <c r="BH745" t="s">
        <v>74</v>
      </c>
      <c r="BI745">
        <v>8</v>
      </c>
      <c r="BJ745" t="s">
        <v>5938</v>
      </c>
      <c r="BK745" t="s">
        <v>126</v>
      </c>
      <c r="BL745" t="s">
        <v>5938</v>
      </c>
      <c r="BM745" t="s">
        <v>13919</v>
      </c>
      <c r="BN745">
        <v>37612760</v>
      </c>
      <c r="BO745" t="s">
        <v>302</v>
      </c>
      <c r="BP745" t="s">
        <v>74</v>
      </c>
      <c r="BQ745" t="s">
        <v>74</v>
      </c>
      <c r="BR745" t="s">
        <v>99</v>
      </c>
      <c r="BS745" t="s">
        <v>13920</v>
      </c>
      <c r="BT745" t="str">
        <f>HYPERLINK("https%3A%2F%2Fwww.webofscience.com%2Fwos%2Fwoscc%2Ffull-record%2FWOS:001053814600001","View Full Record in Web of Science")</f>
        <v>View Full Record in Web of Science</v>
      </c>
    </row>
    <row r="746" spans="1:72" x14ac:dyDescent="0.15">
      <c r="A746" t="s">
        <v>72</v>
      </c>
      <c r="B746" t="s">
        <v>13921</v>
      </c>
      <c r="C746" t="s">
        <v>74</v>
      </c>
      <c r="D746" t="s">
        <v>74</v>
      </c>
      <c r="E746" t="s">
        <v>74</v>
      </c>
      <c r="F746" t="s">
        <v>13922</v>
      </c>
      <c r="G746" t="s">
        <v>74</v>
      </c>
      <c r="H746" t="s">
        <v>74</v>
      </c>
      <c r="I746" t="s">
        <v>13923</v>
      </c>
      <c r="J746" t="s">
        <v>13924</v>
      </c>
      <c r="K746" t="s">
        <v>74</v>
      </c>
      <c r="L746" t="s">
        <v>74</v>
      </c>
      <c r="M746" t="s">
        <v>78</v>
      </c>
      <c r="N746" t="s">
        <v>79</v>
      </c>
      <c r="O746" t="s">
        <v>74</v>
      </c>
      <c r="P746" t="s">
        <v>74</v>
      </c>
      <c r="Q746" t="s">
        <v>74</v>
      </c>
      <c r="R746" t="s">
        <v>74</v>
      </c>
      <c r="S746" t="s">
        <v>74</v>
      </c>
      <c r="T746" t="s">
        <v>13925</v>
      </c>
      <c r="U746" t="s">
        <v>13926</v>
      </c>
      <c r="V746" t="s">
        <v>13927</v>
      </c>
      <c r="W746" t="s">
        <v>13928</v>
      </c>
      <c r="X746" t="s">
        <v>74</v>
      </c>
      <c r="Y746" t="s">
        <v>13929</v>
      </c>
      <c r="Z746" t="s">
        <v>13930</v>
      </c>
      <c r="AA746" t="s">
        <v>13931</v>
      </c>
      <c r="AB746" t="s">
        <v>13932</v>
      </c>
      <c r="AC746" t="s">
        <v>74</v>
      </c>
      <c r="AD746" t="s">
        <v>74</v>
      </c>
      <c r="AE746" t="s">
        <v>74</v>
      </c>
      <c r="AF746" t="s">
        <v>74</v>
      </c>
      <c r="AG746">
        <v>72</v>
      </c>
      <c r="AH746">
        <v>1</v>
      </c>
      <c r="AI746">
        <v>1</v>
      </c>
      <c r="AJ746">
        <v>3</v>
      </c>
      <c r="AK746">
        <v>3</v>
      </c>
      <c r="AL746" t="s">
        <v>317</v>
      </c>
      <c r="AM746" t="s">
        <v>245</v>
      </c>
      <c r="AN746" t="s">
        <v>318</v>
      </c>
      <c r="AO746" t="s">
        <v>13933</v>
      </c>
      <c r="AP746" t="s">
        <v>13934</v>
      </c>
      <c r="AQ746" t="s">
        <v>74</v>
      </c>
      <c r="AR746" t="s">
        <v>13935</v>
      </c>
      <c r="AS746" t="s">
        <v>13936</v>
      </c>
      <c r="AT746" t="s">
        <v>13632</v>
      </c>
      <c r="AU746">
        <v>2023</v>
      </c>
      <c r="AV746" t="s">
        <v>74</v>
      </c>
      <c r="AW746" t="s">
        <v>74</v>
      </c>
      <c r="AX746" t="s">
        <v>74</v>
      </c>
      <c r="AY746" t="s">
        <v>74</v>
      </c>
      <c r="AZ746" t="s">
        <v>74</v>
      </c>
      <c r="BA746" t="s">
        <v>74</v>
      </c>
      <c r="BB746" t="s">
        <v>74</v>
      </c>
      <c r="BC746" t="s">
        <v>74</v>
      </c>
      <c r="BD746" t="s">
        <v>74</v>
      </c>
      <c r="BE746" t="s">
        <v>13937</v>
      </c>
      <c r="BF746" t="str">
        <f>HYPERLINK("http://dx.doi.org/10.1007/s42250-023-00766-5","http://dx.doi.org/10.1007/s42250-023-00766-5")</f>
        <v>http://dx.doi.org/10.1007/s42250-023-00766-5</v>
      </c>
      <c r="BG746" t="s">
        <v>74</v>
      </c>
      <c r="BH746" t="s">
        <v>74</v>
      </c>
      <c r="BI746">
        <v>14</v>
      </c>
      <c r="BJ746" t="s">
        <v>2825</v>
      </c>
      <c r="BK746" t="s">
        <v>97</v>
      </c>
      <c r="BL746" t="s">
        <v>2826</v>
      </c>
      <c r="BM746" t="s">
        <v>13938</v>
      </c>
      <c r="BN746" t="s">
        <v>74</v>
      </c>
      <c r="BO746" t="s">
        <v>74</v>
      </c>
      <c r="BP746" t="s">
        <v>74</v>
      </c>
      <c r="BQ746" t="s">
        <v>74</v>
      </c>
      <c r="BR746" t="s">
        <v>99</v>
      </c>
      <c r="BS746" t="s">
        <v>13939</v>
      </c>
      <c r="BT746" t="str">
        <f>HYPERLINK("https%3A%2F%2Fwww.webofscience.com%2Fwos%2Fwoscc%2Ffull-record%2FWOS:001053699400001","View Full Record in Web of Science")</f>
        <v>View Full Record in Web of Science</v>
      </c>
    </row>
    <row r="747" spans="1:72" x14ac:dyDescent="0.15">
      <c r="A747" t="s">
        <v>72</v>
      </c>
      <c r="B747" t="s">
        <v>13940</v>
      </c>
      <c r="C747" t="s">
        <v>74</v>
      </c>
      <c r="D747" t="s">
        <v>74</v>
      </c>
      <c r="E747" t="s">
        <v>74</v>
      </c>
      <c r="F747" t="s">
        <v>13941</v>
      </c>
      <c r="G747" t="s">
        <v>74</v>
      </c>
      <c r="H747" t="s">
        <v>74</v>
      </c>
      <c r="I747" t="s">
        <v>13942</v>
      </c>
      <c r="J747" t="s">
        <v>13943</v>
      </c>
      <c r="K747" t="s">
        <v>74</v>
      </c>
      <c r="L747" t="s">
        <v>74</v>
      </c>
      <c r="M747" t="s">
        <v>78</v>
      </c>
      <c r="N747" t="s">
        <v>79</v>
      </c>
      <c r="O747" t="s">
        <v>74</v>
      </c>
      <c r="P747" t="s">
        <v>74</v>
      </c>
      <c r="Q747" t="s">
        <v>74</v>
      </c>
      <c r="R747" t="s">
        <v>74</v>
      </c>
      <c r="S747" t="s">
        <v>74</v>
      </c>
      <c r="T747" t="s">
        <v>13944</v>
      </c>
      <c r="U747" t="s">
        <v>13945</v>
      </c>
      <c r="V747" t="s">
        <v>13946</v>
      </c>
      <c r="W747" t="s">
        <v>13947</v>
      </c>
      <c r="X747" t="s">
        <v>13948</v>
      </c>
      <c r="Y747" t="s">
        <v>13949</v>
      </c>
      <c r="Z747" t="s">
        <v>13950</v>
      </c>
      <c r="AA747" t="s">
        <v>74</v>
      </c>
      <c r="AB747" t="s">
        <v>74</v>
      </c>
      <c r="AC747" t="s">
        <v>74</v>
      </c>
      <c r="AD747" t="s">
        <v>74</v>
      </c>
      <c r="AE747" t="s">
        <v>74</v>
      </c>
      <c r="AF747" t="s">
        <v>74</v>
      </c>
      <c r="AG747">
        <v>65</v>
      </c>
      <c r="AH747">
        <v>0</v>
      </c>
      <c r="AI747">
        <v>0</v>
      </c>
      <c r="AJ747">
        <v>1</v>
      </c>
      <c r="AK747">
        <v>1</v>
      </c>
      <c r="AL747" t="s">
        <v>443</v>
      </c>
      <c r="AM747" t="s">
        <v>245</v>
      </c>
      <c r="AN747" t="s">
        <v>444</v>
      </c>
      <c r="AO747" t="s">
        <v>74</v>
      </c>
      <c r="AP747" t="s">
        <v>13951</v>
      </c>
      <c r="AQ747" t="s">
        <v>74</v>
      </c>
      <c r="AR747" t="s">
        <v>13952</v>
      </c>
      <c r="AS747" t="s">
        <v>13953</v>
      </c>
      <c r="AT747" t="s">
        <v>13632</v>
      </c>
      <c r="AU747">
        <v>2023</v>
      </c>
      <c r="AV747">
        <v>21</v>
      </c>
      <c r="AW747">
        <v>1</v>
      </c>
      <c r="AX747" t="s">
        <v>74</v>
      </c>
      <c r="AY747" t="s">
        <v>74</v>
      </c>
      <c r="AZ747" t="s">
        <v>74</v>
      </c>
      <c r="BA747" t="s">
        <v>74</v>
      </c>
      <c r="BB747" t="s">
        <v>74</v>
      </c>
      <c r="BC747" t="s">
        <v>74</v>
      </c>
      <c r="BD747">
        <v>173</v>
      </c>
      <c r="BE747" t="s">
        <v>13954</v>
      </c>
      <c r="BF747" t="str">
        <f>HYPERLINK("http://dx.doi.org/10.1186/s12915-023-01662-7","http://dx.doi.org/10.1186/s12915-023-01662-7")</f>
        <v>http://dx.doi.org/10.1186/s12915-023-01662-7</v>
      </c>
      <c r="BG747" t="s">
        <v>74</v>
      </c>
      <c r="BH747" t="s">
        <v>74</v>
      </c>
      <c r="BI747">
        <v>12</v>
      </c>
      <c r="BJ747" t="s">
        <v>13955</v>
      </c>
      <c r="BK747" t="s">
        <v>126</v>
      </c>
      <c r="BL747" t="s">
        <v>13956</v>
      </c>
      <c r="BM747" t="s">
        <v>13957</v>
      </c>
      <c r="BN747">
        <v>37608375</v>
      </c>
      <c r="BO747" t="s">
        <v>302</v>
      </c>
      <c r="BP747" t="s">
        <v>74</v>
      </c>
      <c r="BQ747" t="s">
        <v>74</v>
      </c>
      <c r="BR747" t="s">
        <v>99</v>
      </c>
      <c r="BS747" t="s">
        <v>13958</v>
      </c>
      <c r="BT747" t="str">
        <f>HYPERLINK("https%3A%2F%2Fwww.webofscience.com%2Fwos%2Fwoscc%2Ffull-record%2FWOS:001051878200001","View Full Record in Web of Science")</f>
        <v>View Full Record in Web of Science</v>
      </c>
    </row>
    <row r="748" spans="1:72" x14ac:dyDescent="0.15">
      <c r="A748" t="s">
        <v>72</v>
      </c>
      <c r="B748" t="s">
        <v>13959</v>
      </c>
      <c r="C748" t="s">
        <v>74</v>
      </c>
      <c r="D748" t="s">
        <v>74</v>
      </c>
      <c r="E748" t="s">
        <v>74</v>
      </c>
      <c r="F748" t="s">
        <v>13960</v>
      </c>
      <c r="G748" t="s">
        <v>74</v>
      </c>
      <c r="H748" t="s">
        <v>74</v>
      </c>
      <c r="I748" t="s">
        <v>13961</v>
      </c>
      <c r="J748" t="s">
        <v>13962</v>
      </c>
      <c r="K748" t="s">
        <v>74</v>
      </c>
      <c r="L748" t="s">
        <v>74</v>
      </c>
      <c r="M748" t="s">
        <v>78</v>
      </c>
      <c r="N748" t="s">
        <v>79</v>
      </c>
      <c r="O748" t="s">
        <v>74</v>
      </c>
      <c r="P748" t="s">
        <v>74</v>
      </c>
      <c r="Q748" t="s">
        <v>74</v>
      </c>
      <c r="R748" t="s">
        <v>74</v>
      </c>
      <c r="S748" t="s">
        <v>74</v>
      </c>
      <c r="T748" t="s">
        <v>74</v>
      </c>
      <c r="U748" t="s">
        <v>13963</v>
      </c>
      <c r="V748" t="s">
        <v>13964</v>
      </c>
      <c r="W748" t="s">
        <v>13965</v>
      </c>
      <c r="X748" t="s">
        <v>13966</v>
      </c>
      <c r="Y748" t="s">
        <v>13967</v>
      </c>
      <c r="Z748" t="s">
        <v>13968</v>
      </c>
      <c r="AA748" t="s">
        <v>74</v>
      </c>
      <c r="AB748" t="s">
        <v>74</v>
      </c>
      <c r="AC748" t="s">
        <v>13969</v>
      </c>
      <c r="AD748" t="s">
        <v>13970</v>
      </c>
      <c r="AE748" t="s">
        <v>13971</v>
      </c>
      <c r="AF748" t="s">
        <v>74</v>
      </c>
      <c r="AG748">
        <v>69</v>
      </c>
      <c r="AH748">
        <v>0</v>
      </c>
      <c r="AI748">
        <v>0</v>
      </c>
      <c r="AJ748">
        <v>1</v>
      </c>
      <c r="AK748">
        <v>1</v>
      </c>
      <c r="AL748" t="s">
        <v>317</v>
      </c>
      <c r="AM748" t="s">
        <v>245</v>
      </c>
      <c r="AN748" t="s">
        <v>318</v>
      </c>
      <c r="AO748" t="s">
        <v>74</v>
      </c>
      <c r="AP748" t="s">
        <v>13972</v>
      </c>
      <c r="AQ748" t="s">
        <v>74</v>
      </c>
      <c r="AR748" t="s">
        <v>13973</v>
      </c>
      <c r="AS748" t="s">
        <v>13974</v>
      </c>
      <c r="AT748" t="s">
        <v>13632</v>
      </c>
      <c r="AU748">
        <v>2023</v>
      </c>
      <c r="AV748">
        <v>4</v>
      </c>
      <c r="AW748">
        <v>1</v>
      </c>
      <c r="AX748" t="s">
        <v>74</v>
      </c>
      <c r="AY748" t="s">
        <v>74</v>
      </c>
      <c r="AZ748" t="s">
        <v>74</v>
      </c>
      <c r="BA748" t="s">
        <v>74</v>
      </c>
      <c r="BB748" t="s">
        <v>74</v>
      </c>
      <c r="BC748" t="s">
        <v>74</v>
      </c>
      <c r="BD748">
        <v>64</v>
      </c>
      <c r="BE748" t="s">
        <v>13975</v>
      </c>
      <c r="BF748" t="str">
        <f>HYPERLINK("http://dx.doi.org/10.1038/s43246-023-00382-3","http://dx.doi.org/10.1038/s43246-023-00382-3")</f>
        <v>http://dx.doi.org/10.1038/s43246-023-00382-3</v>
      </c>
      <c r="BG748" t="s">
        <v>74</v>
      </c>
      <c r="BH748" t="s">
        <v>74</v>
      </c>
      <c r="BI748">
        <v>8</v>
      </c>
      <c r="BJ748" t="s">
        <v>5216</v>
      </c>
      <c r="BK748" t="s">
        <v>97</v>
      </c>
      <c r="BL748" t="s">
        <v>2293</v>
      </c>
      <c r="BM748" t="s">
        <v>13976</v>
      </c>
      <c r="BN748" t="s">
        <v>74</v>
      </c>
      <c r="BO748" t="s">
        <v>3356</v>
      </c>
      <c r="BP748" t="s">
        <v>74</v>
      </c>
      <c r="BQ748" t="s">
        <v>74</v>
      </c>
      <c r="BR748" t="s">
        <v>99</v>
      </c>
      <c r="BS748" t="s">
        <v>13977</v>
      </c>
      <c r="BT748" t="str">
        <f>HYPERLINK("https%3A%2F%2Fwww.webofscience.com%2Fwos%2Fwoscc%2Ffull-record%2FWOS:001053787400001","View Full Record in Web of Science")</f>
        <v>View Full Record in Web of Science</v>
      </c>
    </row>
    <row r="749" spans="1:72" x14ac:dyDescent="0.15">
      <c r="A749" t="s">
        <v>72</v>
      </c>
      <c r="B749" t="s">
        <v>13978</v>
      </c>
      <c r="C749" t="s">
        <v>74</v>
      </c>
      <c r="D749" t="s">
        <v>74</v>
      </c>
      <c r="E749" t="s">
        <v>74</v>
      </c>
      <c r="F749" t="s">
        <v>13979</v>
      </c>
      <c r="G749" t="s">
        <v>74</v>
      </c>
      <c r="H749" t="s">
        <v>74</v>
      </c>
      <c r="I749" t="s">
        <v>13980</v>
      </c>
      <c r="J749" t="s">
        <v>13981</v>
      </c>
      <c r="K749" t="s">
        <v>74</v>
      </c>
      <c r="L749" t="s">
        <v>74</v>
      </c>
      <c r="M749" t="s">
        <v>78</v>
      </c>
      <c r="N749" t="s">
        <v>1246</v>
      </c>
      <c r="O749" t="s">
        <v>74</v>
      </c>
      <c r="P749" t="s">
        <v>74</v>
      </c>
      <c r="Q749" t="s">
        <v>74</v>
      </c>
      <c r="R749" t="s">
        <v>74</v>
      </c>
      <c r="S749" t="s">
        <v>74</v>
      </c>
      <c r="T749" t="s">
        <v>13982</v>
      </c>
      <c r="U749" t="s">
        <v>13983</v>
      </c>
      <c r="V749" t="s">
        <v>13984</v>
      </c>
      <c r="W749" t="s">
        <v>13985</v>
      </c>
      <c r="X749" t="s">
        <v>13986</v>
      </c>
      <c r="Y749" t="s">
        <v>13987</v>
      </c>
      <c r="Z749" t="s">
        <v>13988</v>
      </c>
      <c r="AA749" t="s">
        <v>74</v>
      </c>
      <c r="AB749" t="s">
        <v>13989</v>
      </c>
      <c r="AC749" t="s">
        <v>74</v>
      </c>
      <c r="AD749" t="s">
        <v>74</v>
      </c>
      <c r="AE749" t="s">
        <v>74</v>
      </c>
      <c r="AF749" t="s">
        <v>74</v>
      </c>
      <c r="AG749">
        <v>36</v>
      </c>
      <c r="AH749">
        <v>0</v>
      </c>
      <c r="AI749">
        <v>0</v>
      </c>
      <c r="AJ749">
        <v>4</v>
      </c>
      <c r="AK749">
        <v>4</v>
      </c>
      <c r="AL749" t="s">
        <v>117</v>
      </c>
      <c r="AM749" t="s">
        <v>118</v>
      </c>
      <c r="AN749" t="s">
        <v>119</v>
      </c>
      <c r="AO749" t="s">
        <v>13990</v>
      </c>
      <c r="AP749" t="s">
        <v>13991</v>
      </c>
      <c r="AQ749" t="s">
        <v>74</v>
      </c>
      <c r="AR749" t="s">
        <v>13992</v>
      </c>
      <c r="AS749" t="s">
        <v>13993</v>
      </c>
      <c r="AT749" t="s">
        <v>13594</v>
      </c>
      <c r="AU749">
        <v>2023</v>
      </c>
      <c r="AV749" t="s">
        <v>74</v>
      </c>
      <c r="AW749" t="s">
        <v>74</v>
      </c>
      <c r="AX749" t="s">
        <v>74</v>
      </c>
      <c r="AY749" t="s">
        <v>74</v>
      </c>
      <c r="AZ749" t="s">
        <v>74</v>
      </c>
      <c r="BA749" t="s">
        <v>74</v>
      </c>
      <c r="BB749" t="s">
        <v>74</v>
      </c>
      <c r="BC749" t="s">
        <v>74</v>
      </c>
      <c r="BD749" t="s">
        <v>74</v>
      </c>
      <c r="BE749" t="s">
        <v>13994</v>
      </c>
      <c r="BF749" t="str">
        <f>HYPERLINK("http://dx.doi.org/10.1007/s11694-023-02115-z","http://dx.doi.org/10.1007/s11694-023-02115-z")</f>
        <v>http://dx.doi.org/10.1007/s11694-023-02115-z</v>
      </c>
      <c r="BG749" t="s">
        <v>74</v>
      </c>
      <c r="BH749" t="s">
        <v>10650</v>
      </c>
      <c r="BI749">
        <v>10</v>
      </c>
      <c r="BJ749" t="s">
        <v>4453</v>
      </c>
      <c r="BK749" t="s">
        <v>126</v>
      </c>
      <c r="BL749" t="s">
        <v>4453</v>
      </c>
      <c r="BM749" t="s">
        <v>13995</v>
      </c>
      <c r="BN749" t="s">
        <v>74</v>
      </c>
      <c r="BO749" t="s">
        <v>74</v>
      </c>
      <c r="BP749" t="s">
        <v>74</v>
      </c>
      <c r="BQ749" t="s">
        <v>74</v>
      </c>
      <c r="BR749" t="s">
        <v>99</v>
      </c>
      <c r="BS749" t="s">
        <v>13996</v>
      </c>
      <c r="BT749" t="str">
        <f>HYPERLINK("https%3A%2F%2Fwww.webofscience.com%2Fwos%2Fwoscc%2Ffull-record%2FWOS:001052798100004","View Full Record in Web of Science")</f>
        <v>View Full Record in Web of Science</v>
      </c>
    </row>
    <row r="750" spans="1:72" x14ac:dyDescent="0.15">
      <c r="A750" t="s">
        <v>72</v>
      </c>
      <c r="B750" t="s">
        <v>13997</v>
      </c>
      <c r="C750" t="s">
        <v>74</v>
      </c>
      <c r="D750" t="s">
        <v>74</v>
      </c>
      <c r="E750" t="s">
        <v>74</v>
      </c>
      <c r="F750" t="s">
        <v>13998</v>
      </c>
      <c r="G750" t="s">
        <v>74</v>
      </c>
      <c r="H750" t="s">
        <v>74</v>
      </c>
      <c r="I750" t="s">
        <v>13999</v>
      </c>
      <c r="J750" t="s">
        <v>5396</v>
      </c>
      <c r="K750" t="s">
        <v>74</v>
      </c>
      <c r="L750" t="s">
        <v>74</v>
      </c>
      <c r="M750" t="s">
        <v>78</v>
      </c>
      <c r="N750" t="s">
        <v>79</v>
      </c>
      <c r="O750" t="s">
        <v>74</v>
      </c>
      <c r="P750" t="s">
        <v>74</v>
      </c>
      <c r="Q750" t="s">
        <v>74</v>
      </c>
      <c r="R750" t="s">
        <v>74</v>
      </c>
      <c r="S750" t="s">
        <v>74</v>
      </c>
      <c r="T750" t="s">
        <v>74</v>
      </c>
      <c r="U750" t="s">
        <v>14000</v>
      </c>
      <c r="V750" t="s">
        <v>14001</v>
      </c>
      <c r="W750" t="s">
        <v>14002</v>
      </c>
      <c r="X750" t="s">
        <v>14003</v>
      </c>
      <c r="Y750" t="s">
        <v>14004</v>
      </c>
      <c r="Z750" t="s">
        <v>14005</v>
      </c>
      <c r="AA750" t="s">
        <v>74</v>
      </c>
      <c r="AB750" t="s">
        <v>74</v>
      </c>
      <c r="AC750" t="s">
        <v>14006</v>
      </c>
      <c r="AD750" t="s">
        <v>14006</v>
      </c>
      <c r="AE750" t="s">
        <v>14007</v>
      </c>
      <c r="AF750" t="s">
        <v>74</v>
      </c>
      <c r="AG750">
        <v>38</v>
      </c>
      <c r="AH750">
        <v>0</v>
      </c>
      <c r="AI750">
        <v>0</v>
      </c>
      <c r="AJ750">
        <v>0</v>
      </c>
      <c r="AK750">
        <v>0</v>
      </c>
      <c r="AL750" t="s">
        <v>172</v>
      </c>
      <c r="AM750" t="s">
        <v>173</v>
      </c>
      <c r="AN750" t="s">
        <v>174</v>
      </c>
      <c r="AO750" t="s">
        <v>5404</v>
      </c>
      <c r="AP750" t="s">
        <v>74</v>
      </c>
      <c r="AQ750" t="s">
        <v>74</v>
      </c>
      <c r="AR750" t="s">
        <v>5405</v>
      </c>
      <c r="AS750" t="s">
        <v>5406</v>
      </c>
      <c r="AT750" t="s">
        <v>13632</v>
      </c>
      <c r="AU750">
        <v>2023</v>
      </c>
      <c r="AV750">
        <v>138</v>
      </c>
      <c r="AW750">
        <v>8</v>
      </c>
      <c r="AX750" t="s">
        <v>74</v>
      </c>
      <c r="AY750" t="s">
        <v>74</v>
      </c>
      <c r="AZ750" t="s">
        <v>74</v>
      </c>
      <c r="BA750" t="s">
        <v>74</v>
      </c>
      <c r="BB750" t="s">
        <v>74</v>
      </c>
      <c r="BC750" t="s">
        <v>74</v>
      </c>
      <c r="BD750">
        <v>745</v>
      </c>
      <c r="BE750" t="s">
        <v>14008</v>
      </c>
      <c r="BF750" t="str">
        <f>HYPERLINK("http://dx.doi.org/10.1140/epjp/s13360-023-04371-w","http://dx.doi.org/10.1140/epjp/s13360-023-04371-w")</f>
        <v>http://dx.doi.org/10.1140/epjp/s13360-023-04371-w</v>
      </c>
      <c r="BG750" t="s">
        <v>74</v>
      </c>
      <c r="BH750" t="s">
        <v>74</v>
      </c>
      <c r="BI750">
        <v>18</v>
      </c>
      <c r="BJ750" t="s">
        <v>386</v>
      </c>
      <c r="BK750" t="s">
        <v>126</v>
      </c>
      <c r="BL750" t="s">
        <v>387</v>
      </c>
      <c r="BM750" t="s">
        <v>14009</v>
      </c>
      <c r="BN750" t="s">
        <v>74</v>
      </c>
      <c r="BO750" t="s">
        <v>74</v>
      </c>
      <c r="BP750" t="s">
        <v>74</v>
      </c>
      <c r="BQ750" t="s">
        <v>74</v>
      </c>
      <c r="BR750" t="s">
        <v>99</v>
      </c>
      <c r="BS750" t="s">
        <v>14010</v>
      </c>
      <c r="BT750" t="str">
        <f>HYPERLINK("https%3A%2F%2Fwww.webofscience.com%2Fwos%2Fwoscc%2Ffull-record%2FWOS:001064009200009","View Full Record in Web of Science")</f>
        <v>View Full Record in Web of Science</v>
      </c>
    </row>
    <row r="751" spans="1:72" x14ac:dyDescent="0.15">
      <c r="A751" t="s">
        <v>72</v>
      </c>
      <c r="B751" t="s">
        <v>14011</v>
      </c>
      <c r="C751" t="s">
        <v>74</v>
      </c>
      <c r="D751" t="s">
        <v>74</v>
      </c>
      <c r="E751" t="s">
        <v>74</v>
      </c>
      <c r="F751" t="s">
        <v>14012</v>
      </c>
      <c r="G751" t="s">
        <v>74</v>
      </c>
      <c r="H751" t="s">
        <v>74</v>
      </c>
      <c r="I751" t="s">
        <v>14013</v>
      </c>
      <c r="J751" t="s">
        <v>14014</v>
      </c>
      <c r="K751" t="s">
        <v>74</v>
      </c>
      <c r="L751" t="s">
        <v>74</v>
      </c>
      <c r="M751" t="s">
        <v>78</v>
      </c>
      <c r="N751" t="s">
        <v>14015</v>
      </c>
      <c r="O751" t="s">
        <v>74</v>
      </c>
      <c r="P751" t="s">
        <v>74</v>
      </c>
      <c r="Q751" t="s">
        <v>74</v>
      </c>
      <c r="R751" t="s">
        <v>74</v>
      </c>
      <c r="S751" t="s">
        <v>74</v>
      </c>
      <c r="T751" t="s">
        <v>74</v>
      </c>
      <c r="U751" t="s">
        <v>74</v>
      </c>
      <c r="V751" t="s">
        <v>74</v>
      </c>
      <c r="W751" t="s">
        <v>14016</v>
      </c>
      <c r="X751" t="s">
        <v>13282</v>
      </c>
      <c r="Y751" t="s">
        <v>14017</v>
      </c>
      <c r="Z751" t="s">
        <v>14018</v>
      </c>
      <c r="AA751" t="s">
        <v>74</v>
      </c>
      <c r="AB751" t="s">
        <v>74</v>
      </c>
      <c r="AC751" t="s">
        <v>74</v>
      </c>
      <c r="AD751" t="s">
        <v>74</v>
      </c>
      <c r="AE751" t="s">
        <v>74</v>
      </c>
      <c r="AF751" t="s">
        <v>74</v>
      </c>
      <c r="AG751">
        <v>6</v>
      </c>
      <c r="AH751">
        <v>0</v>
      </c>
      <c r="AI751">
        <v>0</v>
      </c>
      <c r="AJ751">
        <v>0</v>
      </c>
      <c r="AK751">
        <v>0</v>
      </c>
      <c r="AL751" t="s">
        <v>117</v>
      </c>
      <c r="AM751" t="s">
        <v>118</v>
      </c>
      <c r="AN751" t="s">
        <v>119</v>
      </c>
      <c r="AO751" t="s">
        <v>14019</v>
      </c>
      <c r="AP751" t="s">
        <v>14020</v>
      </c>
      <c r="AQ751" t="s">
        <v>74</v>
      </c>
      <c r="AR751" t="s">
        <v>14014</v>
      </c>
      <c r="AS751" t="s">
        <v>14021</v>
      </c>
      <c r="AT751" t="s">
        <v>13632</v>
      </c>
      <c r="AU751">
        <v>2023</v>
      </c>
      <c r="AV751" t="s">
        <v>74</v>
      </c>
      <c r="AW751" t="s">
        <v>74</v>
      </c>
      <c r="AX751" t="s">
        <v>74</v>
      </c>
      <c r="AY751" t="s">
        <v>74</v>
      </c>
      <c r="AZ751" t="s">
        <v>74</v>
      </c>
      <c r="BA751" t="s">
        <v>74</v>
      </c>
      <c r="BB751" t="s">
        <v>74</v>
      </c>
      <c r="BC751" t="s">
        <v>74</v>
      </c>
      <c r="BD751" t="s">
        <v>14022</v>
      </c>
      <c r="BE751" t="s">
        <v>14023</v>
      </c>
      <c r="BF751" t="str">
        <f>HYPERLINK("http://dx.doi.org/10.1007/s12115-023-00895-0","http://dx.doi.org/10.1007/s12115-023-00895-0")</f>
        <v>http://dx.doi.org/10.1007/s12115-023-00895-0</v>
      </c>
      <c r="BG751" t="s">
        <v>74</v>
      </c>
      <c r="BH751" t="s">
        <v>74</v>
      </c>
      <c r="BI751">
        <v>5</v>
      </c>
      <c r="BJ751" t="s">
        <v>13211</v>
      </c>
      <c r="BK751" t="s">
        <v>425</v>
      </c>
      <c r="BL751" t="s">
        <v>13212</v>
      </c>
      <c r="BM751" t="s">
        <v>14024</v>
      </c>
      <c r="BN751" t="s">
        <v>74</v>
      </c>
      <c r="BO751" t="s">
        <v>74</v>
      </c>
      <c r="BP751" t="s">
        <v>74</v>
      </c>
      <c r="BQ751" t="s">
        <v>74</v>
      </c>
      <c r="BR751" t="s">
        <v>99</v>
      </c>
      <c r="BS751" t="s">
        <v>14025</v>
      </c>
      <c r="BT751" t="str">
        <f>HYPERLINK("https%3A%2F%2Fwww.webofscience.com%2Fwos%2Fwoscc%2Ffull-record%2FWOS:001053683800001","View Full Record in Web of Science")</f>
        <v>View Full Record in Web of Science</v>
      </c>
    </row>
    <row r="752" spans="1:72" x14ac:dyDescent="0.15">
      <c r="A752" t="s">
        <v>72</v>
      </c>
      <c r="B752" t="s">
        <v>14026</v>
      </c>
      <c r="C752" t="s">
        <v>74</v>
      </c>
      <c r="D752" t="s">
        <v>74</v>
      </c>
      <c r="E752" t="s">
        <v>74</v>
      </c>
      <c r="F752" t="s">
        <v>14027</v>
      </c>
      <c r="G752" t="s">
        <v>74</v>
      </c>
      <c r="H752" t="s">
        <v>74</v>
      </c>
      <c r="I752" t="s">
        <v>14028</v>
      </c>
      <c r="J752" t="s">
        <v>14029</v>
      </c>
      <c r="K752" t="s">
        <v>74</v>
      </c>
      <c r="L752" t="s">
        <v>74</v>
      </c>
      <c r="M752" t="s">
        <v>78</v>
      </c>
      <c r="N752" t="s">
        <v>79</v>
      </c>
      <c r="O752" t="s">
        <v>74</v>
      </c>
      <c r="P752" t="s">
        <v>74</v>
      </c>
      <c r="Q752" t="s">
        <v>74</v>
      </c>
      <c r="R752" t="s">
        <v>74</v>
      </c>
      <c r="S752" t="s">
        <v>74</v>
      </c>
      <c r="T752" t="s">
        <v>14030</v>
      </c>
      <c r="U752" t="s">
        <v>14031</v>
      </c>
      <c r="V752" t="s">
        <v>14032</v>
      </c>
      <c r="W752" t="s">
        <v>14033</v>
      </c>
      <c r="X752" t="s">
        <v>14034</v>
      </c>
      <c r="Y752" t="s">
        <v>14035</v>
      </c>
      <c r="Z752" t="s">
        <v>14036</v>
      </c>
      <c r="AA752" t="s">
        <v>74</v>
      </c>
      <c r="AB752" t="s">
        <v>14037</v>
      </c>
      <c r="AC752" t="s">
        <v>14038</v>
      </c>
      <c r="AD752" t="s">
        <v>14039</v>
      </c>
      <c r="AE752" t="s">
        <v>14040</v>
      </c>
      <c r="AF752" t="s">
        <v>74</v>
      </c>
      <c r="AG752">
        <v>71</v>
      </c>
      <c r="AH752">
        <v>0</v>
      </c>
      <c r="AI752">
        <v>0</v>
      </c>
      <c r="AJ752">
        <v>2</v>
      </c>
      <c r="AK752">
        <v>2</v>
      </c>
      <c r="AL752" t="s">
        <v>117</v>
      </c>
      <c r="AM752" t="s">
        <v>118</v>
      </c>
      <c r="AN752" t="s">
        <v>119</v>
      </c>
      <c r="AO752" t="s">
        <v>14041</v>
      </c>
      <c r="AP752" t="s">
        <v>14042</v>
      </c>
      <c r="AQ752" t="s">
        <v>74</v>
      </c>
      <c r="AR752" t="s">
        <v>14043</v>
      </c>
      <c r="AS752" t="s">
        <v>14044</v>
      </c>
      <c r="AT752" t="s">
        <v>13632</v>
      </c>
      <c r="AU752">
        <v>2023</v>
      </c>
      <c r="AV752" t="s">
        <v>74</v>
      </c>
      <c r="AW752" t="s">
        <v>74</v>
      </c>
      <c r="AX752" t="s">
        <v>74</v>
      </c>
      <c r="AY752" t="s">
        <v>74</v>
      </c>
      <c r="AZ752" t="s">
        <v>74</v>
      </c>
      <c r="BA752" t="s">
        <v>74</v>
      </c>
      <c r="BB752" t="s">
        <v>74</v>
      </c>
      <c r="BC752" t="s">
        <v>74</v>
      </c>
      <c r="BD752">
        <v>13414</v>
      </c>
      <c r="BE752" t="s">
        <v>14045</v>
      </c>
      <c r="BF752" t="str">
        <f>HYPERLINK("http://dx.doi.org/10.3758/s13414-023-02775-5","http://dx.doi.org/10.3758/s13414-023-02775-5")</f>
        <v>http://dx.doi.org/10.3758/s13414-023-02775-5</v>
      </c>
      <c r="BG752" t="s">
        <v>74</v>
      </c>
      <c r="BH752" t="s">
        <v>74</v>
      </c>
      <c r="BI752">
        <v>19</v>
      </c>
      <c r="BJ752" t="s">
        <v>4924</v>
      </c>
      <c r="BK752" t="s">
        <v>2431</v>
      </c>
      <c r="BL752" t="s">
        <v>2907</v>
      </c>
      <c r="BM752" t="s">
        <v>14046</v>
      </c>
      <c r="BN752">
        <v>37612581</v>
      </c>
      <c r="BO752" t="s">
        <v>74</v>
      </c>
      <c r="BP752" t="s">
        <v>74</v>
      </c>
      <c r="BQ752" t="s">
        <v>74</v>
      </c>
      <c r="BR752" t="s">
        <v>99</v>
      </c>
      <c r="BS752" t="s">
        <v>14047</v>
      </c>
      <c r="BT752" t="str">
        <f>HYPERLINK("https%3A%2F%2Fwww.webofscience.com%2Fwos%2Fwoscc%2Ffull-record%2FWOS:001053580000002","View Full Record in Web of Science")</f>
        <v>View Full Record in Web of Science</v>
      </c>
    </row>
    <row r="753" spans="1:72" x14ac:dyDescent="0.15">
      <c r="A753" t="s">
        <v>72</v>
      </c>
      <c r="B753" t="s">
        <v>14048</v>
      </c>
      <c r="C753" t="s">
        <v>74</v>
      </c>
      <c r="D753" t="s">
        <v>74</v>
      </c>
      <c r="E753" t="s">
        <v>74</v>
      </c>
      <c r="F753" t="s">
        <v>14049</v>
      </c>
      <c r="G753" t="s">
        <v>74</v>
      </c>
      <c r="H753" t="s">
        <v>74</v>
      </c>
      <c r="I753" t="s">
        <v>14050</v>
      </c>
      <c r="J753" t="s">
        <v>14051</v>
      </c>
      <c r="K753" t="s">
        <v>74</v>
      </c>
      <c r="L753" t="s">
        <v>74</v>
      </c>
      <c r="M753" t="s">
        <v>78</v>
      </c>
      <c r="N753" t="s">
        <v>79</v>
      </c>
      <c r="O753" t="s">
        <v>74</v>
      </c>
      <c r="P753" t="s">
        <v>74</v>
      </c>
      <c r="Q753" t="s">
        <v>74</v>
      </c>
      <c r="R753" t="s">
        <v>74</v>
      </c>
      <c r="S753" t="s">
        <v>74</v>
      </c>
      <c r="T753" t="s">
        <v>14052</v>
      </c>
      <c r="U753" t="s">
        <v>14053</v>
      </c>
      <c r="V753" t="s">
        <v>14054</v>
      </c>
      <c r="W753" t="s">
        <v>14055</v>
      </c>
      <c r="X753" t="s">
        <v>14056</v>
      </c>
      <c r="Y753" t="s">
        <v>14057</v>
      </c>
      <c r="Z753" t="s">
        <v>14058</v>
      </c>
      <c r="AA753" t="s">
        <v>74</v>
      </c>
      <c r="AB753" t="s">
        <v>14059</v>
      </c>
      <c r="AC753" t="s">
        <v>14060</v>
      </c>
      <c r="AD753" t="s">
        <v>14060</v>
      </c>
      <c r="AE753" t="s">
        <v>14061</v>
      </c>
      <c r="AF753" t="s">
        <v>74</v>
      </c>
      <c r="AG753">
        <v>74</v>
      </c>
      <c r="AH753">
        <v>0</v>
      </c>
      <c r="AI753">
        <v>0</v>
      </c>
      <c r="AJ753">
        <v>1</v>
      </c>
      <c r="AK753">
        <v>1</v>
      </c>
      <c r="AL753" t="s">
        <v>317</v>
      </c>
      <c r="AM753" t="s">
        <v>245</v>
      </c>
      <c r="AN753" t="s">
        <v>318</v>
      </c>
      <c r="AO753" t="s">
        <v>14062</v>
      </c>
      <c r="AP753" t="s">
        <v>14063</v>
      </c>
      <c r="AQ753" t="s">
        <v>74</v>
      </c>
      <c r="AR753" t="s">
        <v>14064</v>
      </c>
      <c r="AS753" t="s">
        <v>14065</v>
      </c>
      <c r="AT753" t="s">
        <v>13632</v>
      </c>
      <c r="AU753">
        <v>2023</v>
      </c>
      <c r="AV753" t="s">
        <v>74</v>
      </c>
      <c r="AW753" t="s">
        <v>74</v>
      </c>
      <c r="AX753" t="s">
        <v>74</v>
      </c>
      <c r="AY753" t="s">
        <v>74</v>
      </c>
      <c r="AZ753" t="s">
        <v>74</v>
      </c>
      <c r="BA753" t="s">
        <v>74</v>
      </c>
      <c r="BB753" t="s">
        <v>74</v>
      </c>
      <c r="BC753" t="s">
        <v>74</v>
      </c>
      <c r="BD753">
        <v>45</v>
      </c>
      <c r="BE753" t="s">
        <v>14066</v>
      </c>
      <c r="BF753" t="str">
        <f>HYPERLINK("http://dx.doi.org/10.1007/s44020-023-00045-3","http://dx.doi.org/10.1007/s44020-023-00045-3")</f>
        <v>http://dx.doi.org/10.1007/s44020-023-00045-3</v>
      </c>
      <c r="BG753" t="s">
        <v>74</v>
      </c>
      <c r="BH753" t="s">
        <v>74</v>
      </c>
      <c r="BI753">
        <v>14</v>
      </c>
      <c r="BJ753" t="s">
        <v>3226</v>
      </c>
      <c r="BK753" t="s">
        <v>97</v>
      </c>
      <c r="BL753" t="s">
        <v>3226</v>
      </c>
      <c r="BM753" t="s">
        <v>14067</v>
      </c>
      <c r="BN753" t="s">
        <v>74</v>
      </c>
      <c r="BO753" t="s">
        <v>183</v>
      </c>
      <c r="BP753" t="s">
        <v>74</v>
      </c>
      <c r="BQ753" t="s">
        <v>74</v>
      </c>
      <c r="BR753" t="s">
        <v>99</v>
      </c>
      <c r="BS753" t="s">
        <v>14068</v>
      </c>
      <c r="BT753" t="str">
        <f>HYPERLINK("https%3A%2F%2Fwww.webofscience.com%2Fwos%2Fwoscc%2Ffull-record%2FWOS:001053616300001","View Full Record in Web of Science")</f>
        <v>View Full Record in Web of Science</v>
      </c>
    </row>
    <row r="754" spans="1:72" x14ac:dyDescent="0.15">
      <c r="A754" t="s">
        <v>72</v>
      </c>
      <c r="B754" t="s">
        <v>14069</v>
      </c>
      <c r="C754" t="s">
        <v>74</v>
      </c>
      <c r="D754" t="s">
        <v>74</v>
      </c>
      <c r="E754" t="s">
        <v>74</v>
      </c>
      <c r="F754" t="s">
        <v>14070</v>
      </c>
      <c r="G754" t="s">
        <v>74</v>
      </c>
      <c r="H754" t="s">
        <v>74</v>
      </c>
      <c r="I754" t="s">
        <v>14071</v>
      </c>
      <c r="J754" t="s">
        <v>7358</v>
      </c>
      <c r="K754" t="s">
        <v>74</v>
      </c>
      <c r="L754" t="s">
        <v>74</v>
      </c>
      <c r="M754" t="s">
        <v>78</v>
      </c>
      <c r="N754" t="s">
        <v>79</v>
      </c>
      <c r="O754" t="s">
        <v>74</v>
      </c>
      <c r="P754" t="s">
        <v>74</v>
      </c>
      <c r="Q754" t="s">
        <v>74</v>
      </c>
      <c r="R754" t="s">
        <v>74</v>
      </c>
      <c r="S754" t="s">
        <v>74</v>
      </c>
      <c r="T754" t="s">
        <v>74</v>
      </c>
      <c r="U754" t="s">
        <v>14072</v>
      </c>
      <c r="V754" t="s">
        <v>14073</v>
      </c>
      <c r="W754" t="s">
        <v>14074</v>
      </c>
      <c r="X754" t="s">
        <v>14075</v>
      </c>
      <c r="Y754" t="s">
        <v>14076</v>
      </c>
      <c r="Z754" t="s">
        <v>14077</v>
      </c>
      <c r="AA754" t="s">
        <v>74</v>
      </c>
      <c r="AB754" t="s">
        <v>14078</v>
      </c>
      <c r="AC754" t="s">
        <v>14079</v>
      </c>
      <c r="AD754" t="s">
        <v>14080</v>
      </c>
      <c r="AE754" t="s">
        <v>14081</v>
      </c>
      <c r="AF754" t="s">
        <v>74</v>
      </c>
      <c r="AG754">
        <v>39</v>
      </c>
      <c r="AH754">
        <v>0</v>
      </c>
      <c r="AI754">
        <v>0</v>
      </c>
      <c r="AJ754">
        <v>4</v>
      </c>
      <c r="AK754">
        <v>4</v>
      </c>
      <c r="AL754" t="s">
        <v>317</v>
      </c>
      <c r="AM754" t="s">
        <v>245</v>
      </c>
      <c r="AN754" t="s">
        <v>318</v>
      </c>
      <c r="AO754" t="s">
        <v>74</v>
      </c>
      <c r="AP754" t="s">
        <v>7369</v>
      </c>
      <c r="AQ754" t="s">
        <v>74</v>
      </c>
      <c r="AR754" t="s">
        <v>7370</v>
      </c>
      <c r="AS754" t="s">
        <v>7371</v>
      </c>
      <c r="AT754" t="s">
        <v>13632</v>
      </c>
      <c r="AU754">
        <v>2023</v>
      </c>
      <c r="AV754">
        <v>4</v>
      </c>
      <c r="AW754">
        <v>1</v>
      </c>
      <c r="AX754" t="s">
        <v>74</v>
      </c>
      <c r="AY754" t="s">
        <v>74</v>
      </c>
      <c r="AZ754" t="s">
        <v>74</v>
      </c>
      <c r="BA754" t="s">
        <v>74</v>
      </c>
      <c r="BB754" t="s">
        <v>74</v>
      </c>
      <c r="BC754" t="s">
        <v>74</v>
      </c>
      <c r="BD754">
        <v>296</v>
      </c>
      <c r="BE754" t="s">
        <v>14082</v>
      </c>
      <c r="BF754" t="str">
        <f>HYPERLINK("http://dx.doi.org/10.1038/s43247-023-00926-y","http://dx.doi.org/10.1038/s43247-023-00926-y")</f>
        <v>http://dx.doi.org/10.1038/s43247-023-00926-y</v>
      </c>
      <c r="BG754" t="s">
        <v>74</v>
      </c>
      <c r="BH754" t="s">
        <v>74</v>
      </c>
      <c r="BI754">
        <v>9</v>
      </c>
      <c r="BJ754" t="s">
        <v>7373</v>
      </c>
      <c r="BK754" t="s">
        <v>126</v>
      </c>
      <c r="BL754" t="s">
        <v>7374</v>
      </c>
      <c r="BM754" t="s">
        <v>14083</v>
      </c>
      <c r="BN754" t="s">
        <v>74</v>
      </c>
      <c r="BO754" t="s">
        <v>302</v>
      </c>
      <c r="BP754" t="s">
        <v>74</v>
      </c>
      <c r="BQ754" t="s">
        <v>74</v>
      </c>
      <c r="BR754" t="s">
        <v>99</v>
      </c>
      <c r="BS754" t="s">
        <v>14084</v>
      </c>
      <c r="BT754" t="str">
        <f>HYPERLINK("https%3A%2F%2Fwww.webofscience.com%2Fwos%2Fwoscc%2Ffull-record%2FWOS:001053705600002","View Full Record in Web of Science")</f>
        <v>View Full Record in Web of Science</v>
      </c>
    </row>
    <row r="755" spans="1:72" x14ac:dyDescent="0.15">
      <c r="A755" t="s">
        <v>72</v>
      </c>
      <c r="B755" t="s">
        <v>14085</v>
      </c>
      <c r="C755" t="s">
        <v>74</v>
      </c>
      <c r="D755" t="s">
        <v>74</v>
      </c>
      <c r="E755" t="s">
        <v>74</v>
      </c>
      <c r="F755" t="s">
        <v>14086</v>
      </c>
      <c r="G755" t="s">
        <v>74</v>
      </c>
      <c r="H755" t="s">
        <v>74</v>
      </c>
      <c r="I755" t="s">
        <v>14087</v>
      </c>
      <c r="J755" t="s">
        <v>3786</v>
      </c>
      <c r="K755" t="s">
        <v>74</v>
      </c>
      <c r="L755" t="s">
        <v>74</v>
      </c>
      <c r="M755" t="s">
        <v>78</v>
      </c>
      <c r="N755" t="s">
        <v>872</v>
      </c>
      <c r="O755" t="s">
        <v>74</v>
      </c>
      <c r="P755" t="s">
        <v>74</v>
      </c>
      <c r="Q755" t="s">
        <v>74</v>
      </c>
      <c r="R755" t="s">
        <v>74</v>
      </c>
      <c r="S755" t="s">
        <v>74</v>
      </c>
      <c r="T755" t="s">
        <v>74</v>
      </c>
      <c r="U755" t="s">
        <v>74</v>
      </c>
      <c r="V755" t="s">
        <v>74</v>
      </c>
      <c r="W755" t="s">
        <v>14088</v>
      </c>
      <c r="X755" t="s">
        <v>14089</v>
      </c>
      <c r="Y755" t="s">
        <v>14090</v>
      </c>
      <c r="Z755" t="s">
        <v>14091</v>
      </c>
      <c r="AA755" t="s">
        <v>74</v>
      </c>
      <c r="AB755" t="s">
        <v>74</v>
      </c>
      <c r="AC755" t="s">
        <v>74</v>
      </c>
      <c r="AD755" t="s">
        <v>74</v>
      </c>
      <c r="AE755" t="s">
        <v>74</v>
      </c>
      <c r="AF755" t="s">
        <v>74</v>
      </c>
      <c r="AG755">
        <v>0</v>
      </c>
      <c r="AH755">
        <v>0</v>
      </c>
      <c r="AI755">
        <v>0</v>
      </c>
      <c r="AJ755">
        <v>0</v>
      </c>
      <c r="AK755">
        <v>0</v>
      </c>
      <c r="AL755" t="s">
        <v>443</v>
      </c>
      <c r="AM755" t="s">
        <v>245</v>
      </c>
      <c r="AN755" t="s">
        <v>444</v>
      </c>
      <c r="AO755" t="s">
        <v>74</v>
      </c>
      <c r="AP755" t="s">
        <v>3794</v>
      </c>
      <c r="AQ755" t="s">
        <v>74</v>
      </c>
      <c r="AR755" t="s">
        <v>3795</v>
      </c>
      <c r="AS755" t="s">
        <v>3796</v>
      </c>
      <c r="AT755" t="s">
        <v>13632</v>
      </c>
      <c r="AU755">
        <v>2023</v>
      </c>
      <c r="AV755">
        <v>23</v>
      </c>
      <c r="AW755">
        <v>1</v>
      </c>
      <c r="AX755" t="s">
        <v>74</v>
      </c>
      <c r="AY755" t="s">
        <v>74</v>
      </c>
      <c r="AZ755" t="s">
        <v>74</v>
      </c>
      <c r="BA755" t="s">
        <v>74</v>
      </c>
      <c r="BB755" t="s">
        <v>74</v>
      </c>
      <c r="BC755" t="s">
        <v>74</v>
      </c>
      <c r="BD755">
        <v>176</v>
      </c>
      <c r="BE755" t="s">
        <v>14092</v>
      </c>
      <c r="BF755" t="str">
        <f>HYPERLINK("http://dx.doi.org/10.1186/s12935-023-03029-y","http://dx.doi.org/10.1186/s12935-023-03029-y")</f>
        <v>http://dx.doi.org/10.1186/s12935-023-03029-y</v>
      </c>
      <c r="BG755" t="s">
        <v>74</v>
      </c>
      <c r="BH755" t="s">
        <v>74</v>
      </c>
      <c r="BI755">
        <v>1</v>
      </c>
      <c r="BJ755" t="s">
        <v>1951</v>
      </c>
      <c r="BK755" t="s">
        <v>126</v>
      </c>
      <c r="BL755" t="s">
        <v>1951</v>
      </c>
      <c r="BM755" t="s">
        <v>14093</v>
      </c>
      <c r="BN755">
        <v>37612733</v>
      </c>
      <c r="BO755" t="s">
        <v>302</v>
      </c>
      <c r="BP755" t="s">
        <v>74</v>
      </c>
      <c r="BQ755" t="s">
        <v>74</v>
      </c>
      <c r="BR755" t="s">
        <v>99</v>
      </c>
      <c r="BS755" t="s">
        <v>14094</v>
      </c>
      <c r="BT755" t="str">
        <f>HYPERLINK("https%3A%2F%2Fwww.webofscience.com%2Fwos%2Fwoscc%2Ffull-record%2FWOS:001063527600001","View Full Record in Web of Science")</f>
        <v>View Full Record in Web of Science</v>
      </c>
    </row>
    <row r="756" spans="1:72" x14ac:dyDescent="0.15">
      <c r="A756" t="s">
        <v>72</v>
      </c>
      <c r="B756" t="s">
        <v>14095</v>
      </c>
      <c r="C756" t="s">
        <v>74</v>
      </c>
      <c r="D756" t="s">
        <v>74</v>
      </c>
      <c r="E756" t="s">
        <v>74</v>
      </c>
      <c r="F756" t="s">
        <v>14096</v>
      </c>
      <c r="G756" t="s">
        <v>74</v>
      </c>
      <c r="H756" t="s">
        <v>74</v>
      </c>
      <c r="I756" t="s">
        <v>14097</v>
      </c>
      <c r="J756" t="s">
        <v>3054</v>
      </c>
      <c r="K756" t="s">
        <v>74</v>
      </c>
      <c r="L756" t="s">
        <v>74</v>
      </c>
      <c r="M756" t="s">
        <v>78</v>
      </c>
      <c r="N756" t="s">
        <v>2174</v>
      </c>
      <c r="O756" t="s">
        <v>74</v>
      </c>
      <c r="P756" t="s">
        <v>74</v>
      </c>
      <c r="Q756" t="s">
        <v>74</v>
      </c>
      <c r="R756" t="s">
        <v>74</v>
      </c>
      <c r="S756" t="s">
        <v>74</v>
      </c>
      <c r="T756" t="s">
        <v>14098</v>
      </c>
      <c r="U756" t="s">
        <v>14099</v>
      </c>
      <c r="V756" t="s">
        <v>14100</v>
      </c>
      <c r="W756" t="s">
        <v>14101</v>
      </c>
      <c r="X756" t="s">
        <v>14102</v>
      </c>
      <c r="Y756" t="s">
        <v>14103</v>
      </c>
      <c r="Z756" t="s">
        <v>14104</v>
      </c>
      <c r="AA756" t="s">
        <v>74</v>
      </c>
      <c r="AB756" t="s">
        <v>14105</v>
      </c>
      <c r="AC756" t="s">
        <v>74</v>
      </c>
      <c r="AD756" t="s">
        <v>74</v>
      </c>
      <c r="AE756" t="s">
        <v>74</v>
      </c>
      <c r="AF756" t="s">
        <v>74</v>
      </c>
      <c r="AG756">
        <v>36</v>
      </c>
      <c r="AH756">
        <v>0</v>
      </c>
      <c r="AI756">
        <v>0</v>
      </c>
      <c r="AJ756">
        <v>0</v>
      </c>
      <c r="AK756">
        <v>0</v>
      </c>
      <c r="AL756" t="s">
        <v>87</v>
      </c>
      <c r="AM756" t="s">
        <v>88</v>
      </c>
      <c r="AN756" t="s">
        <v>89</v>
      </c>
      <c r="AO756" t="s">
        <v>3060</v>
      </c>
      <c r="AP756" t="s">
        <v>3061</v>
      </c>
      <c r="AQ756" t="s">
        <v>74</v>
      </c>
      <c r="AR756" t="s">
        <v>3062</v>
      </c>
      <c r="AS756" t="s">
        <v>3063</v>
      </c>
      <c r="AT756" t="s">
        <v>14106</v>
      </c>
      <c r="AU756">
        <v>2023</v>
      </c>
      <c r="AV756" t="s">
        <v>74</v>
      </c>
      <c r="AW756" t="s">
        <v>74</v>
      </c>
      <c r="AX756" t="s">
        <v>74</v>
      </c>
      <c r="AY756" t="s">
        <v>74</v>
      </c>
      <c r="AZ756" t="s">
        <v>74</v>
      </c>
      <c r="BA756" t="s">
        <v>74</v>
      </c>
      <c r="BB756" t="s">
        <v>74</v>
      </c>
      <c r="BC756" t="s">
        <v>74</v>
      </c>
      <c r="BD756" t="s">
        <v>74</v>
      </c>
      <c r="BE756" t="s">
        <v>14107</v>
      </c>
      <c r="BF756" t="str">
        <f>HYPERLINK("http://dx.doi.org/10.1007/s12098-023-04807-2","http://dx.doi.org/10.1007/s12098-023-04807-2")</f>
        <v>http://dx.doi.org/10.1007/s12098-023-04807-2</v>
      </c>
      <c r="BG756" t="s">
        <v>74</v>
      </c>
      <c r="BH756" t="s">
        <v>10650</v>
      </c>
      <c r="BI756">
        <v>8</v>
      </c>
      <c r="BJ756" t="s">
        <v>3066</v>
      </c>
      <c r="BK756" t="s">
        <v>126</v>
      </c>
      <c r="BL756" t="s">
        <v>3066</v>
      </c>
      <c r="BM756" t="s">
        <v>14108</v>
      </c>
      <c r="BN756">
        <v>37605065</v>
      </c>
      <c r="BO756" t="s">
        <v>74</v>
      </c>
      <c r="BP756" t="s">
        <v>74</v>
      </c>
      <c r="BQ756" t="s">
        <v>74</v>
      </c>
      <c r="BR756" t="s">
        <v>99</v>
      </c>
      <c r="BS756" t="s">
        <v>14109</v>
      </c>
      <c r="BT756" t="str">
        <f>HYPERLINK("https%3A%2F%2Fwww.webofscience.com%2Fwos%2Fwoscc%2Ffull-record%2FWOS:001051455800001","View Full Record in Web of Science")</f>
        <v>View Full Record in Web of Science</v>
      </c>
    </row>
    <row r="757" spans="1:72" x14ac:dyDescent="0.15">
      <c r="A757" t="s">
        <v>72</v>
      </c>
      <c r="B757" t="s">
        <v>14110</v>
      </c>
      <c r="C757" t="s">
        <v>74</v>
      </c>
      <c r="D757" t="s">
        <v>74</v>
      </c>
      <c r="E757" t="s">
        <v>74</v>
      </c>
      <c r="F757" t="s">
        <v>14111</v>
      </c>
      <c r="G757" t="s">
        <v>74</v>
      </c>
      <c r="H757" t="s">
        <v>74</v>
      </c>
      <c r="I757" t="s">
        <v>14112</v>
      </c>
      <c r="J757" t="s">
        <v>14113</v>
      </c>
      <c r="K757" t="s">
        <v>74</v>
      </c>
      <c r="L757" t="s">
        <v>74</v>
      </c>
      <c r="M757" t="s">
        <v>4349</v>
      </c>
      <c r="N757" t="s">
        <v>1246</v>
      </c>
      <c r="O757" t="s">
        <v>74</v>
      </c>
      <c r="P757" t="s">
        <v>74</v>
      </c>
      <c r="Q757" t="s">
        <v>74</v>
      </c>
      <c r="R757" t="s">
        <v>74</v>
      </c>
      <c r="S757" t="s">
        <v>74</v>
      </c>
      <c r="T757" t="s">
        <v>14114</v>
      </c>
      <c r="U757" t="s">
        <v>74</v>
      </c>
      <c r="V757" t="s">
        <v>14115</v>
      </c>
      <c r="W757" t="s">
        <v>14116</v>
      </c>
      <c r="X757" t="s">
        <v>74</v>
      </c>
      <c r="Y757" t="s">
        <v>14117</v>
      </c>
      <c r="Z757" t="s">
        <v>14118</v>
      </c>
      <c r="AA757" t="s">
        <v>74</v>
      </c>
      <c r="AB757" t="s">
        <v>74</v>
      </c>
      <c r="AC757" t="s">
        <v>74</v>
      </c>
      <c r="AD757" t="s">
        <v>74</v>
      </c>
      <c r="AE757" t="s">
        <v>74</v>
      </c>
      <c r="AF757" t="s">
        <v>74</v>
      </c>
      <c r="AG757">
        <v>13</v>
      </c>
      <c r="AH757">
        <v>0</v>
      </c>
      <c r="AI757">
        <v>0</v>
      </c>
      <c r="AJ757">
        <v>0</v>
      </c>
      <c r="AK757">
        <v>0</v>
      </c>
      <c r="AL757" t="s">
        <v>172</v>
      </c>
      <c r="AM757" t="s">
        <v>173</v>
      </c>
      <c r="AN757" t="s">
        <v>174</v>
      </c>
      <c r="AO757" t="s">
        <v>14119</v>
      </c>
      <c r="AP757" t="s">
        <v>14120</v>
      </c>
      <c r="AQ757" t="s">
        <v>74</v>
      </c>
      <c r="AR757" t="s">
        <v>14121</v>
      </c>
      <c r="AS757" t="s">
        <v>14122</v>
      </c>
      <c r="AT757" t="s">
        <v>14106</v>
      </c>
      <c r="AU757">
        <v>2023</v>
      </c>
      <c r="AV757" t="s">
        <v>74</v>
      </c>
      <c r="AW757" t="s">
        <v>74</v>
      </c>
      <c r="AX757" t="s">
        <v>74</v>
      </c>
      <c r="AY757" t="s">
        <v>74</v>
      </c>
      <c r="AZ757" t="s">
        <v>74</v>
      </c>
      <c r="BA757" t="s">
        <v>74</v>
      </c>
      <c r="BB757" t="s">
        <v>74</v>
      </c>
      <c r="BC757" t="s">
        <v>74</v>
      </c>
      <c r="BD757" t="s">
        <v>74</v>
      </c>
      <c r="BE757" t="s">
        <v>14123</v>
      </c>
      <c r="BF757" t="str">
        <f>HYPERLINK("http://dx.doi.org/10.1007/s11553-023-01069-w","http://dx.doi.org/10.1007/s11553-023-01069-w")</f>
        <v>http://dx.doi.org/10.1007/s11553-023-01069-w</v>
      </c>
      <c r="BG757" t="s">
        <v>74</v>
      </c>
      <c r="BH757" t="s">
        <v>10650</v>
      </c>
      <c r="BI757">
        <v>7</v>
      </c>
      <c r="BJ757" t="s">
        <v>2744</v>
      </c>
      <c r="BK757" t="s">
        <v>97</v>
      </c>
      <c r="BL757" t="s">
        <v>2744</v>
      </c>
      <c r="BM757" t="s">
        <v>14124</v>
      </c>
      <c r="BN757" t="s">
        <v>74</v>
      </c>
      <c r="BO757" t="s">
        <v>183</v>
      </c>
      <c r="BP757" t="s">
        <v>74</v>
      </c>
      <c r="BQ757" t="s">
        <v>74</v>
      </c>
      <c r="BR757" t="s">
        <v>99</v>
      </c>
      <c r="BS757" t="s">
        <v>14125</v>
      </c>
      <c r="BT757" t="str">
        <f>HYPERLINK("https%3A%2F%2Fwww.webofscience.com%2Fwos%2Fwoscc%2Ffull-record%2FWOS:001052763000001","View Full Record in Web of Science")</f>
        <v>View Full Record in Web of Science</v>
      </c>
    </row>
    <row r="758" spans="1:72" x14ac:dyDescent="0.15">
      <c r="A758" t="s">
        <v>72</v>
      </c>
      <c r="B758" t="s">
        <v>14126</v>
      </c>
      <c r="C758" t="s">
        <v>74</v>
      </c>
      <c r="D758" t="s">
        <v>74</v>
      </c>
      <c r="E758" t="s">
        <v>74</v>
      </c>
      <c r="F758" t="s">
        <v>14127</v>
      </c>
      <c r="G758" t="s">
        <v>74</v>
      </c>
      <c r="H758" t="s">
        <v>74</v>
      </c>
      <c r="I758" t="s">
        <v>14128</v>
      </c>
      <c r="J758" t="s">
        <v>14129</v>
      </c>
      <c r="K758" t="s">
        <v>74</v>
      </c>
      <c r="L758" t="s">
        <v>74</v>
      </c>
      <c r="M758" t="s">
        <v>4349</v>
      </c>
      <c r="N758" t="s">
        <v>1246</v>
      </c>
      <c r="O758" t="s">
        <v>74</v>
      </c>
      <c r="P758" t="s">
        <v>74</v>
      </c>
      <c r="Q758" t="s">
        <v>74</v>
      </c>
      <c r="R758" t="s">
        <v>74</v>
      </c>
      <c r="S758" t="s">
        <v>74</v>
      </c>
      <c r="T758" t="s">
        <v>14130</v>
      </c>
      <c r="U758" t="s">
        <v>14131</v>
      </c>
      <c r="V758" t="s">
        <v>14132</v>
      </c>
      <c r="W758" t="s">
        <v>14133</v>
      </c>
      <c r="X758" t="s">
        <v>14134</v>
      </c>
      <c r="Y758" t="s">
        <v>14135</v>
      </c>
      <c r="Z758" t="s">
        <v>14136</v>
      </c>
      <c r="AA758" t="s">
        <v>74</v>
      </c>
      <c r="AB758" t="s">
        <v>74</v>
      </c>
      <c r="AC758" t="s">
        <v>74</v>
      </c>
      <c r="AD758" t="s">
        <v>74</v>
      </c>
      <c r="AE758" t="s">
        <v>74</v>
      </c>
      <c r="AF758" t="s">
        <v>74</v>
      </c>
      <c r="AG758">
        <v>48</v>
      </c>
      <c r="AH758">
        <v>0</v>
      </c>
      <c r="AI758">
        <v>0</v>
      </c>
      <c r="AJ758">
        <v>1</v>
      </c>
      <c r="AK758">
        <v>1</v>
      </c>
      <c r="AL758" t="s">
        <v>117</v>
      </c>
      <c r="AM758" t="s">
        <v>118</v>
      </c>
      <c r="AN758" t="s">
        <v>119</v>
      </c>
      <c r="AO758" t="s">
        <v>14137</v>
      </c>
      <c r="AP758" t="s">
        <v>14138</v>
      </c>
      <c r="AQ758" t="s">
        <v>74</v>
      </c>
      <c r="AR758" t="s">
        <v>14129</v>
      </c>
      <c r="AS758" t="s">
        <v>14139</v>
      </c>
      <c r="AT758" t="s">
        <v>14106</v>
      </c>
      <c r="AU758">
        <v>2023</v>
      </c>
      <c r="AV758" t="s">
        <v>74</v>
      </c>
      <c r="AW758" t="s">
        <v>74</v>
      </c>
      <c r="AX758" t="s">
        <v>74</v>
      </c>
      <c r="AY758" t="s">
        <v>74</v>
      </c>
      <c r="AZ758" t="s">
        <v>74</v>
      </c>
      <c r="BA758" t="s">
        <v>74</v>
      </c>
      <c r="BB758" t="s">
        <v>74</v>
      </c>
      <c r="BC758" t="s">
        <v>74</v>
      </c>
      <c r="BD758" t="s">
        <v>74</v>
      </c>
      <c r="BE758" t="s">
        <v>14140</v>
      </c>
      <c r="BF758" t="str">
        <f>HYPERLINK("http://dx.doi.org/10.1007/s00132-023-04422-1","http://dx.doi.org/10.1007/s00132-023-04422-1")</f>
        <v>http://dx.doi.org/10.1007/s00132-023-04422-1</v>
      </c>
      <c r="BG758" t="s">
        <v>74</v>
      </c>
      <c r="BH758" t="s">
        <v>10650</v>
      </c>
      <c r="BI758">
        <v>8</v>
      </c>
      <c r="BJ758" t="s">
        <v>2512</v>
      </c>
      <c r="BK758" t="s">
        <v>126</v>
      </c>
      <c r="BL758" t="s">
        <v>2512</v>
      </c>
      <c r="BM758" t="s">
        <v>14141</v>
      </c>
      <c r="BN758">
        <v>37606652</v>
      </c>
      <c r="BO758" t="s">
        <v>74</v>
      </c>
      <c r="BP758" t="s">
        <v>74</v>
      </c>
      <c r="BQ758" t="s">
        <v>74</v>
      </c>
      <c r="BR758" t="s">
        <v>99</v>
      </c>
      <c r="BS758" t="s">
        <v>14142</v>
      </c>
      <c r="BT758" t="str">
        <f>HYPERLINK("https%3A%2F%2Fwww.webofscience.com%2Fwos%2Fwoscc%2Ffull-record%2FWOS:001052824200001","View Full Record in Web of Science")</f>
        <v>View Full Record in Web of Science</v>
      </c>
    </row>
    <row r="759" spans="1:72" x14ac:dyDescent="0.15">
      <c r="A759" t="s">
        <v>72</v>
      </c>
      <c r="B759" t="s">
        <v>14143</v>
      </c>
      <c r="C759" t="s">
        <v>74</v>
      </c>
      <c r="D759" t="s">
        <v>74</v>
      </c>
      <c r="E759" t="s">
        <v>74</v>
      </c>
      <c r="F759" t="s">
        <v>14144</v>
      </c>
      <c r="G759" t="s">
        <v>74</v>
      </c>
      <c r="H759" t="s">
        <v>74</v>
      </c>
      <c r="I759" t="s">
        <v>14145</v>
      </c>
      <c r="J759" t="s">
        <v>14146</v>
      </c>
      <c r="K759" t="s">
        <v>74</v>
      </c>
      <c r="L759" t="s">
        <v>74</v>
      </c>
      <c r="M759" t="s">
        <v>78</v>
      </c>
      <c r="N759" t="s">
        <v>1246</v>
      </c>
      <c r="O759" t="s">
        <v>74</v>
      </c>
      <c r="P759" t="s">
        <v>74</v>
      </c>
      <c r="Q759" t="s">
        <v>74</v>
      </c>
      <c r="R759" t="s">
        <v>74</v>
      </c>
      <c r="S759" t="s">
        <v>74</v>
      </c>
      <c r="T759" t="s">
        <v>14147</v>
      </c>
      <c r="U759" t="s">
        <v>14148</v>
      </c>
      <c r="V759" t="s">
        <v>14149</v>
      </c>
      <c r="W759" t="s">
        <v>14150</v>
      </c>
      <c r="X759" t="s">
        <v>14151</v>
      </c>
      <c r="Y759" t="s">
        <v>14152</v>
      </c>
      <c r="Z759" t="s">
        <v>14153</v>
      </c>
      <c r="AA759" t="s">
        <v>74</v>
      </c>
      <c r="AB759" t="s">
        <v>14154</v>
      </c>
      <c r="AC759" t="s">
        <v>14155</v>
      </c>
      <c r="AD759" t="s">
        <v>14155</v>
      </c>
      <c r="AE759" t="s">
        <v>14156</v>
      </c>
      <c r="AF759" t="s">
        <v>74</v>
      </c>
      <c r="AG759">
        <v>30</v>
      </c>
      <c r="AH759">
        <v>0</v>
      </c>
      <c r="AI759">
        <v>0</v>
      </c>
      <c r="AJ759">
        <v>0</v>
      </c>
      <c r="AK759">
        <v>0</v>
      </c>
      <c r="AL759" t="s">
        <v>244</v>
      </c>
      <c r="AM759" t="s">
        <v>245</v>
      </c>
      <c r="AN759" t="s">
        <v>246</v>
      </c>
      <c r="AO759" t="s">
        <v>14157</v>
      </c>
      <c r="AP759" t="s">
        <v>14158</v>
      </c>
      <c r="AQ759" t="s">
        <v>74</v>
      </c>
      <c r="AR759" t="s">
        <v>14159</v>
      </c>
      <c r="AS759" t="s">
        <v>14160</v>
      </c>
      <c r="AT759" t="s">
        <v>14106</v>
      </c>
      <c r="AU759">
        <v>2023</v>
      </c>
      <c r="AV759" t="s">
        <v>74</v>
      </c>
      <c r="AW759" t="s">
        <v>74</v>
      </c>
      <c r="AX759" t="s">
        <v>74</v>
      </c>
      <c r="AY759" t="s">
        <v>74</v>
      </c>
      <c r="AZ759" t="s">
        <v>74</v>
      </c>
      <c r="BA759" t="s">
        <v>74</v>
      </c>
      <c r="BB759" t="s">
        <v>74</v>
      </c>
      <c r="BC759" t="s">
        <v>74</v>
      </c>
      <c r="BD759" t="s">
        <v>74</v>
      </c>
      <c r="BE759" t="s">
        <v>14161</v>
      </c>
      <c r="BF759" t="str">
        <f>HYPERLINK("http://dx.doi.org/10.1007/s00198-023-06890-9","http://dx.doi.org/10.1007/s00198-023-06890-9")</f>
        <v>http://dx.doi.org/10.1007/s00198-023-06890-9</v>
      </c>
      <c r="BG759" t="s">
        <v>74</v>
      </c>
      <c r="BH759" t="s">
        <v>10650</v>
      </c>
      <c r="BI759">
        <v>8</v>
      </c>
      <c r="BJ759" t="s">
        <v>5606</v>
      </c>
      <c r="BK759" t="s">
        <v>126</v>
      </c>
      <c r="BL759" t="s">
        <v>5606</v>
      </c>
      <c r="BM759" t="s">
        <v>14162</v>
      </c>
      <c r="BN759">
        <v>37608123</v>
      </c>
      <c r="BO759" t="s">
        <v>74</v>
      </c>
      <c r="BP759" t="s">
        <v>74</v>
      </c>
      <c r="BQ759" t="s">
        <v>74</v>
      </c>
      <c r="BR759" t="s">
        <v>99</v>
      </c>
      <c r="BS759" t="s">
        <v>14163</v>
      </c>
      <c r="BT759" t="str">
        <f>HYPERLINK("https%3A%2F%2Fwww.webofscience.com%2Fwos%2Fwoscc%2Ffull-record%2FWOS:001052465600001","View Full Record in Web of Science")</f>
        <v>View Full Record in Web of Science</v>
      </c>
    </row>
    <row r="760" spans="1:72" x14ac:dyDescent="0.15">
      <c r="A760" t="s">
        <v>72</v>
      </c>
      <c r="B760" t="s">
        <v>14164</v>
      </c>
      <c r="C760" t="s">
        <v>74</v>
      </c>
      <c r="D760" t="s">
        <v>74</v>
      </c>
      <c r="E760" t="s">
        <v>74</v>
      </c>
      <c r="F760" t="s">
        <v>14165</v>
      </c>
      <c r="G760" t="s">
        <v>74</v>
      </c>
      <c r="H760" t="s">
        <v>74</v>
      </c>
      <c r="I760" t="s">
        <v>14166</v>
      </c>
      <c r="J760" t="s">
        <v>14167</v>
      </c>
      <c r="K760" t="s">
        <v>74</v>
      </c>
      <c r="L760" t="s">
        <v>74</v>
      </c>
      <c r="M760" t="s">
        <v>78</v>
      </c>
      <c r="N760" t="s">
        <v>79</v>
      </c>
      <c r="O760" t="s">
        <v>74</v>
      </c>
      <c r="P760" t="s">
        <v>74</v>
      </c>
      <c r="Q760" t="s">
        <v>74</v>
      </c>
      <c r="R760" t="s">
        <v>74</v>
      </c>
      <c r="S760" t="s">
        <v>74</v>
      </c>
      <c r="T760" t="s">
        <v>14168</v>
      </c>
      <c r="U760" t="s">
        <v>14169</v>
      </c>
      <c r="V760" t="s">
        <v>14170</v>
      </c>
      <c r="W760" t="s">
        <v>14171</v>
      </c>
      <c r="X760" t="s">
        <v>14172</v>
      </c>
      <c r="Y760" t="s">
        <v>14173</v>
      </c>
      <c r="Z760" t="s">
        <v>14174</v>
      </c>
      <c r="AA760" t="s">
        <v>74</v>
      </c>
      <c r="AB760" t="s">
        <v>74</v>
      </c>
      <c r="AC760" t="s">
        <v>74</v>
      </c>
      <c r="AD760" t="s">
        <v>74</v>
      </c>
      <c r="AE760" t="s">
        <v>74</v>
      </c>
      <c r="AF760" t="s">
        <v>74</v>
      </c>
      <c r="AG760">
        <v>6</v>
      </c>
      <c r="AH760">
        <v>0</v>
      </c>
      <c r="AI760">
        <v>0</v>
      </c>
      <c r="AJ760">
        <v>0</v>
      </c>
      <c r="AK760">
        <v>0</v>
      </c>
      <c r="AL760" t="s">
        <v>317</v>
      </c>
      <c r="AM760" t="s">
        <v>245</v>
      </c>
      <c r="AN760" t="s">
        <v>318</v>
      </c>
      <c r="AO760" t="s">
        <v>14175</v>
      </c>
      <c r="AP760" t="s">
        <v>14176</v>
      </c>
      <c r="AQ760" t="s">
        <v>74</v>
      </c>
      <c r="AR760" t="s">
        <v>14177</v>
      </c>
      <c r="AS760" t="s">
        <v>14178</v>
      </c>
      <c r="AT760" t="s">
        <v>14179</v>
      </c>
      <c r="AU760">
        <v>2023</v>
      </c>
      <c r="AV760">
        <v>31</v>
      </c>
      <c r="AW760">
        <v>1</v>
      </c>
      <c r="AX760" t="s">
        <v>74</v>
      </c>
      <c r="AY760" t="s">
        <v>74</v>
      </c>
      <c r="AZ760" t="s">
        <v>74</v>
      </c>
      <c r="BA760" t="s">
        <v>74</v>
      </c>
      <c r="BB760" t="s">
        <v>74</v>
      </c>
      <c r="BC760" t="s">
        <v>74</v>
      </c>
      <c r="BD760">
        <v>17</v>
      </c>
      <c r="BE760" t="s">
        <v>14180</v>
      </c>
      <c r="BF760" t="str">
        <f>HYPERLINK("http://dx.doi.org/10.1186/s43057-023-00108-8","http://dx.doi.org/10.1186/s43057-023-00108-8")</f>
        <v>http://dx.doi.org/10.1186/s43057-023-00108-8</v>
      </c>
      <c r="BG760" t="s">
        <v>74</v>
      </c>
      <c r="BH760" t="s">
        <v>74</v>
      </c>
      <c r="BI760">
        <v>5</v>
      </c>
      <c r="BJ760" t="s">
        <v>8785</v>
      </c>
      <c r="BK760" t="s">
        <v>97</v>
      </c>
      <c r="BL760" t="s">
        <v>6249</v>
      </c>
      <c r="BM760" t="s">
        <v>14181</v>
      </c>
      <c r="BN760" t="s">
        <v>74</v>
      </c>
      <c r="BO760" t="s">
        <v>302</v>
      </c>
      <c r="BP760" t="s">
        <v>74</v>
      </c>
      <c r="BQ760" t="s">
        <v>74</v>
      </c>
      <c r="BR760" t="s">
        <v>99</v>
      </c>
      <c r="BS760" t="s">
        <v>14182</v>
      </c>
      <c r="BT760" t="str">
        <f>HYPERLINK("https%3A%2F%2Fwww.webofscience.com%2Fwos%2Fwoscc%2Ffull-record%2FWOS:001052138500001","View Full Record in Web of Science")</f>
        <v>View Full Record in Web of Science</v>
      </c>
    </row>
    <row r="761" spans="1:72" x14ac:dyDescent="0.15">
      <c r="A761" t="s">
        <v>72</v>
      </c>
      <c r="B761" t="s">
        <v>14183</v>
      </c>
      <c r="C761" t="s">
        <v>74</v>
      </c>
      <c r="D761" t="s">
        <v>74</v>
      </c>
      <c r="E761" t="s">
        <v>74</v>
      </c>
      <c r="F761" t="s">
        <v>14184</v>
      </c>
      <c r="G761" t="s">
        <v>74</v>
      </c>
      <c r="H761" t="s">
        <v>74</v>
      </c>
      <c r="I761" t="s">
        <v>14185</v>
      </c>
      <c r="J761" t="s">
        <v>5283</v>
      </c>
      <c r="K761" t="s">
        <v>74</v>
      </c>
      <c r="L761" t="s">
        <v>74</v>
      </c>
      <c r="M761" t="s">
        <v>78</v>
      </c>
      <c r="N761" t="s">
        <v>2174</v>
      </c>
      <c r="O761" t="s">
        <v>74</v>
      </c>
      <c r="P761" t="s">
        <v>74</v>
      </c>
      <c r="Q761" t="s">
        <v>74</v>
      </c>
      <c r="R761" t="s">
        <v>74</v>
      </c>
      <c r="S761" t="s">
        <v>74</v>
      </c>
      <c r="T761" t="s">
        <v>14186</v>
      </c>
      <c r="U761" t="s">
        <v>14187</v>
      </c>
      <c r="V761" t="s">
        <v>14188</v>
      </c>
      <c r="W761" t="s">
        <v>14189</v>
      </c>
      <c r="X761" t="s">
        <v>14190</v>
      </c>
      <c r="Y761" t="s">
        <v>14191</v>
      </c>
      <c r="Z761" t="s">
        <v>14192</v>
      </c>
      <c r="AA761" t="s">
        <v>74</v>
      </c>
      <c r="AB761" t="s">
        <v>14193</v>
      </c>
      <c r="AC761" t="s">
        <v>74</v>
      </c>
      <c r="AD761" t="s">
        <v>74</v>
      </c>
      <c r="AE761" t="s">
        <v>74</v>
      </c>
      <c r="AF761" t="s">
        <v>74</v>
      </c>
      <c r="AG761">
        <v>84</v>
      </c>
      <c r="AH761">
        <v>0</v>
      </c>
      <c r="AI761">
        <v>0</v>
      </c>
      <c r="AJ761">
        <v>0</v>
      </c>
      <c r="AK761">
        <v>0</v>
      </c>
      <c r="AL761" t="s">
        <v>117</v>
      </c>
      <c r="AM761" t="s">
        <v>118</v>
      </c>
      <c r="AN761" t="s">
        <v>119</v>
      </c>
      <c r="AO761" t="s">
        <v>5290</v>
      </c>
      <c r="AP761" t="s">
        <v>5291</v>
      </c>
      <c r="AQ761" t="s">
        <v>74</v>
      </c>
      <c r="AR761" t="s">
        <v>5292</v>
      </c>
      <c r="AS761" t="s">
        <v>5293</v>
      </c>
      <c r="AT761" t="s">
        <v>14106</v>
      </c>
      <c r="AU761">
        <v>2023</v>
      </c>
      <c r="AV761" t="s">
        <v>74</v>
      </c>
      <c r="AW761" t="s">
        <v>74</v>
      </c>
      <c r="AX761" t="s">
        <v>74</v>
      </c>
      <c r="AY761" t="s">
        <v>74</v>
      </c>
      <c r="AZ761" t="s">
        <v>74</v>
      </c>
      <c r="BA761" t="s">
        <v>74</v>
      </c>
      <c r="BB761" t="s">
        <v>74</v>
      </c>
      <c r="BC761" t="s">
        <v>74</v>
      </c>
      <c r="BD761" t="s">
        <v>74</v>
      </c>
      <c r="BE761" t="s">
        <v>14194</v>
      </c>
      <c r="BF761" t="str">
        <f>HYPERLINK("http://dx.doi.org/10.1007/s00381-023-06109-6","http://dx.doi.org/10.1007/s00381-023-06109-6")</f>
        <v>http://dx.doi.org/10.1007/s00381-023-06109-6</v>
      </c>
      <c r="BG761" t="s">
        <v>74</v>
      </c>
      <c r="BH761" t="s">
        <v>10650</v>
      </c>
      <c r="BI761">
        <v>29</v>
      </c>
      <c r="BJ761" t="s">
        <v>5295</v>
      </c>
      <c r="BK761" t="s">
        <v>126</v>
      </c>
      <c r="BL761" t="s">
        <v>5296</v>
      </c>
      <c r="BM761" t="s">
        <v>14195</v>
      </c>
      <c r="BN761">
        <v>37606832</v>
      </c>
      <c r="BO761" t="s">
        <v>74</v>
      </c>
      <c r="BP761" t="s">
        <v>74</v>
      </c>
      <c r="BQ761" t="s">
        <v>74</v>
      </c>
      <c r="BR761" t="s">
        <v>99</v>
      </c>
      <c r="BS761" t="s">
        <v>14196</v>
      </c>
      <c r="BT761" t="str">
        <f>HYPERLINK("https%3A%2F%2Fwww.webofscience.com%2Fwos%2Fwoscc%2Ffull-record%2FWOS:001052807600001","View Full Record in Web of Science")</f>
        <v>View Full Record in Web of Science</v>
      </c>
    </row>
    <row r="762" spans="1:72" x14ac:dyDescent="0.15">
      <c r="A762" t="s">
        <v>72</v>
      </c>
      <c r="B762" t="s">
        <v>14197</v>
      </c>
      <c r="C762" t="s">
        <v>74</v>
      </c>
      <c r="D762" t="s">
        <v>74</v>
      </c>
      <c r="E762" t="s">
        <v>74</v>
      </c>
      <c r="F762" t="s">
        <v>14198</v>
      </c>
      <c r="G762" t="s">
        <v>74</v>
      </c>
      <c r="H762" t="s">
        <v>74</v>
      </c>
      <c r="I762" t="s">
        <v>14199</v>
      </c>
      <c r="J762" t="s">
        <v>14200</v>
      </c>
      <c r="K762" t="s">
        <v>74</v>
      </c>
      <c r="L762" t="s">
        <v>74</v>
      </c>
      <c r="M762" t="s">
        <v>78</v>
      </c>
      <c r="N762" t="s">
        <v>2174</v>
      </c>
      <c r="O762" t="s">
        <v>74</v>
      </c>
      <c r="P762" t="s">
        <v>74</v>
      </c>
      <c r="Q762" t="s">
        <v>74</v>
      </c>
      <c r="R762" t="s">
        <v>74</v>
      </c>
      <c r="S762" t="s">
        <v>74</v>
      </c>
      <c r="T762" t="s">
        <v>14201</v>
      </c>
      <c r="U762" t="s">
        <v>14202</v>
      </c>
      <c r="V762" t="s">
        <v>14203</v>
      </c>
      <c r="W762" t="s">
        <v>14204</v>
      </c>
      <c r="X762" t="s">
        <v>14205</v>
      </c>
      <c r="Y762" t="s">
        <v>14206</v>
      </c>
      <c r="Z762" t="s">
        <v>14207</v>
      </c>
      <c r="AA762" t="s">
        <v>74</v>
      </c>
      <c r="AB762" t="s">
        <v>74</v>
      </c>
      <c r="AC762" t="s">
        <v>74</v>
      </c>
      <c r="AD762" t="s">
        <v>74</v>
      </c>
      <c r="AE762" t="s">
        <v>74</v>
      </c>
      <c r="AF762" t="s">
        <v>74</v>
      </c>
      <c r="AG762">
        <v>35</v>
      </c>
      <c r="AH762">
        <v>0</v>
      </c>
      <c r="AI762">
        <v>0</v>
      </c>
      <c r="AJ762">
        <v>0</v>
      </c>
      <c r="AK762">
        <v>0</v>
      </c>
      <c r="AL762" t="s">
        <v>87</v>
      </c>
      <c r="AM762" t="s">
        <v>88</v>
      </c>
      <c r="AN762" t="s">
        <v>89</v>
      </c>
      <c r="AO762" t="s">
        <v>14208</v>
      </c>
      <c r="AP762" t="s">
        <v>14209</v>
      </c>
      <c r="AQ762" t="s">
        <v>74</v>
      </c>
      <c r="AR762" t="s">
        <v>14210</v>
      </c>
      <c r="AS762" t="s">
        <v>14211</v>
      </c>
      <c r="AT762" t="s">
        <v>14106</v>
      </c>
      <c r="AU762">
        <v>2023</v>
      </c>
      <c r="AV762" t="s">
        <v>74</v>
      </c>
      <c r="AW762" t="s">
        <v>74</v>
      </c>
      <c r="AX762" t="s">
        <v>74</v>
      </c>
      <c r="AY762" t="s">
        <v>74</v>
      </c>
      <c r="AZ762" t="s">
        <v>74</v>
      </c>
      <c r="BA762" t="s">
        <v>74</v>
      </c>
      <c r="BB762" t="s">
        <v>74</v>
      </c>
      <c r="BC762" t="s">
        <v>74</v>
      </c>
      <c r="BD762" t="s">
        <v>74</v>
      </c>
      <c r="BE762" t="s">
        <v>14212</v>
      </c>
      <c r="BF762" t="str">
        <f>HYPERLINK("http://dx.doi.org/10.1007/s12055-023-01581-w","http://dx.doi.org/10.1007/s12055-023-01581-w")</f>
        <v>http://dx.doi.org/10.1007/s12055-023-01581-w</v>
      </c>
      <c r="BG762" t="s">
        <v>74</v>
      </c>
      <c r="BH762" t="s">
        <v>10650</v>
      </c>
      <c r="BI762">
        <v>10</v>
      </c>
      <c r="BJ762" t="s">
        <v>8785</v>
      </c>
      <c r="BK762" t="s">
        <v>97</v>
      </c>
      <c r="BL762" t="s">
        <v>6249</v>
      </c>
      <c r="BM762" t="s">
        <v>14213</v>
      </c>
      <c r="BN762" t="s">
        <v>74</v>
      </c>
      <c r="BO762" t="s">
        <v>74</v>
      </c>
      <c r="BP762" t="s">
        <v>74</v>
      </c>
      <c r="BQ762" t="s">
        <v>74</v>
      </c>
      <c r="BR762" t="s">
        <v>99</v>
      </c>
      <c r="BS762" t="s">
        <v>14214</v>
      </c>
      <c r="BT762" t="str">
        <f>HYPERLINK("https%3A%2F%2Fwww.webofscience.com%2Fwos%2Fwoscc%2Ffull-record%2FWOS:001052437000001","View Full Record in Web of Science")</f>
        <v>View Full Record in Web of Science</v>
      </c>
    </row>
    <row r="763" spans="1:72" x14ac:dyDescent="0.15">
      <c r="A763" t="s">
        <v>72</v>
      </c>
      <c r="B763" t="s">
        <v>14215</v>
      </c>
      <c r="C763" t="s">
        <v>74</v>
      </c>
      <c r="D763" t="s">
        <v>74</v>
      </c>
      <c r="E763" t="s">
        <v>74</v>
      </c>
      <c r="F763" t="s">
        <v>14216</v>
      </c>
      <c r="G763" t="s">
        <v>74</v>
      </c>
      <c r="H763" t="s">
        <v>74</v>
      </c>
      <c r="I763" t="s">
        <v>14217</v>
      </c>
      <c r="J763" t="s">
        <v>14218</v>
      </c>
      <c r="K763" t="s">
        <v>74</v>
      </c>
      <c r="L763" t="s">
        <v>74</v>
      </c>
      <c r="M763" t="s">
        <v>78</v>
      </c>
      <c r="N763" t="s">
        <v>2174</v>
      </c>
      <c r="O763" t="s">
        <v>74</v>
      </c>
      <c r="P763" t="s">
        <v>74</v>
      </c>
      <c r="Q763" t="s">
        <v>74</v>
      </c>
      <c r="R763" t="s">
        <v>74</v>
      </c>
      <c r="S763" t="s">
        <v>74</v>
      </c>
      <c r="T763" t="s">
        <v>14219</v>
      </c>
      <c r="U763" t="s">
        <v>14220</v>
      </c>
      <c r="V763" t="s">
        <v>14221</v>
      </c>
      <c r="W763" t="s">
        <v>14222</v>
      </c>
      <c r="X763" t="s">
        <v>14223</v>
      </c>
      <c r="Y763" t="s">
        <v>14224</v>
      </c>
      <c r="Z763" t="s">
        <v>14225</v>
      </c>
      <c r="AA763" t="s">
        <v>14226</v>
      </c>
      <c r="AB763" t="s">
        <v>14227</v>
      </c>
      <c r="AC763" t="s">
        <v>74</v>
      </c>
      <c r="AD763" t="s">
        <v>74</v>
      </c>
      <c r="AE763" t="s">
        <v>74</v>
      </c>
      <c r="AF763" t="s">
        <v>74</v>
      </c>
      <c r="AG763">
        <v>48</v>
      </c>
      <c r="AH763">
        <v>0</v>
      </c>
      <c r="AI763">
        <v>0</v>
      </c>
      <c r="AJ763">
        <v>2</v>
      </c>
      <c r="AK763">
        <v>2</v>
      </c>
      <c r="AL763" t="s">
        <v>317</v>
      </c>
      <c r="AM763" t="s">
        <v>245</v>
      </c>
      <c r="AN763" t="s">
        <v>318</v>
      </c>
      <c r="AO763" t="s">
        <v>74</v>
      </c>
      <c r="AP763" t="s">
        <v>14228</v>
      </c>
      <c r="AQ763" t="s">
        <v>74</v>
      </c>
      <c r="AR763" t="s">
        <v>14229</v>
      </c>
      <c r="AS763" t="s">
        <v>14230</v>
      </c>
      <c r="AT763" t="s">
        <v>14106</v>
      </c>
      <c r="AU763">
        <v>2023</v>
      </c>
      <c r="AV763" t="s">
        <v>74</v>
      </c>
      <c r="AW763" t="s">
        <v>74</v>
      </c>
      <c r="AX763" t="s">
        <v>74</v>
      </c>
      <c r="AY763" t="s">
        <v>74</v>
      </c>
      <c r="AZ763" t="s">
        <v>74</v>
      </c>
      <c r="BA763" t="s">
        <v>74</v>
      </c>
      <c r="BB763" t="s">
        <v>74</v>
      </c>
      <c r="BC763" t="s">
        <v>74</v>
      </c>
      <c r="BD763" t="s">
        <v>74</v>
      </c>
      <c r="BE763" t="s">
        <v>14231</v>
      </c>
      <c r="BF763" t="str">
        <f>HYPERLINK("http://dx.doi.org/10.1007/s13668-023-00490-z","http://dx.doi.org/10.1007/s13668-023-00490-z")</f>
        <v>http://dx.doi.org/10.1007/s13668-023-00490-z</v>
      </c>
      <c r="BG763" t="s">
        <v>74</v>
      </c>
      <c r="BH763" t="s">
        <v>10650</v>
      </c>
      <c r="BI763">
        <v>8</v>
      </c>
      <c r="BJ763" t="s">
        <v>7080</v>
      </c>
      <c r="BK763" t="s">
        <v>126</v>
      </c>
      <c r="BL763" t="s">
        <v>7080</v>
      </c>
      <c r="BM763" t="s">
        <v>14232</v>
      </c>
      <c r="BN763">
        <v>37605086</v>
      </c>
      <c r="BO763" t="s">
        <v>74</v>
      </c>
      <c r="BP763" t="s">
        <v>74</v>
      </c>
      <c r="BQ763" t="s">
        <v>74</v>
      </c>
      <c r="BR763" t="s">
        <v>99</v>
      </c>
      <c r="BS763" t="s">
        <v>14233</v>
      </c>
      <c r="BT763" t="str">
        <f>HYPERLINK("https%3A%2F%2Fwww.webofscience.com%2Fwos%2Fwoscc%2Ffull-record%2FWOS:001051460400001","View Full Record in Web of Science")</f>
        <v>View Full Record in Web of Science</v>
      </c>
    </row>
    <row r="764" spans="1:72" x14ac:dyDescent="0.15">
      <c r="A764" t="s">
        <v>72</v>
      </c>
      <c r="B764" t="s">
        <v>14234</v>
      </c>
      <c r="C764" t="s">
        <v>74</v>
      </c>
      <c r="D764" t="s">
        <v>74</v>
      </c>
      <c r="E764" t="s">
        <v>74</v>
      </c>
      <c r="F764" t="s">
        <v>14235</v>
      </c>
      <c r="G764" t="s">
        <v>74</v>
      </c>
      <c r="H764" t="s">
        <v>74</v>
      </c>
      <c r="I764" t="s">
        <v>14236</v>
      </c>
      <c r="J764" t="s">
        <v>14237</v>
      </c>
      <c r="K764" t="s">
        <v>74</v>
      </c>
      <c r="L764" t="s">
        <v>74</v>
      </c>
      <c r="M764" t="s">
        <v>78</v>
      </c>
      <c r="N764" t="s">
        <v>1246</v>
      </c>
      <c r="O764" t="s">
        <v>74</v>
      </c>
      <c r="P764" t="s">
        <v>74</v>
      </c>
      <c r="Q764" t="s">
        <v>74</v>
      </c>
      <c r="R764" t="s">
        <v>74</v>
      </c>
      <c r="S764" t="s">
        <v>74</v>
      </c>
      <c r="T764" t="s">
        <v>14238</v>
      </c>
      <c r="U764" t="s">
        <v>74</v>
      </c>
      <c r="V764" t="s">
        <v>14239</v>
      </c>
      <c r="W764" t="s">
        <v>14240</v>
      </c>
      <c r="X764" t="s">
        <v>14241</v>
      </c>
      <c r="Y764" t="s">
        <v>14242</v>
      </c>
      <c r="Z764" t="s">
        <v>14243</v>
      </c>
      <c r="AA764" t="s">
        <v>74</v>
      </c>
      <c r="AB764" t="s">
        <v>14244</v>
      </c>
      <c r="AC764" t="s">
        <v>14245</v>
      </c>
      <c r="AD764" t="s">
        <v>14246</v>
      </c>
      <c r="AE764" t="s">
        <v>14247</v>
      </c>
      <c r="AF764" t="s">
        <v>74</v>
      </c>
      <c r="AG764">
        <v>26</v>
      </c>
      <c r="AH764">
        <v>0</v>
      </c>
      <c r="AI764">
        <v>0</v>
      </c>
      <c r="AJ764">
        <v>0</v>
      </c>
      <c r="AK764">
        <v>0</v>
      </c>
      <c r="AL764" t="s">
        <v>1295</v>
      </c>
      <c r="AM764" t="s">
        <v>1296</v>
      </c>
      <c r="AN764" t="s">
        <v>1297</v>
      </c>
      <c r="AO764" t="s">
        <v>14248</v>
      </c>
      <c r="AP764" t="s">
        <v>14249</v>
      </c>
      <c r="AQ764" t="s">
        <v>74</v>
      </c>
      <c r="AR764" t="s">
        <v>14250</v>
      </c>
      <c r="AS764" t="s">
        <v>14251</v>
      </c>
      <c r="AT764" t="s">
        <v>14106</v>
      </c>
      <c r="AU764">
        <v>2023</v>
      </c>
      <c r="AV764" t="s">
        <v>74</v>
      </c>
      <c r="AW764" t="s">
        <v>74</v>
      </c>
      <c r="AX764" t="s">
        <v>74</v>
      </c>
      <c r="AY764" t="s">
        <v>74</v>
      </c>
      <c r="AZ764" t="s">
        <v>74</v>
      </c>
      <c r="BA764" t="s">
        <v>74</v>
      </c>
      <c r="BB764" t="s">
        <v>74</v>
      </c>
      <c r="BC764" t="s">
        <v>74</v>
      </c>
      <c r="BD764" t="s">
        <v>74</v>
      </c>
      <c r="BE764" t="s">
        <v>14252</v>
      </c>
      <c r="BF764" t="str">
        <f>HYPERLINK("http://dx.doi.org/10.1007/s11587-023-00810-z","http://dx.doi.org/10.1007/s11587-023-00810-z")</f>
        <v>http://dx.doi.org/10.1007/s11587-023-00810-z</v>
      </c>
      <c r="BG764" t="s">
        <v>74</v>
      </c>
      <c r="BH764" t="s">
        <v>10650</v>
      </c>
      <c r="BI764">
        <v>12</v>
      </c>
      <c r="BJ764" t="s">
        <v>227</v>
      </c>
      <c r="BK764" t="s">
        <v>126</v>
      </c>
      <c r="BL764" t="s">
        <v>228</v>
      </c>
      <c r="BM764" t="s">
        <v>14253</v>
      </c>
      <c r="BN764" t="s">
        <v>74</v>
      </c>
      <c r="BO764" t="s">
        <v>1183</v>
      </c>
      <c r="BP764" t="s">
        <v>74</v>
      </c>
      <c r="BQ764" t="s">
        <v>74</v>
      </c>
      <c r="BR764" t="s">
        <v>99</v>
      </c>
      <c r="BS764" t="s">
        <v>14254</v>
      </c>
      <c r="BT764" t="str">
        <f>HYPERLINK("https%3A%2F%2Fwww.webofscience.com%2Fwos%2Fwoscc%2Ffull-record%2FWOS:001052500100002","View Full Record in Web of Science")</f>
        <v>View Full Record in Web of Science</v>
      </c>
    </row>
    <row r="765" spans="1:72" x14ac:dyDescent="0.15">
      <c r="A765" t="s">
        <v>72</v>
      </c>
      <c r="B765" t="s">
        <v>14255</v>
      </c>
      <c r="C765" t="s">
        <v>74</v>
      </c>
      <c r="D765" t="s">
        <v>74</v>
      </c>
      <c r="E765" t="s">
        <v>74</v>
      </c>
      <c r="F765" t="s">
        <v>14256</v>
      </c>
      <c r="G765" t="s">
        <v>74</v>
      </c>
      <c r="H765" t="s">
        <v>74</v>
      </c>
      <c r="I765" t="s">
        <v>14257</v>
      </c>
      <c r="J765" t="s">
        <v>5944</v>
      </c>
      <c r="K765" t="s">
        <v>74</v>
      </c>
      <c r="L765" t="s">
        <v>74</v>
      </c>
      <c r="M765" t="s">
        <v>78</v>
      </c>
      <c r="N765" t="s">
        <v>2174</v>
      </c>
      <c r="O765" t="s">
        <v>74</v>
      </c>
      <c r="P765" t="s">
        <v>74</v>
      </c>
      <c r="Q765" t="s">
        <v>74</v>
      </c>
      <c r="R765" t="s">
        <v>74</v>
      </c>
      <c r="S765" t="s">
        <v>74</v>
      </c>
      <c r="T765" t="s">
        <v>74</v>
      </c>
      <c r="U765" t="s">
        <v>14258</v>
      </c>
      <c r="V765" t="s">
        <v>14259</v>
      </c>
      <c r="W765" t="s">
        <v>14260</v>
      </c>
      <c r="X765" t="s">
        <v>14261</v>
      </c>
      <c r="Y765" t="s">
        <v>14262</v>
      </c>
      <c r="Z765" t="s">
        <v>14263</v>
      </c>
      <c r="AA765" t="s">
        <v>14264</v>
      </c>
      <c r="AB765" t="s">
        <v>14265</v>
      </c>
      <c r="AC765" t="s">
        <v>74</v>
      </c>
      <c r="AD765" t="s">
        <v>74</v>
      </c>
      <c r="AE765" t="s">
        <v>74</v>
      </c>
      <c r="AF765" t="s">
        <v>74</v>
      </c>
      <c r="AG765">
        <v>225</v>
      </c>
      <c r="AH765">
        <v>0</v>
      </c>
      <c r="AI765">
        <v>0</v>
      </c>
      <c r="AJ765">
        <v>4</v>
      </c>
      <c r="AK765">
        <v>4</v>
      </c>
      <c r="AL765" t="s">
        <v>3023</v>
      </c>
      <c r="AM765" t="s">
        <v>3024</v>
      </c>
      <c r="AN765" t="s">
        <v>3025</v>
      </c>
      <c r="AO765" t="s">
        <v>5951</v>
      </c>
      <c r="AP765" t="s">
        <v>5952</v>
      </c>
      <c r="AQ765" t="s">
        <v>74</v>
      </c>
      <c r="AR765" t="s">
        <v>5953</v>
      </c>
      <c r="AS765" t="s">
        <v>5954</v>
      </c>
      <c r="AT765" t="s">
        <v>14106</v>
      </c>
      <c r="AU765">
        <v>2023</v>
      </c>
      <c r="AV765" t="s">
        <v>74</v>
      </c>
      <c r="AW765" t="s">
        <v>74</v>
      </c>
      <c r="AX765" t="s">
        <v>74</v>
      </c>
      <c r="AY765" t="s">
        <v>74</v>
      </c>
      <c r="AZ765" t="s">
        <v>74</v>
      </c>
      <c r="BA765" t="s">
        <v>74</v>
      </c>
      <c r="BB765" t="s">
        <v>74</v>
      </c>
      <c r="BC765" t="s">
        <v>74</v>
      </c>
      <c r="BD765" t="s">
        <v>74</v>
      </c>
      <c r="BE765" t="s">
        <v>14266</v>
      </c>
      <c r="BF765" t="str">
        <f>HYPERLINK("http://dx.doi.org/10.1007/s40257-023-00808-1","http://dx.doi.org/10.1007/s40257-023-00808-1")</f>
        <v>http://dx.doi.org/10.1007/s40257-023-00808-1</v>
      </c>
      <c r="BG765" t="s">
        <v>74</v>
      </c>
      <c r="BH765" t="s">
        <v>10650</v>
      </c>
      <c r="BI765">
        <v>18</v>
      </c>
      <c r="BJ765" t="s">
        <v>3031</v>
      </c>
      <c r="BK765" t="s">
        <v>126</v>
      </c>
      <c r="BL765" t="s">
        <v>3031</v>
      </c>
      <c r="BM765" t="s">
        <v>14267</v>
      </c>
      <c r="BN765">
        <v>37606849</v>
      </c>
      <c r="BO765" t="s">
        <v>74</v>
      </c>
      <c r="BP765" t="s">
        <v>74</v>
      </c>
      <c r="BQ765" t="s">
        <v>74</v>
      </c>
      <c r="BR765" t="s">
        <v>99</v>
      </c>
      <c r="BS765" t="s">
        <v>14268</v>
      </c>
      <c r="BT765" t="str">
        <f>HYPERLINK("https%3A%2F%2Fwww.webofscience.com%2Fwos%2Fwoscc%2Ffull-record%2FWOS:001052509100001","View Full Record in Web of Science")</f>
        <v>View Full Record in Web of Science</v>
      </c>
    </row>
    <row r="766" spans="1:72" x14ac:dyDescent="0.15">
      <c r="A766" t="s">
        <v>72</v>
      </c>
      <c r="B766" t="s">
        <v>14269</v>
      </c>
      <c r="C766" t="s">
        <v>74</v>
      </c>
      <c r="D766" t="s">
        <v>74</v>
      </c>
      <c r="E766" t="s">
        <v>74</v>
      </c>
      <c r="F766" t="s">
        <v>14270</v>
      </c>
      <c r="G766" t="s">
        <v>74</v>
      </c>
      <c r="H766" t="s">
        <v>74</v>
      </c>
      <c r="I766" t="s">
        <v>14271</v>
      </c>
      <c r="J766" t="s">
        <v>3212</v>
      </c>
      <c r="K766" t="s">
        <v>74</v>
      </c>
      <c r="L766" t="s">
        <v>74</v>
      </c>
      <c r="M766" t="s">
        <v>78</v>
      </c>
      <c r="N766" t="s">
        <v>79</v>
      </c>
      <c r="O766" t="s">
        <v>74</v>
      </c>
      <c r="P766" t="s">
        <v>74</v>
      </c>
      <c r="Q766" t="s">
        <v>74</v>
      </c>
      <c r="R766" t="s">
        <v>74</v>
      </c>
      <c r="S766" t="s">
        <v>74</v>
      </c>
      <c r="T766" t="s">
        <v>14272</v>
      </c>
      <c r="U766" t="s">
        <v>14273</v>
      </c>
      <c r="V766" t="s">
        <v>14274</v>
      </c>
      <c r="W766" t="s">
        <v>14275</v>
      </c>
      <c r="X766" t="s">
        <v>14276</v>
      </c>
      <c r="Y766" t="s">
        <v>14277</v>
      </c>
      <c r="Z766" t="s">
        <v>14278</v>
      </c>
      <c r="AA766" t="s">
        <v>14279</v>
      </c>
      <c r="AB766" t="s">
        <v>14280</v>
      </c>
      <c r="AC766" t="s">
        <v>74</v>
      </c>
      <c r="AD766" t="s">
        <v>74</v>
      </c>
      <c r="AE766" t="s">
        <v>74</v>
      </c>
      <c r="AF766" t="s">
        <v>74</v>
      </c>
      <c r="AG766">
        <v>35</v>
      </c>
      <c r="AH766">
        <v>0</v>
      </c>
      <c r="AI766">
        <v>0</v>
      </c>
      <c r="AJ766">
        <v>0</v>
      </c>
      <c r="AK766">
        <v>0</v>
      </c>
      <c r="AL766" t="s">
        <v>443</v>
      </c>
      <c r="AM766" t="s">
        <v>245</v>
      </c>
      <c r="AN766" t="s">
        <v>444</v>
      </c>
      <c r="AO766" t="s">
        <v>74</v>
      </c>
      <c r="AP766" t="s">
        <v>3220</v>
      </c>
      <c r="AQ766" t="s">
        <v>74</v>
      </c>
      <c r="AR766" t="s">
        <v>3221</v>
      </c>
      <c r="AS766" t="s">
        <v>3222</v>
      </c>
      <c r="AT766" t="s">
        <v>14179</v>
      </c>
      <c r="AU766">
        <v>2023</v>
      </c>
      <c r="AV766">
        <v>23</v>
      </c>
      <c r="AW766">
        <v>1</v>
      </c>
      <c r="AX766" t="s">
        <v>74</v>
      </c>
      <c r="AY766" t="s">
        <v>74</v>
      </c>
      <c r="AZ766" t="s">
        <v>74</v>
      </c>
      <c r="BA766" t="s">
        <v>74</v>
      </c>
      <c r="BB766" t="s">
        <v>74</v>
      </c>
      <c r="BC766" t="s">
        <v>74</v>
      </c>
      <c r="BD766">
        <v>598</v>
      </c>
      <c r="BE766" t="s">
        <v>14281</v>
      </c>
      <c r="BF766" t="str">
        <f>HYPERLINK("http://dx.doi.org/10.1186/s12909-023-04585-7","http://dx.doi.org/10.1186/s12909-023-04585-7")</f>
        <v>http://dx.doi.org/10.1186/s12909-023-04585-7</v>
      </c>
      <c r="BG766" t="s">
        <v>74</v>
      </c>
      <c r="BH766" t="s">
        <v>74</v>
      </c>
      <c r="BI766">
        <v>10</v>
      </c>
      <c r="BJ766" t="s">
        <v>3225</v>
      </c>
      <c r="BK766" t="s">
        <v>2431</v>
      </c>
      <c r="BL766" t="s">
        <v>3226</v>
      </c>
      <c r="BM766" t="s">
        <v>14282</v>
      </c>
      <c r="BN766">
        <v>37608284</v>
      </c>
      <c r="BO766" t="s">
        <v>302</v>
      </c>
      <c r="BP766" t="s">
        <v>74</v>
      </c>
      <c r="BQ766" t="s">
        <v>74</v>
      </c>
      <c r="BR766" t="s">
        <v>99</v>
      </c>
      <c r="BS766" t="s">
        <v>14283</v>
      </c>
      <c r="BT766" t="str">
        <f>HYPERLINK("https%3A%2F%2Fwww.webofscience.com%2Fwos%2Fwoscc%2Ffull-record%2FWOS:001052598800005","View Full Record in Web of Science")</f>
        <v>View Full Record in Web of Science</v>
      </c>
    </row>
    <row r="767" spans="1:72" x14ac:dyDescent="0.15">
      <c r="A767" t="s">
        <v>72</v>
      </c>
      <c r="B767" t="s">
        <v>14284</v>
      </c>
      <c r="C767" t="s">
        <v>74</v>
      </c>
      <c r="D767" t="s">
        <v>74</v>
      </c>
      <c r="E767" t="s">
        <v>74</v>
      </c>
      <c r="F767" t="s">
        <v>14285</v>
      </c>
      <c r="G767" t="s">
        <v>74</v>
      </c>
      <c r="H767" t="s">
        <v>74</v>
      </c>
      <c r="I767" t="s">
        <v>14286</v>
      </c>
      <c r="J767" t="s">
        <v>14287</v>
      </c>
      <c r="K767" t="s">
        <v>74</v>
      </c>
      <c r="L767" t="s">
        <v>74</v>
      </c>
      <c r="M767" t="s">
        <v>78</v>
      </c>
      <c r="N767" t="s">
        <v>1246</v>
      </c>
      <c r="O767" t="s">
        <v>74</v>
      </c>
      <c r="P767" t="s">
        <v>74</v>
      </c>
      <c r="Q767" t="s">
        <v>74</v>
      </c>
      <c r="R767" t="s">
        <v>74</v>
      </c>
      <c r="S767" t="s">
        <v>74</v>
      </c>
      <c r="T767" t="s">
        <v>14288</v>
      </c>
      <c r="U767" t="s">
        <v>14289</v>
      </c>
      <c r="V767" t="s">
        <v>14290</v>
      </c>
      <c r="W767" t="s">
        <v>14291</v>
      </c>
      <c r="X767" t="s">
        <v>14292</v>
      </c>
      <c r="Y767" t="s">
        <v>14293</v>
      </c>
      <c r="Z767" t="s">
        <v>14294</v>
      </c>
      <c r="AA767" t="s">
        <v>74</v>
      </c>
      <c r="AB767" t="s">
        <v>74</v>
      </c>
      <c r="AC767" t="s">
        <v>74</v>
      </c>
      <c r="AD767" t="s">
        <v>74</v>
      </c>
      <c r="AE767" t="s">
        <v>74</v>
      </c>
      <c r="AF767" t="s">
        <v>74</v>
      </c>
      <c r="AG767">
        <v>86</v>
      </c>
      <c r="AH767">
        <v>0</v>
      </c>
      <c r="AI767">
        <v>0</v>
      </c>
      <c r="AJ767">
        <v>0</v>
      </c>
      <c r="AK767">
        <v>0</v>
      </c>
      <c r="AL767" t="s">
        <v>117</v>
      </c>
      <c r="AM767" t="s">
        <v>627</v>
      </c>
      <c r="AN767" t="s">
        <v>628</v>
      </c>
      <c r="AO767" t="s">
        <v>14295</v>
      </c>
      <c r="AP767" t="s">
        <v>14296</v>
      </c>
      <c r="AQ767" t="s">
        <v>74</v>
      </c>
      <c r="AR767" t="s">
        <v>14297</v>
      </c>
      <c r="AS767" t="s">
        <v>14298</v>
      </c>
      <c r="AT767" t="s">
        <v>14106</v>
      </c>
      <c r="AU767">
        <v>2023</v>
      </c>
      <c r="AV767" t="s">
        <v>74</v>
      </c>
      <c r="AW767" t="s">
        <v>74</v>
      </c>
      <c r="AX767" t="s">
        <v>74</v>
      </c>
      <c r="AY767" t="s">
        <v>74</v>
      </c>
      <c r="AZ767" t="s">
        <v>74</v>
      </c>
      <c r="BA767" t="s">
        <v>74</v>
      </c>
      <c r="BB767" t="s">
        <v>74</v>
      </c>
      <c r="BC767" t="s">
        <v>74</v>
      </c>
      <c r="BD767" t="s">
        <v>74</v>
      </c>
      <c r="BE767" t="s">
        <v>14299</v>
      </c>
      <c r="BF767" t="str">
        <f>HYPERLINK("http://dx.doi.org/10.1007/s11158-023-09628-w","http://dx.doi.org/10.1007/s11158-023-09628-w")</f>
        <v>http://dx.doi.org/10.1007/s11158-023-09628-w</v>
      </c>
      <c r="BG767" t="s">
        <v>74</v>
      </c>
      <c r="BH767" t="s">
        <v>10650</v>
      </c>
      <c r="BI767">
        <v>40</v>
      </c>
      <c r="BJ767" t="s">
        <v>3779</v>
      </c>
      <c r="BK767" t="s">
        <v>3780</v>
      </c>
      <c r="BL767" t="s">
        <v>3779</v>
      </c>
      <c r="BM767" t="s">
        <v>14300</v>
      </c>
      <c r="BN767" t="s">
        <v>74</v>
      </c>
      <c r="BO767" t="s">
        <v>74</v>
      </c>
      <c r="BP767" t="s">
        <v>74</v>
      </c>
      <c r="BQ767" t="s">
        <v>74</v>
      </c>
      <c r="BR767" t="s">
        <v>99</v>
      </c>
      <c r="BS767" t="s">
        <v>14301</v>
      </c>
      <c r="BT767" t="str">
        <f>HYPERLINK("https%3A%2F%2Fwww.webofscience.com%2Fwos%2Fwoscc%2Ffull-record%2FWOS:001052467100001","View Full Record in Web of Science")</f>
        <v>View Full Record in Web of Science</v>
      </c>
    </row>
    <row r="768" spans="1:72" x14ac:dyDescent="0.15">
      <c r="A768" t="s">
        <v>72</v>
      </c>
      <c r="B768" t="s">
        <v>14302</v>
      </c>
      <c r="C768" t="s">
        <v>74</v>
      </c>
      <c r="D768" t="s">
        <v>74</v>
      </c>
      <c r="E768" t="s">
        <v>74</v>
      </c>
      <c r="F768" t="s">
        <v>14303</v>
      </c>
      <c r="G768" t="s">
        <v>74</v>
      </c>
      <c r="H768" t="s">
        <v>74</v>
      </c>
      <c r="I768" t="s">
        <v>14304</v>
      </c>
      <c r="J768" t="s">
        <v>14305</v>
      </c>
      <c r="K768" t="s">
        <v>74</v>
      </c>
      <c r="L768" t="s">
        <v>74</v>
      </c>
      <c r="M768" t="s">
        <v>4349</v>
      </c>
      <c r="N768" t="s">
        <v>79</v>
      </c>
      <c r="O768" t="s">
        <v>74</v>
      </c>
      <c r="P768" t="s">
        <v>74</v>
      </c>
      <c r="Q768" t="s">
        <v>74</v>
      </c>
      <c r="R768" t="s">
        <v>74</v>
      </c>
      <c r="S768" t="s">
        <v>74</v>
      </c>
      <c r="T768" t="s">
        <v>14306</v>
      </c>
      <c r="U768" t="s">
        <v>74</v>
      </c>
      <c r="V768" t="s">
        <v>14307</v>
      </c>
      <c r="W768" t="s">
        <v>14308</v>
      </c>
      <c r="X768" t="s">
        <v>14309</v>
      </c>
      <c r="Y768" t="s">
        <v>14310</v>
      </c>
      <c r="Z768" t="s">
        <v>14311</v>
      </c>
      <c r="AA768" t="s">
        <v>74</v>
      </c>
      <c r="AB768" t="s">
        <v>74</v>
      </c>
      <c r="AC768" t="s">
        <v>649</v>
      </c>
      <c r="AD768" t="s">
        <v>649</v>
      </c>
      <c r="AE768" t="s">
        <v>650</v>
      </c>
      <c r="AF768" t="s">
        <v>74</v>
      </c>
      <c r="AG768">
        <v>100</v>
      </c>
      <c r="AH768">
        <v>0</v>
      </c>
      <c r="AI768">
        <v>0</v>
      </c>
      <c r="AJ768">
        <v>0</v>
      </c>
      <c r="AK768">
        <v>0</v>
      </c>
      <c r="AL768" t="s">
        <v>14312</v>
      </c>
      <c r="AM768" t="s">
        <v>14313</v>
      </c>
      <c r="AN768" t="s">
        <v>14314</v>
      </c>
      <c r="AO768" t="s">
        <v>14315</v>
      </c>
      <c r="AP768" t="s">
        <v>14316</v>
      </c>
      <c r="AQ768" t="s">
        <v>74</v>
      </c>
      <c r="AR768" t="s">
        <v>14317</v>
      </c>
      <c r="AS768" t="s">
        <v>14318</v>
      </c>
      <c r="AT768" t="s">
        <v>5145</v>
      </c>
      <c r="AU768">
        <v>2023</v>
      </c>
      <c r="AV768">
        <v>53</v>
      </c>
      <c r="AW768">
        <v>2</v>
      </c>
      <c r="AX768" t="s">
        <v>74</v>
      </c>
      <c r="AY768" t="s">
        <v>74</v>
      </c>
      <c r="AZ768" t="s">
        <v>74</v>
      </c>
      <c r="BA768" t="s">
        <v>74</v>
      </c>
      <c r="BB768">
        <v>193</v>
      </c>
      <c r="BC768">
        <v>232</v>
      </c>
      <c r="BD768" t="s">
        <v>74</v>
      </c>
      <c r="BE768" t="s">
        <v>14319</v>
      </c>
      <c r="BF768" t="str">
        <f>HYPERLINK("http://dx.doi.org/10.1007/s41244-023-00285-3","http://dx.doi.org/10.1007/s41244-023-00285-3")</f>
        <v>http://dx.doi.org/10.1007/s41244-023-00285-3</v>
      </c>
      <c r="BG768" t="s">
        <v>74</v>
      </c>
      <c r="BH768" t="s">
        <v>10650</v>
      </c>
      <c r="BI768">
        <v>40</v>
      </c>
      <c r="BJ768" t="s">
        <v>14320</v>
      </c>
      <c r="BK768" t="s">
        <v>3780</v>
      </c>
      <c r="BL768" t="s">
        <v>14321</v>
      </c>
      <c r="BM768" t="s">
        <v>14322</v>
      </c>
      <c r="BN768" t="s">
        <v>74</v>
      </c>
      <c r="BO768" t="s">
        <v>183</v>
      </c>
      <c r="BP768" t="s">
        <v>74</v>
      </c>
      <c r="BQ768" t="s">
        <v>74</v>
      </c>
      <c r="BR768" t="s">
        <v>99</v>
      </c>
      <c r="BS768" t="s">
        <v>14323</v>
      </c>
      <c r="BT768" t="str">
        <f>HYPERLINK("https%3A%2F%2Fwww.webofscience.com%2Fwos%2Fwoscc%2Ffull-record%2FWOS:001052758800001","View Full Record in Web of Science")</f>
        <v>View Full Record in Web of Science</v>
      </c>
    </row>
    <row r="769" spans="1:72" x14ac:dyDescent="0.15">
      <c r="A769" t="s">
        <v>72</v>
      </c>
      <c r="B769" t="s">
        <v>14324</v>
      </c>
      <c r="C769" t="s">
        <v>74</v>
      </c>
      <c r="D769" t="s">
        <v>74</v>
      </c>
      <c r="E769" t="s">
        <v>74</v>
      </c>
      <c r="F769" t="s">
        <v>14325</v>
      </c>
      <c r="G769" t="s">
        <v>74</v>
      </c>
      <c r="H769" t="s">
        <v>74</v>
      </c>
      <c r="I769" t="s">
        <v>14326</v>
      </c>
      <c r="J769" t="s">
        <v>7161</v>
      </c>
      <c r="K769" t="s">
        <v>74</v>
      </c>
      <c r="L769" t="s">
        <v>74</v>
      </c>
      <c r="M769" t="s">
        <v>78</v>
      </c>
      <c r="N769" t="s">
        <v>79</v>
      </c>
      <c r="O769" t="s">
        <v>74</v>
      </c>
      <c r="P769" t="s">
        <v>74</v>
      </c>
      <c r="Q769" t="s">
        <v>74</v>
      </c>
      <c r="R769" t="s">
        <v>74</v>
      </c>
      <c r="S769" t="s">
        <v>74</v>
      </c>
      <c r="T769" t="s">
        <v>14327</v>
      </c>
      <c r="U769" t="s">
        <v>14328</v>
      </c>
      <c r="V769" t="s">
        <v>14329</v>
      </c>
      <c r="W769" t="s">
        <v>14330</v>
      </c>
      <c r="X769" t="s">
        <v>14331</v>
      </c>
      <c r="Y769" t="s">
        <v>14332</v>
      </c>
      <c r="Z769" t="s">
        <v>14333</v>
      </c>
      <c r="AA769" t="s">
        <v>14334</v>
      </c>
      <c r="AB769" t="s">
        <v>14335</v>
      </c>
      <c r="AC769" t="s">
        <v>74</v>
      </c>
      <c r="AD769" t="s">
        <v>74</v>
      </c>
      <c r="AE769" t="s">
        <v>74</v>
      </c>
      <c r="AF769" t="s">
        <v>74</v>
      </c>
      <c r="AG769">
        <v>90</v>
      </c>
      <c r="AH769">
        <v>0</v>
      </c>
      <c r="AI769">
        <v>0</v>
      </c>
      <c r="AJ769">
        <v>2</v>
      </c>
      <c r="AK769">
        <v>2</v>
      </c>
      <c r="AL769" t="s">
        <v>172</v>
      </c>
      <c r="AM769" t="s">
        <v>173</v>
      </c>
      <c r="AN769" t="s">
        <v>174</v>
      </c>
      <c r="AO769" t="s">
        <v>7172</v>
      </c>
      <c r="AP769" t="s">
        <v>7173</v>
      </c>
      <c r="AQ769" t="s">
        <v>74</v>
      </c>
      <c r="AR769" t="s">
        <v>7174</v>
      </c>
      <c r="AS769" t="s">
        <v>7175</v>
      </c>
      <c r="AT769" t="s">
        <v>8614</v>
      </c>
      <c r="AU769">
        <v>2023</v>
      </c>
      <c r="AV769">
        <v>30</v>
      </c>
      <c r="AW769">
        <v>43</v>
      </c>
      <c r="AX769" t="s">
        <v>74</v>
      </c>
      <c r="AY769" t="s">
        <v>74</v>
      </c>
      <c r="AZ769" t="s">
        <v>74</v>
      </c>
      <c r="BA769" t="s">
        <v>74</v>
      </c>
      <c r="BB769">
        <v>98300</v>
      </c>
      <c r="BC769">
        <v>98313</v>
      </c>
      <c r="BD769" t="s">
        <v>74</v>
      </c>
      <c r="BE769" t="s">
        <v>14336</v>
      </c>
      <c r="BF769" t="str">
        <f>HYPERLINK("http://dx.doi.org/10.1007/s11356-023-29428-2","http://dx.doi.org/10.1007/s11356-023-29428-2")</f>
        <v>http://dx.doi.org/10.1007/s11356-023-29428-2</v>
      </c>
      <c r="BG769" t="s">
        <v>74</v>
      </c>
      <c r="BH769" t="s">
        <v>10650</v>
      </c>
      <c r="BI769">
        <v>14</v>
      </c>
      <c r="BJ769" t="s">
        <v>1346</v>
      </c>
      <c r="BK769" t="s">
        <v>126</v>
      </c>
      <c r="BL769" t="s">
        <v>1347</v>
      </c>
      <c r="BM769" t="s">
        <v>14337</v>
      </c>
      <c r="BN769">
        <v>37606772</v>
      </c>
      <c r="BO769" t="s">
        <v>74</v>
      </c>
      <c r="BP769" t="s">
        <v>74</v>
      </c>
      <c r="BQ769" t="s">
        <v>74</v>
      </c>
      <c r="BR769" t="s">
        <v>99</v>
      </c>
      <c r="BS769" t="s">
        <v>14338</v>
      </c>
      <c r="BT769" t="str">
        <f>HYPERLINK("https%3A%2F%2Fwww.webofscience.com%2Fwos%2Fwoscc%2Ffull-record%2FWOS:001052843500023","View Full Record in Web of Science")</f>
        <v>View Full Record in Web of Science</v>
      </c>
    </row>
    <row r="770" spans="1:72" x14ac:dyDescent="0.15">
      <c r="A770" t="s">
        <v>72</v>
      </c>
      <c r="B770" t="s">
        <v>14339</v>
      </c>
      <c r="C770" t="s">
        <v>74</v>
      </c>
      <c r="D770" t="s">
        <v>74</v>
      </c>
      <c r="E770" t="s">
        <v>74</v>
      </c>
      <c r="F770" t="s">
        <v>14340</v>
      </c>
      <c r="G770" t="s">
        <v>74</v>
      </c>
      <c r="H770" t="s">
        <v>74</v>
      </c>
      <c r="I770" t="s">
        <v>14341</v>
      </c>
      <c r="J770" t="s">
        <v>14342</v>
      </c>
      <c r="K770" t="s">
        <v>74</v>
      </c>
      <c r="L770" t="s">
        <v>74</v>
      </c>
      <c r="M770" t="s">
        <v>78</v>
      </c>
      <c r="N770" t="s">
        <v>79</v>
      </c>
      <c r="O770" t="s">
        <v>74</v>
      </c>
      <c r="P770" t="s">
        <v>74</v>
      </c>
      <c r="Q770" t="s">
        <v>74</v>
      </c>
      <c r="R770" t="s">
        <v>74</v>
      </c>
      <c r="S770" t="s">
        <v>74</v>
      </c>
      <c r="T770" t="s">
        <v>14343</v>
      </c>
      <c r="U770" t="s">
        <v>74</v>
      </c>
      <c r="V770" t="s">
        <v>14344</v>
      </c>
      <c r="W770" t="s">
        <v>14345</v>
      </c>
      <c r="X770" t="s">
        <v>14346</v>
      </c>
      <c r="Y770" t="s">
        <v>14347</v>
      </c>
      <c r="Z770" t="s">
        <v>14348</v>
      </c>
      <c r="AA770" t="s">
        <v>74</v>
      </c>
      <c r="AB770" t="s">
        <v>74</v>
      </c>
      <c r="AC770" t="s">
        <v>14349</v>
      </c>
      <c r="AD770" t="s">
        <v>14350</v>
      </c>
      <c r="AE770" t="s">
        <v>14351</v>
      </c>
      <c r="AF770" t="s">
        <v>74</v>
      </c>
      <c r="AG770">
        <v>23</v>
      </c>
      <c r="AH770">
        <v>0</v>
      </c>
      <c r="AI770">
        <v>0</v>
      </c>
      <c r="AJ770">
        <v>1</v>
      </c>
      <c r="AK770">
        <v>1</v>
      </c>
      <c r="AL770" t="s">
        <v>117</v>
      </c>
      <c r="AM770" t="s">
        <v>118</v>
      </c>
      <c r="AN770" t="s">
        <v>119</v>
      </c>
      <c r="AO770" t="s">
        <v>14352</v>
      </c>
      <c r="AP770" t="s">
        <v>14353</v>
      </c>
      <c r="AQ770" t="s">
        <v>74</v>
      </c>
      <c r="AR770" t="s">
        <v>14354</v>
      </c>
      <c r="AS770" t="s">
        <v>14355</v>
      </c>
      <c r="AT770" t="s">
        <v>1275</v>
      </c>
      <c r="AU770">
        <v>2023</v>
      </c>
      <c r="AV770">
        <v>24</v>
      </c>
      <c r="AW770">
        <v>5</v>
      </c>
      <c r="AX770" t="s">
        <v>74</v>
      </c>
      <c r="AY770" t="s">
        <v>74</v>
      </c>
      <c r="AZ770" t="s">
        <v>74</v>
      </c>
      <c r="BA770" t="s">
        <v>74</v>
      </c>
      <c r="BB770">
        <v>373</v>
      </c>
      <c r="BC770">
        <v>380</v>
      </c>
      <c r="BD770" t="s">
        <v>74</v>
      </c>
      <c r="BE770" t="s">
        <v>14356</v>
      </c>
      <c r="BF770" t="str">
        <f>HYPERLINK("http://dx.doi.org/10.1007/s42341-023-00468-2","http://dx.doi.org/10.1007/s42341-023-00468-2")</f>
        <v>http://dx.doi.org/10.1007/s42341-023-00468-2</v>
      </c>
      <c r="BG770" t="s">
        <v>74</v>
      </c>
      <c r="BH770" t="s">
        <v>10650</v>
      </c>
      <c r="BI770">
        <v>8</v>
      </c>
      <c r="BJ770" t="s">
        <v>5216</v>
      </c>
      <c r="BK770" t="s">
        <v>97</v>
      </c>
      <c r="BL770" t="s">
        <v>2293</v>
      </c>
      <c r="BM770" t="s">
        <v>14357</v>
      </c>
      <c r="BN770" t="s">
        <v>74</v>
      </c>
      <c r="BO770" t="s">
        <v>74</v>
      </c>
      <c r="BP770" t="s">
        <v>74</v>
      </c>
      <c r="BQ770" t="s">
        <v>74</v>
      </c>
      <c r="BR770" t="s">
        <v>99</v>
      </c>
      <c r="BS770" t="s">
        <v>14358</v>
      </c>
      <c r="BT770" t="str">
        <f>HYPERLINK("https%3A%2F%2Fwww.webofscience.com%2Fwos%2Fwoscc%2Ffull-record%2FWOS:001052516900001","View Full Record in Web of Science")</f>
        <v>View Full Record in Web of Science</v>
      </c>
    </row>
    <row r="771" spans="1:72" x14ac:dyDescent="0.15">
      <c r="A771" t="s">
        <v>72</v>
      </c>
      <c r="B771" t="s">
        <v>14359</v>
      </c>
      <c r="C771" t="s">
        <v>74</v>
      </c>
      <c r="D771" t="s">
        <v>74</v>
      </c>
      <c r="E771" t="s">
        <v>74</v>
      </c>
      <c r="F771" t="s">
        <v>14360</v>
      </c>
      <c r="G771" t="s">
        <v>74</v>
      </c>
      <c r="H771" t="s">
        <v>74</v>
      </c>
      <c r="I771" t="s">
        <v>14361</v>
      </c>
      <c r="J771" t="s">
        <v>14362</v>
      </c>
      <c r="K771" t="s">
        <v>74</v>
      </c>
      <c r="L771" t="s">
        <v>74</v>
      </c>
      <c r="M771" t="s">
        <v>78</v>
      </c>
      <c r="N771" t="s">
        <v>1246</v>
      </c>
      <c r="O771" t="s">
        <v>74</v>
      </c>
      <c r="P771" t="s">
        <v>74</v>
      </c>
      <c r="Q771" t="s">
        <v>74</v>
      </c>
      <c r="R771" t="s">
        <v>74</v>
      </c>
      <c r="S771" t="s">
        <v>74</v>
      </c>
      <c r="T771" t="s">
        <v>14363</v>
      </c>
      <c r="U771" t="s">
        <v>14364</v>
      </c>
      <c r="V771" t="s">
        <v>14365</v>
      </c>
      <c r="W771" t="s">
        <v>14366</v>
      </c>
      <c r="X771" t="s">
        <v>14367</v>
      </c>
      <c r="Y771" t="s">
        <v>14368</v>
      </c>
      <c r="Z771" t="s">
        <v>14369</v>
      </c>
      <c r="AA771" t="s">
        <v>74</v>
      </c>
      <c r="AB771" t="s">
        <v>74</v>
      </c>
      <c r="AC771" t="s">
        <v>14370</v>
      </c>
      <c r="AD771" t="s">
        <v>4976</v>
      </c>
      <c r="AE771" t="s">
        <v>14371</v>
      </c>
      <c r="AF771" t="s">
        <v>74</v>
      </c>
      <c r="AG771">
        <v>46</v>
      </c>
      <c r="AH771">
        <v>0</v>
      </c>
      <c r="AI771">
        <v>0</v>
      </c>
      <c r="AJ771">
        <v>6</v>
      </c>
      <c r="AK771">
        <v>6</v>
      </c>
      <c r="AL771" t="s">
        <v>117</v>
      </c>
      <c r="AM771" t="s">
        <v>118</v>
      </c>
      <c r="AN771" t="s">
        <v>119</v>
      </c>
      <c r="AO771" t="s">
        <v>14372</v>
      </c>
      <c r="AP771" t="s">
        <v>14373</v>
      </c>
      <c r="AQ771" t="s">
        <v>74</v>
      </c>
      <c r="AR771" t="s">
        <v>14374</v>
      </c>
      <c r="AS771" t="s">
        <v>14375</v>
      </c>
      <c r="AT771" t="s">
        <v>14106</v>
      </c>
      <c r="AU771">
        <v>2023</v>
      </c>
      <c r="AV771" t="s">
        <v>74</v>
      </c>
      <c r="AW771" t="s">
        <v>74</v>
      </c>
      <c r="AX771" t="s">
        <v>74</v>
      </c>
      <c r="AY771" t="s">
        <v>74</v>
      </c>
      <c r="AZ771" t="s">
        <v>74</v>
      </c>
      <c r="BA771" t="s">
        <v>74</v>
      </c>
      <c r="BB771" t="s">
        <v>74</v>
      </c>
      <c r="BC771" t="s">
        <v>74</v>
      </c>
      <c r="BD771" t="s">
        <v>74</v>
      </c>
      <c r="BE771" t="s">
        <v>14376</v>
      </c>
      <c r="BF771" t="str">
        <f>HYPERLINK("http://dx.doi.org/10.1007/s10118-023-3031-2","http://dx.doi.org/10.1007/s10118-023-3031-2")</f>
        <v>http://dx.doi.org/10.1007/s10118-023-3031-2</v>
      </c>
      <c r="BG771" t="s">
        <v>74</v>
      </c>
      <c r="BH771" t="s">
        <v>10650</v>
      </c>
      <c r="BI771">
        <v>7</v>
      </c>
      <c r="BJ771" t="s">
        <v>1568</v>
      </c>
      <c r="BK771" t="s">
        <v>126</v>
      </c>
      <c r="BL771" t="s">
        <v>1568</v>
      </c>
      <c r="BM771" t="s">
        <v>14377</v>
      </c>
      <c r="BN771" t="s">
        <v>74</v>
      </c>
      <c r="BO771" t="s">
        <v>74</v>
      </c>
      <c r="BP771" t="s">
        <v>74</v>
      </c>
      <c r="BQ771" t="s">
        <v>74</v>
      </c>
      <c r="BR771" t="s">
        <v>99</v>
      </c>
      <c r="BS771" t="s">
        <v>14378</v>
      </c>
      <c r="BT771" t="str">
        <f>HYPERLINK("https%3A%2F%2Fwww.webofscience.com%2Fwos%2Fwoscc%2Ffull-record%2FWOS:001059863500002","View Full Record in Web of Science")</f>
        <v>View Full Record in Web of Science</v>
      </c>
    </row>
    <row r="772" spans="1:72" x14ac:dyDescent="0.15">
      <c r="A772" t="s">
        <v>72</v>
      </c>
      <c r="B772" t="s">
        <v>14379</v>
      </c>
      <c r="C772" t="s">
        <v>74</v>
      </c>
      <c r="D772" t="s">
        <v>74</v>
      </c>
      <c r="E772" t="s">
        <v>74</v>
      </c>
      <c r="F772" t="s">
        <v>14380</v>
      </c>
      <c r="G772" t="s">
        <v>74</v>
      </c>
      <c r="H772" t="s">
        <v>74</v>
      </c>
      <c r="I772" t="s">
        <v>14381</v>
      </c>
      <c r="J772" t="s">
        <v>14382</v>
      </c>
      <c r="K772" t="s">
        <v>74</v>
      </c>
      <c r="L772" t="s">
        <v>74</v>
      </c>
      <c r="M772" t="s">
        <v>78</v>
      </c>
      <c r="N772" t="s">
        <v>1246</v>
      </c>
      <c r="O772" t="s">
        <v>74</v>
      </c>
      <c r="P772" t="s">
        <v>74</v>
      </c>
      <c r="Q772" t="s">
        <v>74</v>
      </c>
      <c r="R772" t="s">
        <v>74</v>
      </c>
      <c r="S772" t="s">
        <v>74</v>
      </c>
      <c r="T772" t="s">
        <v>14383</v>
      </c>
      <c r="U772" t="s">
        <v>14384</v>
      </c>
      <c r="V772" t="s">
        <v>14385</v>
      </c>
      <c r="W772" t="s">
        <v>14386</v>
      </c>
      <c r="X772" t="s">
        <v>14387</v>
      </c>
      <c r="Y772" t="s">
        <v>14388</v>
      </c>
      <c r="Z772" t="s">
        <v>14389</v>
      </c>
      <c r="AA772" t="s">
        <v>74</v>
      </c>
      <c r="AB772" t="s">
        <v>74</v>
      </c>
      <c r="AC772" t="s">
        <v>14390</v>
      </c>
      <c r="AD772" t="s">
        <v>14391</v>
      </c>
      <c r="AE772" t="s">
        <v>14392</v>
      </c>
      <c r="AF772" t="s">
        <v>74</v>
      </c>
      <c r="AG772">
        <v>31</v>
      </c>
      <c r="AH772">
        <v>0</v>
      </c>
      <c r="AI772">
        <v>0</v>
      </c>
      <c r="AJ772">
        <v>5</v>
      </c>
      <c r="AK772">
        <v>5</v>
      </c>
      <c r="AL772" t="s">
        <v>117</v>
      </c>
      <c r="AM772" t="s">
        <v>118</v>
      </c>
      <c r="AN772" t="s">
        <v>119</v>
      </c>
      <c r="AO772" t="s">
        <v>14393</v>
      </c>
      <c r="AP772" t="s">
        <v>14394</v>
      </c>
      <c r="AQ772" t="s">
        <v>74</v>
      </c>
      <c r="AR772" t="s">
        <v>14382</v>
      </c>
      <c r="AS772" t="s">
        <v>6607</v>
      </c>
      <c r="AT772" t="s">
        <v>14106</v>
      </c>
      <c r="AU772">
        <v>2023</v>
      </c>
      <c r="AV772" t="s">
        <v>74</v>
      </c>
      <c r="AW772" t="s">
        <v>74</v>
      </c>
      <c r="AX772" t="s">
        <v>74</v>
      </c>
      <c r="AY772" t="s">
        <v>74</v>
      </c>
      <c r="AZ772" t="s">
        <v>74</v>
      </c>
      <c r="BA772" t="s">
        <v>74</v>
      </c>
      <c r="BB772" t="s">
        <v>74</v>
      </c>
      <c r="BC772" t="s">
        <v>74</v>
      </c>
      <c r="BD772" t="s">
        <v>74</v>
      </c>
      <c r="BE772" t="s">
        <v>14395</v>
      </c>
      <c r="BF772" t="str">
        <f>HYPERLINK("http://dx.doi.org/10.1007/s11116-023-10404-1","http://dx.doi.org/10.1007/s11116-023-10404-1")</f>
        <v>http://dx.doi.org/10.1007/s11116-023-10404-1</v>
      </c>
      <c r="BG772" t="s">
        <v>74</v>
      </c>
      <c r="BH772" t="s">
        <v>10650</v>
      </c>
      <c r="BI772">
        <v>23</v>
      </c>
      <c r="BJ772" t="s">
        <v>14396</v>
      </c>
      <c r="BK772" t="s">
        <v>2431</v>
      </c>
      <c r="BL772" t="s">
        <v>14397</v>
      </c>
      <c r="BM772" t="s">
        <v>14398</v>
      </c>
      <c r="BN772" t="s">
        <v>74</v>
      </c>
      <c r="BO772" t="s">
        <v>327</v>
      </c>
      <c r="BP772" t="s">
        <v>74</v>
      </c>
      <c r="BQ772" t="s">
        <v>74</v>
      </c>
      <c r="BR772" t="s">
        <v>99</v>
      </c>
      <c r="BS772" t="s">
        <v>14399</v>
      </c>
      <c r="BT772" t="str">
        <f>HYPERLINK("https%3A%2F%2Fwww.webofscience.com%2Fwos%2Fwoscc%2Ffull-record%2FWOS:001052465300001","View Full Record in Web of Science")</f>
        <v>View Full Record in Web of Science</v>
      </c>
    </row>
    <row r="773" spans="1:72" x14ac:dyDescent="0.15">
      <c r="A773" t="s">
        <v>72</v>
      </c>
      <c r="B773" t="s">
        <v>14400</v>
      </c>
      <c r="C773" t="s">
        <v>74</v>
      </c>
      <c r="D773" t="s">
        <v>74</v>
      </c>
      <c r="E773" t="s">
        <v>74</v>
      </c>
      <c r="F773" t="s">
        <v>14401</v>
      </c>
      <c r="G773" t="s">
        <v>74</v>
      </c>
      <c r="H773" t="s">
        <v>74</v>
      </c>
      <c r="I773" t="s">
        <v>14402</v>
      </c>
      <c r="J773" t="s">
        <v>5802</v>
      </c>
      <c r="K773" t="s">
        <v>74</v>
      </c>
      <c r="L773" t="s">
        <v>74</v>
      </c>
      <c r="M773" t="s">
        <v>78</v>
      </c>
      <c r="N773" t="s">
        <v>79</v>
      </c>
      <c r="O773" t="s">
        <v>74</v>
      </c>
      <c r="P773" t="s">
        <v>74</v>
      </c>
      <c r="Q773" t="s">
        <v>74</v>
      </c>
      <c r="R773" t="s">
        <v>74</v>
      </c>
      <c r="S773" t="s">
        <v>74</v>
      </c>
      <c r="T773" t="s">
        <v>14403</v>
      </c>
      <c r="U773" t="s">
        <v>14404</v>
      </c>
      <c r="V773" t="s">
        <v>14405</v>
      </c>
      <c r="W773" t="s">
        <v>14406</v>
      </c>
      <c r="X773" t="s">
        <v>14407</v>
      </c>
      <c r="Y773" t="s">
        <v>14408</v>
      </c>
      <c r="Z773" t="s">
        <v>14409</v>
      </c>
      <c r="AA773" t="s">
        <v>74</v>
      </c>
      <c r="AB773" t="s">
        <v>74</v>
      </c>
      <c r="AC773" t="s">
        <v>74</v>
      </c>
      <c r="AD773" t="s">
        <v>74</v>
      </c>
      <c r="AE773" t="s">
        <v>74</v>
      </c>
      <c r="AF773" t="s">
        <v>74</v>
      </c>
      <c r="AG773">
        <v>75</v>
      </c>
      <c r="AH773">
        <v>0</v>
      </c>
      <c r="AI773">
        <v>0</v>
      </c>
      <c r="AJ773">
        <v>3</v>
      </c>
      <c r="AK773">
        <v>3</v>
      </c>
      <c r="AL773" t="s">
        <v>443</v>
      </c>
      <c r="AM773" t="s">
        <v>245</v>
      </c>
      <c r="AN773" t="s">
        <v>444</v>
      </c>
      <c r="AO773" t="s">
        <v>74</v>
      </c>
      <c r="AP773" t="s">
        <v>5810</v>
      </c>
      <c r="AQ773" t="s">
        <v>74</v>
      </c>
      <c r="AR773" t="s">
        <v>5811</v>
      </c>
      <c r="AS773" t="s">
        <v>5812</v>
      </c>
      <c r="AT773" t="s">
        <v>14179</v>
      </c>
      <c r="AU773">
        <v>2023</v>
      </c>
      <c r="AV773">
        <v>42</v>
      </c>
      <c r="AW773">
        <v>1</v>
      </c>
      <c r="AX773" t="s">
        <v>74</v>
      </c>
      <c r="AY773" t="s">
        <v>74</v>
      </c>
      <c r="AZ773" t="s">
        <v>74</v>
      </c>
      <c r="BA773" t="s">
        <v>74</v>
      </c>
      <c r="BB773" t="s">
        <v>74</v>
      </c>
      <c r="BC773" t="s">
        <v>74</v>
      </c>
      <c r="BD773">
        <v>217</v>
      </c>
      <c r="BE773" t="s">
        <v>14410</v>
      </c>
      <c r="BF773" t="str">
        <f>HYPERLINK("http://dx.doi.org/10.1186/s13046-023-02792-0","http://dx.doi.org/10.1186/s13046-023-02792-0")</f>
        <v>http://dx.doi.org/10.1186/s13046-023-02792-0</v>
      </c>
      <c r="BG773" t="s">
        <v>74</v>
      </c>
      <c r="BH773" t="s">
        <v>74</v>
      </c>
      <c r="BI773">
        <v>19</v>
      </c>
      <c r="BJ773" t="s">
        <v>1951</v>
      </c>
      <c r="BK773" t="s">
        <v>126</v>
      </c>
      <c r="BL773" t="s">
        <v>1951</v>
      </c>
      <c r="BM773" t="s">
        <v>14411</v>
      </c>
      <c r="BN773">
        <v>37605223</v>
      </c>
      <c r="BO773" t="s">
        <v>302</v>
      </c>
      <c r="BP773" t="s">
        <v>74</v>
      </c>
      <c r="BQ773" t="s">
        <v>74</v>
      </c>
      <c r="BR773" t="s">
        <v>99</v>
      </c>
      <c r="BS773" t="s">
        <v>14412</v>
      </c>
      <c r="BT773" t="str">
        <f>HYPERLINK("https%3A%2F%2Fwww.webofscience.com%2Fwos%2Fwoscc%2Ffull-record%2FWOS:001052952300002","View Full Record in Web of Science")</f>
        <v>View Full Record in Web of Science</v>
      </c>
    </row>
    <row r="774" spans="1:72" x14ac:dyDescent="0.15">
      <c r="A774" t="s">
        <v>72</v>
      </c>
      <c r="B774" t="s">
        <v>14413</v>
      </c>
      <c r="C774" t="s">
        <v>74</v>
      </c>
      <c r="D774" t="s">
        <v>74</v>
      </c>
      <c r="E774" t="s">
        <v>74</v>
      </c>
      <c r="F774" t="s">
        <v>14414</v>
      </c>
      <c r="G774" t="s">
        <v>74</v>
      </c>
      <c r="H774" t="s">
        <v>74</v>
      </c>
      <c r="I774" t="s">
        <v>14415</v>
      </c>
      <c r="J774" t="s">
        <v>14416</v>
      </c>
      <c r="K774" t="s">
        <v>74</v>
      </c>
      <c r="L774" t="s">
        <v>74</v>
      </c>
      <c r="M774" t="s">
        <v>78</v>
      </c>
      <c r="N774" t="s">
        <v>1246</v>
      </c>
      <c r="O774" t="s">
        <v>74</v>
      </c>
      <c r="P774" t="s">
        <v>74</v>
      </c>
      <c r="Q774" t="s">
        <v>74</v>
      </c>
      <c r="R774" t="s">
        <v>74</v>
      </c>
      <c r="S774" t="s">
        <v>74</v>
      </c>
      <c r="T774" t="s">
        <v>14417</v>
      </c>
      <c r="U774" t="s">
        <v>74</v>
      </c>
      <c r="V774" t="s">
        <v>14418</v>
      </c>
      <c r="W774" t="s">
        <v>14419</v>
      </c>
      <c r="X774" t="s">
        <v>14420</v>
      </c>
      <c r="Y774" t="s">
        <v>14421</v>
      </c>
      <c r="Z774" t="s">
        <v>14422</v>
      </c>
      <c r="AA774" t="s">
        <v>74</v>
      </c>
      <c r="AB774" t="s">
        <v>74</v>
      </c>
      <c r="AC774" t="s">
        <v>14423</v>
      </c>
      <c r="AD774" t="s">
        <v>14424</v>
      </c>
      <c r="AE774" t="s">
        <v>14425</v>
      </c>
      <c r="AF774" t="s">
        <v>74</v>
      </c>
      <c r="AG774">
        <v>32</v>
      </c>
      <c r="AH774">
        <v>0</v>
      </c>
      <c r="AI774">
        <v>0</v>
      </c>
      <c r="AJ774">
        <v>12</v>
      </c>
      <c r="AK774">
        <v>12</v>
      </c>
      <c r="AL774" t="s">
        <v>117</v>
      </c>
      <c r="AM774" t="s">
        <v>118</v>
      </c>
      <c r="AN774" t="s">
        <v>119</v>
      </c>
      <c r="AO774" t="s">
        <v>14426</v>
      </c>
      <c r="AP774" t="s">
        <v>14427</v>
      </c>
      <c r="AQ774" t="s">
        <v>74</v>
      </c>
      <c r="AR774" t="s">
        <v>14428</v>
      </c>
      <c r="AS774" t="s">
        <v>14429</v>
      </c>
      <c r="AT774" t="s">
        <v>14106</v>
      </c>
      <c r="AU774">
        <v>2023</v>
      </c>
      <c r="AV774" t="s">
        <v>74</v>
      </c>
      <c r="AW774" t="s">
        <v>74</v>
      </c>
      <c r="AX774" t="s">
        <v>74</v>
      </c>
      <c r="AY774" t="s">
        <v>74</v>
      </c>
      <c r="AZ774" t="s">
        <v>74</v>
      </c>
      <c r="BA774" t="s">
        <v>74</v>
      </c>
      <c r="BB774" t="s">
        <v>74</v>
      </c>
      <c r="BC774" t="s">
        <v>74</v>
      </c>
      <c r="BD774" t="s">
        <v>74</v>
      </c>
      <c r="BE774" t="s">
        <v>14430</v>
      </c>
      <c r="BF774" t="str">
        <f>HYPERLINK("http://dx.doi.org/10.1007/s42243-023-01059-4","http://dx.doi.org/10.1007/s42243-023-01059-4")</f>
        <v>http://dx.doi.org/10.1007/s42243-023-01059-4</v>
      </c>
      <c r="BG774" t="s">
        <v>74</v>
      </c>
      <c r="BH774" t="s">
        <v>10650</v>
      </c>
      <c r="BI774">
        <v>10</v>
      </c>
      <c r="BJ774" t="s">
        <v>6134</v>
      </c>
      <c r="BK774" t="s">
        <v>126</v>
      </c>
      <c r="BL774" t="s">
        <v>6134</v>
      </c>
      <c r="BM774" t="s">
        <v>14431</v>
      </c>
      <c r="BN774" t="s">
        <v>74</v>
      </c>
      <c r="BO774" t="s">
        <v>74</v>
      </c>
      <c r="BP774" t="s">
        <v>74</v>
      </c>
      <c r="BQ774" t="s">
        <v>74</v>
      </c>
      <c r="BR774" t="s">
        <v>99</v>
      </c>
      <c r="BS774" t="s">
        <v>14432</v>
      </c>
      <c r="BT774" t="str">
        <f>HYPERLINK("https%3A%2F%2Fwww.webofscience.com%2Fwos%2Fwoscc%2Ffull-record%2FWOS:001051800400001","View Full Record in Web of Science")</f>
        <v>View Full Record in Web of Science</v>
      </c>
    </row>
    <row r="775" spans="1:72" x14ac:dyDescent="0.15">
      <c r="A775" t="s">
        <v>72</v>
      </c>
      <c r="B775" t="s">
        <v>14433</v>
      </c>
      <c r="C775" t="s">
        <v>74</v>
      </c>
      <c r="D775" t="s">
        <v>74</v>
      </c>
      <c r="E775" t="s">
        <v>74</v>
      </c>
      <c r="F775" t="s">
        <v>14434</v>
      </c>
      <c r="G775" t="s">
        <v>74</v>
      </c>
      <c r="H775" t="s">
        <v>74</v>
      </c>
      <c r="I775" t="s">
        <v>14435</v>
      </c>
      <c r="J775" t="s">
        <v>14436</v>
      </c>
      <c r="K775" t="s">
        <v>74</v>
      </c>
      <c r="L775" t="s">
        <v>74</v>
      </c>
      <c r="M775" t="s">
        <v>78</v>
      </c>
      <c r="N775" t="s">
        <v>105</v>
      </c>
      <c r="O775" t="s">
        <v>74</v>
      </c>
      <c r="P775" t="s">
        <v>74</v>
      </c>
      <c r="Q775" t="s">
        <v>74</v>
      </c>
      <c r="R775" t="s">
        <v>74</v>
      </c>
      <c r="S775" t="s">
        <v>74</v>
      </c>
      <c r="T775" t="s">
        <v>14437</v>
      </c>
      <c r="U775" t="s">
        <v>14438</v>
      </c>
      <c r="V775" t="s">
        <v>14439</v>
      </c>
      <c r="W775" t="s">
        <v>14440</v>
      </c>
      <c r="X775" t="s">
        <v>14441</v>
      </c>
      <c r="Y775" t="s">
        <v>14442</v>
      </c>
      <c r="Z775" t="s">
        <v>14443</v>
      </c>
      <c r="AA775" t="s">
        <v>74</v>
      </c>
      <c r="AB775" t="s">
        <v>74</v>
      </c>
      <c r="AC775" t="s">
        <v>14444</v>
      </c>
      <c r="AD775" t="s">
        <v>14445</v>
      </c>
      <c r="AE775" t="s">
        <v>14446</v>
      </c>
      <c r="AF775" t="s">
        <v>74</v>
      </c>
      <c r="AG775">
        <v>183</v>
      </c>
      <c r="AH775">
        <v>0</v>
      </c>
      <c r="AI775">
        <v>0</v>
      </c>
      <c r="AJ775">
        <v>3</v>
      </c>
      <c r="AK775">
        <v>3</v>
      </c>
      <c r="AL775" t="s">
        <v>117</v>
      </c>
      <c r="AM775" t="s">
        <v>118</v>
      </c>
      <c r="AN775" t="s">
        <v>119</v>
      </c>
      <c r="AO775" t="s">
        <v>74</v>
      </c>
      <c r="AP775" t="s">
        <v>14447</v>
      </c>
      <c r="AQ775" t="s">
        <v>74</v>
      </c>
      <c r="AR775" t="s">
        <v>14448</v>
      </c>
      <c r="AS775" t="s">
        <v>14449</v>
      </c>
      <c r="AT775" t="s">
        <v>14179</v>
      </c>
      <c r="AU775">
        <v>2023</v>
      </c>
      <c r="AV775">
        <v>18</v>
      </c>
      <c r="AW775">
        <v>1</v>
      </c>
      <c r="AX775" t="s">
        <v>74</v>
      </c>
      <c r="AY775" t="s">
        <v>74</v>
      </c>
      <c r="AZ775" t="s">
        <v>74</v>
      </c>
      <c r="BA775" t="s">
        <v>74</v>
      </c>
      <c r="BB775" t="s">
        <v>74</v>
      </c>
      <c r="BC775" t="s">
        <v>74</v>
      </c>
      <c r="BD775">
        <v>104</v>
      </c>
      <c r="BE775" t="s">
        <v>14450</v>
      </c>
      <c r="BF775" t="str">
        <f>HYPERLINK("http://dx.doi.org/10.1186/s11671-023-03880-y","http://dx.doi.org/10.1186/s11671-023-03880-y")</f>
        <v>http://dx.doi.org/10.1186/s11671-023-03880-y</v>
      </c>
      <c r="BG775" t="s">
        <v>74</v>
      </c>
      <c r="BH775" t="s">
        <v>74</v>
      </c>
      <c r="BI775">
        <v>24</v>
      </c>
      <c r="BJ775" t="s">
        <v>14451</v>
      </c>
      <c r="BK775" t="s">
        <v>126</v>
      </c>
      <c r="BL775" t="s">
        <v>14452</v>
      </c>
      <c r="BM775" t="s">
        <v>14453</v>
      </c>
      <c r="BN775">
        <v>37606765</v>
      </c>
      <c r="BO775" t="s">
        <v>302</v>
      </c>
      <c r="BP775" t="s">
        <v>74</v>
      </c>
      <c r="BQ775" t="s">
        <v>74</v>
      </c>
      <c r="BR775" t="s">
        <v>99</v>
      </c>
      <c r="BS775" t="s">
        <v>14454</v>
      </c>
      <c r="BT775" t="str">
        <f>HYPERLINK("https%3A%2F%2Fwww.webofscience.com%2Fwos%2Fwoscc%2Ffull-record%2FWOS:001052818900002","View Full Record in Web of Science")</f>
        <v>View Full Record in Web of Science</v>
      </c>
    </row>
    <row r="776" spans="1:72" x14ac:dyDescent="0.15">
      <c r="A776" t="s">
        <v>72</v>
      </c>
      <c r="B776" t="s">
        <v>14455</v>
      </c>
      <c r="C776" t="s">
        <v>74</v>
      </c>
      <c r="D776" t="s">
        <v>74</v>
      </c>
      <c r="E776" t="s">
        <v>74</v>
      </c>
      <c r="F776" t="s">
        <v>14456</v>
      </c>
      <c r="G776" t="s">
        <v>74</v>
      </c>
      <c r="H776" t="s">
        <v>74</v>
      </c>
      <c r="I776" t="s">
        <v>14457</v>
      </c>
      <c r="J776" t="s">
        <v>14458</v>
      </c>
      <c r="K776" t="s">
        <v>74</v>
      </c>
      <c r="L776" t="s">
        <v>74</v>
      </c>
      <c r="M776" t="s">
        <v>78</v>
      </c>
      <c r="N776" t="s">
        <v>79</v>
      </c>
      <c r="O776" t="s">
        <v>74</v>
      </c>
      <c r="P776" t="s">
        <v>74</v>
      </c>
      <c r="Q776" t="s">
        <v>74</v>
      </c>
      <c r="R776" t="s">
        <v>74</v>
      </c>
      <c r="S776" t="s">
        <v>74</v>
      </c>
      <c r="T776" t="s">
        <v>14459</v>
      </c>
      <c r="U776" t="s">
        <v>14460</v>
      </c>
      <c r="V776" t="s">
        <v>14461</v>
      </c>
      <c r="W776" t="s">
        <v>14462</v>
      </c>
      <c r="X776" t="s">
        <v>14463</v>
      </c>
      <c r="Y776" t="s">
        <v>14464</v>
      </c>
      <c r="Z776" t="s">
        <v>14465</v>
      </c>
      <c r="AA776" t="s">
        <v>74</v>
      </c>
      <c r="AB776" t="s">
        <v>74</v>
      </c>
      <c r="AC776" t="s">
        <v>74</v>
      </c>
      <c r="AD776" t="s">
        <v>74</v>
      </c>
      <c r="AE776" t="s">
        <v>74</v>
      </c>
      <c r="AF776" t="s">
        <v>74</v>
      </c>
      <c r="AG776">
        <v>39</v>
      </c>
      <c r="AH776">
        <v>0</v>
      </c>
      <c r="AI776">
        <v>0</v>
      </c>
      <c r="AJ776">
        <v>4</v>
      </c>
      <c r="AK776">
        <v>4</v>
      </c>
      <c r="AL776" t="s">
        <v>117</v>
      </c>
      <c r="AM776" t="s">
        <v>118</v>
      </c>
      <c r="AN776" t="s">
        <v>119</v>
      </c>
      <c r="AO776" t="s">
        <v>14466</v>
      </c>
      <c r="AP776" t="s">
        <v>74</v>
      </c>
      <c r="AQ776" t="s">
        <v>74</v>
      </c>
      <c r="AR776" t="s">
        <v>14467</v>
      </c>
      <c r="AS776" t="s">
        <v>14468</v>
      </c>
      <c r="AT776" t="s">
        <v>14179</v>
      </c>
      <c r="AU776">
        <v>2023</v>
      </c>
      <c r="AV776">
        <v>11</v>
      </c>
      <c r="AW776">
        <v>1</v>
      </c>
      <c r="AX776" t="s">
        <v>74</v>
      </c>
      <c r="AY776" t="s">
        <v>74</v>
      </c>
      <c r="AZ776" t="s">
        <v>74</v>
      </c>
      <c r="BA776" t="s">
        <v>74</v>
      </c>
      <c r="BB776" t="s">
        <v>74</v>
      </c>
      <c r="BC776" t="s">
        <v>74</v>
      </c>
      <c r="BD776">
        <v>178</v>
      </c>
      <c r="BE776" t="s">
        <v>14469</v>
      </c>
      <c r="BF776" t="str">
        <f>HYPERLINK("http://dx.doi.org/10.1186/s40494-023-01027-x","http://dx.doi.org/10.1186/s40494-023-01027-x")</f>
        <v>http://dx.doi.org/10.1186/s40494-023-01027-x</v>
      </c>
      <c r="BG776" t="s">
        <v>74</v>
      </c>
      <c r="BH776" t="s">
        <v>74</v>
      </c>
      <c r="BI776">
        <v>14</v>
      </c>
      <c r="BJ776" t="s">
        <v>14470</v>
      </c>
      <c r="BK776" t="s">
        <v>3172</v>
      </c>
      <c r="BL776" t="s">
        <v>14471</v>
      </c>
      <c r="BM776" t="s">
        <v>14472</v>
      </c>
      <c r="BN776" t="s">
        <v>74</v>
      </c>
      <c r="BO776" t="s">
        <v>302</v>
      </c>
      <c r="BP776" t="s">
        <v>74</v>
      </c>
      <c r="BQ776" t="s">
        <v>74</v>
      </c>
      <c r="BR776" t="s">
        <v>99</v>
      </c>
      <c r="BS776" t="s">
        <v>14473</v>
      </c>
      <c r="BT776" t="str">
        <f>HYPERLINK("https%3A%2F%2Fwww.webofscience.com%2Fwos%2Fwoscc%2Ffull-record%2FWOS:001051903500001","View Full Record in Web of Science")</f>
        <v>View Full Record in Web of Science</v>
      </c>
    </row>
    <row r="777" spans="1:72" x14ac:dyDescent="0.15">
      <c r="A777" t="s">
        <v>72</v>
      </c>
      <c r="B777" t="s">
        <v>14474</v>
      </c>
      <c r="C777" t="s">
        <v>74</v>
      </c>
      <c r="D777" t="s">
        <v>74</v>
      </c>
      <c r="E777" t="s">
        <v>74</v>
      </c>
      <c r="F777" t="s">
        <v>14475</v>
      </c>
      <c r="G777" t="s">
        <v>74</v>
      </c>
      <c r="H777" t="s">
        <v>74</v>
      </c>
      <c r="I777" t="s">
        <v>14476</v>
      </c>
      <c r="J777" t="s">
        <v>14477</v>
      </c>
      <c r="K777" t="s">
        <v>74</v>
      </c>
      <c r="L777" t="s">
        <v>74</v>
      </c>
      <c r="M777" t="s">
        <v>78</v>
      </c>
      <c r="N777" t="s">
        <v>1246</v>
      </c>
      <c r="O777" t="s">
        <v>74</v>
      </c>
      <c r="P777" t="s">
        <v>74</v>
      </c>
      <c r="Q777" t="s">
        <v>74</v>
      </c>
      <c r="R777" t="s">
        <v>74</v>
      </c>
      <c r="S777" t="s">
        <v>74</v>
      </c>
      <c r="T777" t="s">
        <v>14478</v>
      </c>
      <c r="U777" t="s">
        <v>14479</v>
      </c>
      <c r="V777" t="s">
        <v>14480</v>
      </c>
      <c r="W777" t="s">
        <v>14481</v>
      </c>
      <c r="X777" t="s">
        <v>14482</v>
      </c>
      <c r="Y777" t="s">
        <v>14483</v>
      </c>
      <c r="Z777" t="s">
        <v>14484</v>
      </c>
      <c r="AA777" t="s">
        <v>74</v>
      </c>
      <c r="AB777" t="s">
        <v>14485</v>
      </c>
      <c r="AC777" t="s">
        <v>14486</v>
      </c>
      <c r="AD777" t="s">
        <v>14486</v>
      </c>
      <c r="AE777" t="s">
        <v>14487</v>
      </c>
      <c r="AF777" t="s">
        <v>74</v>
      </c>
      <c r="AG777">
        <v>52</v>
      </c>
      <c r="AH777">
        <v>0</v>
      </c>
      <c r="AI777">
        <v>0</v>
      </c>
      <c r="AJ777">
        <v>1</v>
      </c>
      <c r="AK777">
        <v>1</v>
      </c>
      <c r="AL777" t="s">
        <v>117</v>
      </c>
      <c r="AM777" t="s">
        <v>118</v>
      </c>
      <c r="AN777" t="s">
        <v>119</v>
      </c>
      <c r="AO777" t="s">
        <v>14488</v>
      </c>
      <c r="AP777" t="s">
        <v>14489</v>
      </c>
      <c r="AQ777" t="s">
        <v>74</v>
      </c>
      <c r="AR777" t="s">
        <v>14490</v>
      </c>
      <c r="AS777" t="s">
        <v>14491</v>
      </c>
      <c r="AT777" t="s">
        <v>14106</v>
      </c>
      <c r="AU777">
        <v>2023</v>
      </c>
      <c r="AV777" t="s">
        <v>74</v>
      </c>
      <c r="AW777" t="s">
        <v>74</v>
      </c>
      <c r="AX777" t="s">
        <v>74</v>
      </c>
      <c r="AY777" t="s">
        <v>74</v>
      </c>
      <c r="AZ777" t="s">
        <v>74</v>
      </c>
      <c r="BA777" t="s">
        <v>74</v>
      </c>
      <c r="BB777" t="s">
        <v>74</v>
      </c>
      <c r="BC777" t="s">
        <v>74</v>
      </c>
      <c r="BD777" t="s">
        <v>74</v>
      </c>
      <c r="BE777" t="s">
        <v>14492</v>
      </c>
      <c r="BF777" t="str">
        <f>HYPERLINK("http://dx.doi.org/10.1007/s12325-023-02624-9","http://dx.doi.org/10.1007/s12325-023-02624-9")</f>
        <v>http://dx.doi.org/10.1007/s12325-023-02624-9</v>
      </c>
      <c r="BG777" t="s">
        <v>74</v>
      </c>
      <c r="BH777" t="s">
        <v>10650</v>
      </c>
      <c r="BI777">
        <v>17</v>
      </c>
      <c r="BJ777" t="s">
        <v>14493</v>
      </c>
      <c r="BK777" t="s">
        <v>126</v>
      </c>
      <c r="BL777" t="s">
        <v>14494</v>
      </c>
      <c r="BM777" t="s">
        <v>14495</v>
      </c>
      <c r="BN777">
        <v>37608243</v>
      </c>
      <c r="BO777" t="s">
        <v>74</v>
      </c>
      <c r="BP777" t="s">
        <v>74</v>
      </c>
      <c r="BQ777" t="s">
        <v>74</v>
      </c>
      <c r="BR777" t="s">
        <v>99</v>
      </c>
      <c r="BS777" t="s">
        <v>14496</v>
      </c>
      <c r="BT777" t="str">
        <f>HYPERLINK("https%3A%2F%2Fwww.webofscience.com%2Fwos%2Fwoscc%2Ffull-record%2FWOS:001052455300002","View Full Record in Web of Science")</f>
        <v>View Full Record in Web of Science</v>
      </c>
    </row>
    <row r="778" spans="1:72" x14ac:dyDescent="0.15">
      <c r="A778" t="s">
        <v>72</v>
      </c>
      <c r="B778" t="s">
        <v>14497</v>
      </c>
      <c r="C778" t="s">
        <v>74</v>
      </c>
      <c r="D778" t="s">
        <v>74</v>
      </c>
      <c r="E778" t="s">
        <v>74</v>
      </c>
      <c r="F778" t="s">
        <v>14498</v>
      </c>
      <c r="G778" t="s">
        <v>74</v>
      </c>
      <c r="H778" t="s">
        <v>74</v>
      </c>
      <c r="I778" t="s">
        <v>14499</v>
      </c>
      <c r="J778" t="s">
        <v>11843</v>
      </c>
      <c r="K778" t="s">
        <v>74</v>
      </c>
      <c r="L778" t="s">
        <v>74</v>
      </c>
      <c r="M778" t="s">
        <v>78</v>
      </c>
      <c r="N778" t="s">
        <v>79</v>
      </c>
      <c r="O778" t="s">
        <v>74</v>
      </c>
      <c r="P778" t="s">
        <v>74</v>
      </c>
      <c r="Q778" t="s">
        <v>74</v>
      </c>
      <c r="R778" t="s">
        <v>74</v>
      </c>
      <c r="S778" t="s">
        <v>74</v>
      </c>
      <c r="T778" t="s">
        <v>14500</v>
      </c>
      <c r="U778" t="s">
        <v>1594</v>
      </c>
      <c r="V778" t="s">
        <v>14501</v>
      </c>
      <c r="W778" t="s">
        <v>14502</v>
      </c>
      <c r="X778" t="s">
        <v>14503</v>
      </c>
      <c r="Y778" t="s">
        <v>14504</v>
      </c>
      <c r="Z778" t="s">
        <v>14505</v>
      </c>
      <c r="AA778" t="s">
        <v>74</v>
      </c>
      <c r="AB778" t="s">
        <v>74</v>
      </c>
      <c r="AC778" t="s">
        <v>74</v>
      </c>
      <c r="AD778" t="s">
        <v>74</v>
      </c>
      <c r="AE778" t="s">
        <v>74</v>
      </c>
      <c r="AF778" t="s">
        <v>74</v>
      </c>
      <c r="AG778">
        <v>57</v>
      </c>
      <c r="AH778">
        <v>0</v>
      </c>
      <c r="AI778">
        <v>0</v>
      </c>
      <c r="AJ778">
        <v>1</v>
      </c>
      <c r="AK778">
        <v>1</v>
      </c>
      <c r="AL778" t="s">
        <v>443</v>
      </c>
      <c r="AM778" t="s">
        <v>245</v>
      </c>
      <c r="AN778" t="s">
        <v>444</v>
      </c>
      <c r="AO778" t="s">
        <v>11853</v>
      </c>
      <c r="AP778" t="s">
        <v>74</v>
      </c>
      <c r="AQ778" t="s">
        <v>74</v>
      </c>
      <c r="AR778" t="s">
        <v>11854</v>
      </c>
      <c r="AS778" t="s">
        <v>11855</v>
      </c>
      <c r="AT778" t="s">
        <v>14179</v>
      </c>
      <c r="AU778">
        <v>2023</v>
      </c>
      <c r="AV778">
        <v>22</v>
      </c>
      <c r="AW778">
        <v>1</v>
      </c>
      <c r="AX778" t="s">
        <v>74</v>
      </c>
      <c r="AY778" t="s">
        <v>74</v>
      </c>
      <c r="AZ778" t="s">
        <v>74</v>
      </c>
      <c r="BA778" t="s">
        <v>74</v>
      </c>
      <c r="BB778" t="s">
        <v>74</v>
      </c>
      <c r="BC778" t="s">
        <v>74</v>
      </c>
      <c r="BD778">
        <v>278</v>
      </c>
      <c r="BE778" t="s">
        <v>14506</v>
      </c>
      <c r="BF778" t="str">
        <f>HYPERLINK("http://dx.doi.org/10.1186/s12912-023-01430-6","http://dx.doi.org/10.1186/s12912-023-01430-6")</f>
        <v>http://dx.doi.org/10.1186/s12912-023-01430-6</v>
      </c>
      <c r="BG778" t="s">
        <v>74</v>
      </c>
      <c r="BH778" t="s">
        <v>74</v>
      </c>
      <c r="BI778">
        <v>9</v>
      </c>
      <c r="BJ778" t="s">
        <v>11857</v>
      </c>
      <c r="BK778" t="s">
        <v>2431</v>
      </c>
      <c r="BL778" t="s">
        <v>11857</v>
      </c>
      <c r="BM778" t="s">
        <v>14507</v>
      </c>
      <c r="BN778">
        <v>37608368</v>
      </c>
      <c r="BO778" t="s">
        <v>302</v>
      </c>
      <c r="BP778" t="s">
        <v>74</v>
      </c>
      <c r="BQ778" t="s">
        <v>74</v>
      </c>
      <c r="BR778" t="s">
        <v>99</v>
      </c>
      <c r="BS778" t="s">
        <v>14508</v>
      </c>
      <c r="BT778" t="str">
        <f>HYPERLINK("https%3A%2F%2Fwww.webofscience.com%2Fwos%2Fwoscc%2Ffull-record%2FWOS:001051871700001","View Full Record in Web of Science")</f>
        <v>View Full Record in Web of Science</v>
      </c>
    </row>
    <row r="779" spans="1:72" x14ac:dyDescent="0.15">
      <c r="A779" t="s">
        <v>72</v>
      </c>
      <c r="B779" t="s">
        <v>14509</v>
      </c>
      <c r="C779" t="s">
        <v>74</v>
      </c>
      <c r="D779" t="s">
        <v>74</v>
      </c>
      <c r="E779" t="s">
        <v>74</v>
      </c>
      <c r="F779" t="s">
        <v>14510</v>
      </c>
      <c r="G779" t="s">
        <v>74</v>
      </c>
      <c r="H779" t="s">
        <v>74</v>
      </c>
      <c r="I779" t="s">
        <v>14511</v>
      </c>
      <c r="J779" t="s">
        <v>14512</v>
      </c>
      <c r="K779" t="s">
        <v>74</v>
      </c>
      <c r="L779" t="s">
        <v>74</v>
      </c>
      <c r="M779" t="s">
        <v>78</v>
      </c>
      <c r="N779" t="s">
        <v>1246</v>
      </c>
      <c r="O779" t="s">
        <v>74</v>
      </c>
      <c r="P779" t="s">
        <v>74</v>
      </c>
      <c r="Q779" t="s">
        <v>74</v>
      </c>
      <c r="R779" t="s">
        <v>74</v>
      </c>
      <c r="S779" t="s">
        <v>74</v>
      </c>
      <c r="T779" t="s">
        <v>14513</v>
      </c>
      <c r="U779" t="s">
        <v>14514</v>
      </c>
      <c r="V779" t="s">
        <v>14515</v>
      </c>
      <c r="W779" t="s">
        <v>14516</v>
      </c>
      <c r="X779" t="s">
        <v>14517</v>
      </c>
      <c r="Y779" t="s">
        <v>14518</v>
      </c>
      <c r="Z779" t="s">
        <v>14519</v>
      </c>
      <c r="AA779" t="s">
        <v>74</v>
      </c>
      <c r="AB779" t="s">
        <v>14520</v>
      </c>
      <c r="AC779" t="s">
        <v>14521</v>
      </c>
      <c r="AD779" t="s">
        <v>14522</v>
      </c>
      <c r="AE779" t="s">
        <v>14523</v>
      </c>
      <c r="AF779" t="s">
        <v>74</v>
      </c>
      <c r="AG779">
        <v>26</v>
      </c>
      <c r="AH779">
        <v>0</v>
      </c>
      <c r="AI779">
        <v>0</v>
      </c>
      <c r="AJ779">
        <v>0</v>
      </c>
      <c r="AK779">
        <v>0</v>
      </c>
      <c r="AL779" t="s">
        <v>117</v>
      </c>
      <c r="AM779" t="s">
        <v>627</v>
      </c>
      <c r="AN779" t="s">
        <v>628</v>
      </c>
      <c r="AO779" t="s">
        <v>14524</v>
      </c>
      <c r="AP779" t="s">
        <v>14525</v>
      </c>
      <c r="AQ779" t="s">
        <v>74</v>
      </c>
      <c r="AR779" t="s">
        <v>14526</v>
      </c>
      <c r="AS779" t="s">
        <v>14527</v>
      </c>
      <c r="AT779" t="s">
        <v>14106</v>
      </c>
      <c r="AU779">
        <v>2023</v>
      </c>
      <c r="AV779" t="s">
        <v>74</v>
      </c>
      <c r="AW779" t="s">
        <v>74</v>
      </c>
      <c r="AX779" t="s">
        <v>74</v>
      </c>
      <c r="AY779" t="s">
        <v>74</v>
      </c>
      <c r="AZ779" t="s">
        <v>74</v>
      </c>
      <c r="BA779" t="s">
        <v>74</v>
      </c>
      <c r="BB779" t="s">
        <v>74</v>
      </c>
      <c r="BC779" t="s">
        <v>74</v>
      </c>
      <c r="BD779" t="s">
        <v>74</v>
      </c>
      <c r="BE779" t="s">
        <v>14528</v>
      </c>
      <c r="BF779" t="str">
        <f>HYPERLINK("http://dx.doi.org/10.1007/s10597-023-01176-0","http://dx.doi.org/10.1007/s10597-023-01176-0")</f>
        <v>http://dx.doi.org/10.1007/s10597-023-01176-0</v>
      </c>
      <c r="BG779" t="s">
        <v>74</v>
      </c>
      <c r="BH779" t="s">
        <v>10650</v>
      </c>
      <c r="BI779">
        <v>9</v>
      </c>
      <c r="BJ779" t="s">
        <v>14529</v>
      </c>
      <c r="BK779" t="s">
        <v>425</v>
      </c>
      <c r="BL779" t="s">
        <v>14530</v>
      </c>
      <c r="BM779" t="s">
        <v>14531</v>
      </c>
      <c r="BN779">
        <v>37606851</v>
      </c>
      <c r="BO779" t="s">
        <v>74</v>
      </c>
      <c r="BP779" t="s">
        <v>74</v>
      </c>
      <c r="BQ779" t="s">
        <v>74</v>
      </c>
      <c r="BR779" t="s">
        <v>99</v>
      </c>
      <c r="BS779" t="s">
        <v>14532</v>
      </c>
      <c r="BT779" t="str">
        <f>HYPERLINK("https%3A%2F%2Fwww.webofscience.com%2Fwos%2Fwoscc%2Ffull-record%2FWOS:001052494300001","View Full Record in Web of Science")</f>
        <v>View Full Record in Web of Science</v>
      </c>
    </row>
    <row r="780" spans="1:72" x14ac:dyDescent="0.15">
      <c r="A780" t="s">
        <v>72</v>
      </c>
      <c r="B780" t="s">
        <v>14533</v>
      </c>
      <c r="C780" t="s">
        <v>74</v>
      </c>
      <c r="D780" t="s">
        <v>74</v>
      </c>
      <c r="E780" t="s">
        <v>74</v>
      </c>
      <c r="F780" t="s">
        <v>14534</v>
      </c>
      <c r="G780" t="s">
        <v>74</v>
      </c>
      <c r="H780" t="s">
        <v>74</v>
      </c>
      <c r="I780" t="s">
        <v>14535</v>
      </c>
      <c r="J780" t="s">
        <v>10670</v>
      </c>
      <c r="K780" t="s">
        <v>74</v>
      </c>
      <c r="L780" t="s">
        <v>74</v>
      </c>
      <c r="M780" t="s">
        <v>78</v>
      </c>
      <c r="N780" t="s">
        <v>79</v>
      </c>
      <c r="O780" t="s">
        <v>74</v>
      </c>
      <c r="P780" t="s">
        <v>74</v>
      </c>
      <c r="Q780" t="s">
        <v>74</v>
      </c>
      <c r="R780" t="s">
        <v>74</v>
      </c>
      <c r="S780" t="s">
        <v>74</v>
      </c>
      <c r="T780" t="s">
        <v>14536</v>
      </c>
      <c r="U780" t="s">
        <v>74</v>
      </c>
      <c r="V780" t="s">
        <v>14537</v>
      </c>
      <c r="W780" t="s">
        <v>14538</v>
      </c>
      <c r="X780" t="s">
        <v>14539</v>
      </c>
      <c r="Y780" t="s">
        <v>14540</v>
      </c>
      <c r="Z780" t="s">
        <v>14541</v>
      </c>
      <c r="AA780" t="s">
        <v>74</v>
      </c>
      <c r="AB780" t="s">
        <v>14542</v>
      </c>
      <c r="AC780" t="s">
        <v>74</v>
      </c>
      <c r="AD780" t="s">
        <v>74</v>
      </c>
      <c r="AE780" t="s">
        <v>74</v>
      </c>
      <c r="AF780" t="s">
        <v>74</v>
      </c>
      <c r="AG780">
        <v>31</v>
      </c>
      <c r="AH780">
        <v>0</v>
      </c>
      <c r="AI780">
        <v>0</v>
      </c>
      <c r="AJ780">
        <v>0</v>
      </c>
      <c r="AK780">
        <v>0</v>
      </c>
      <c r="AL780" t="s">
        <v>443</v>
      </c>
      <c r="AM780" t="s">
        <v>245</v>
      </c>
      <c r="AN780" t="s">
        <v>444</v>
      </c>
      <c r="AO780" t="s">
        <v>74</v>
      </c>
      <c r="AP780" t="s">
        <v>10678</v>
      </c>
      <c r="AQ780" t="s">
        <v>74</v>
      </c>
      <c r="AR780" t="s">
        <v>10679</v>
      </c>
      <c r="AS780" t="s">
        <v>10680</v>
      </c>
      <c r="AT780" t="s">
        <v>14179</v>
      </c>
      <c r="AU780">
        <v>2023</v>
      </c>
      <c r="AV780">
        <v>23</v>
      </c>
      <c r="AW780">
        <v>1</v>
      </c>
      <c r="AX780" t="s">
        <v>74</v>
      </c>
      <c r="AY780" t="s">
        <v>74</v>
      </c>
      <c r="AZ780" t="s">
        <v>74</v>
      </c>
      <c r="BA780" t="s">
        <v>74</v>
      </c>
      <c r="BB780" t="s">
        <v>74</v>
      </c>
      <c r="BC780" t="s">
        <v>74</v>
      </c>
      <c r="BD780">
        <v>600</v>
      </c>
      <c r="BE780" t="s">
        <v>14543</v>
      </c>
      <c r="BF780" t="str">
        <f>HYPERLINK("http://dx.doi.org/10.1186/s12884-023-05866-1","http://dx.doi.org/10.1186/s12884-023-05866-1")</f>
        <v>http://dx.doi.org/10.1186/s12884-023-05866-1</v>
      </c>
      <c r="BG780" t="s">
        <v>74</v>
      </c>
      <c r="BH780" t="s">
        <v>74</v>
      </c>
      <c r="BI780">
        <v>13</v>
      </c>
      <c r="BJ780" t="s">
        <v>96</v>
      </c>
      <c r="BK780" t="s">
        <v>126</v>
      </c>
      <c r="BL780" t="s">
        <v>96</v>
      </c>
      <c r="BM780" t="s">
        <v>14544</v>
      </c>
      <c r="BN780">
        <v>37608358</v>
      </c>
      <c r="BO780" t="s">
        <v>302</v>
      </c>
      <c r="BP780" t="s">
        <v>74</v>
      </c>
      <c r="BQ780" t="s">
        <v>74</v>
      </c>
      <c r="BR780" t="s">
        <v>99</v>
      </c>
      <c r="BS780" t="s">
        <v>14545</v>
      </c>
      <c r="BT780" t="str">
        <f>HYPERLINK("https%3A%2F%2Fwww.webofscience.com%2Fwos%2Fwoscc%2Ffull-record%2FWOS:001052861400001","View Full Record in Web of Science")</f>
        <v>View Full Record in Web of Science</v>
      </c>
    </row>
    <row r="781" spans="1:72" x14ac:dyDescent="0.15">
      <c r="A781" t="s">
        <v>72</v>
      </c>
      <c r="B781" t="s">
        <v>14546</v>
      </c>
      <c r="C781" t="s">
        <v>74</v>
      </c>
      <c r="D781" t="s">
        <v>74</v>
      </c>
      <c r="E781" t="s">
        <v>74</v>
      </c>
      <c r="F781" t="s">
        <v>14547</v>
      </c>
      <c r="G781" t="s">
        <v>74</v>
      </c>
      <c r="H781" t="s">
        <v>74</v>
      </c>
      <c r="I781" t="s">
        <v>14548</v>
      </c>
      <c r="J781" t="s">
        <v>14549</v>
      </c>
      <c r="K781" t="s">
        <v>74</v>
      </c>
      <c r="L781" t="s">
        <v>74</v>
      </c>
      <c r="M781" t="s">
        <v>78</v>
      </c>
      <c r="N781" t="s">
        <v>1246</v>
      </c>
      <c r="O781" t="s">
        <v>74</v>
      </c>
      <c r="P781" t="s">
        <v>74</v>
      </c>
      <c r="Q781" t="s">
        <v>74</v>
      </c>
      <c r="R781" t="s">
        <v>74</v>
      </c>
      <c r="S781" t="s">
        <v>74</v>
      </c>
      <c r="T781" t="s">
        <v>74</v>
      </c>
      <c r="U781" t="s">
        <v>14550</v>
      </c>
      <c r="V781" t="s">
        <v>14551</v>
      </c>
      <c r="W781" t="s">
        <v>14552</v>
      </c>
      <c r="X781" t="s">
        <v>14553</v>
      </c>
      <c r="Y781" t="s">
        <v>14554</v>
      </c>
      <c r="Z781" t="s">
        <v>14555</v>
      </c>
      <c r="AA781" t="s">
        <v>74</v>
      </c>
      <c r="AB781" t="s">
        <v>74</v>
      </c>
      <c r="AC781" t="s">
        <v>14556</v>
      </c>
      <c r="AD781" t="s">
        <v>14556</v>
      </c>
      <c r="AE781" t="s">
        <v>14557</v>
      </c>
      <c r="AF781" t="s">
        <v>74</v>
      </c>
      <c r="AG781">
        <v>35</v>
      </c>
      <c r="AH781">
        <v>0</v>
      </c>
      <c r="AI781">
        <v>0</v>
      </c>
      <c r="AJ781">
        <v>0</v>
      </c>
      <c r="AK781">
        <v>0</v>
      </c>
      <c r="AL781" t="s">
        <v>117</v>
      </c>
      <c r="AM781" t="s">
        <v>118</v>
      </c>
      <c r="AN781" t="s">
        <v>119</v>
      </c>
      <c r="AO781" t="s">
        <v>14558</v>
      </c>
      <c r="AP781" t="s">
        <v>14559</v>
      </c>
      <c r="AQ781" t="s">
        <v>74</v>
      </c>
      <c r="AR781" t="s">
        <v>14560</v>
      </c>
      <c r="AS781" t="s">
        <v>14561</v>
      </c>
      <c r="AT781" t="s">
        <v>14106</v>
      </c>
      <c r="AU781">
        <v>2023</v>
      </c>
      <c r="AV781" t="s">
        <v>74</v>
      </c>
      <c r="AW781" t="s">
        <v>74</v>
      </c>
      <c r="AX781" t="s">
        <v>74</v>
      </c>
      <c r="AY781" t="s">
        <v>74</v>
      </c>
      <c r="AZ781" t="s">
        <v>74</v>
      </c>
      <c r="BA781" t="s">
        <v>74</v>
      </c>
      <c r="BB781" t="s">
        <v>74</v>
      </c>
      <c r="BC781" t="s">
        <v>74</v>
      </c>
      <c r="BD781" t="s">
        <v>74</v>
      </c>
      <c r="BE781" t="s">
        <v>14562</v>
      </c>
      <c r="BF781" t="str">
        <f>HYPERLINK("http://dx.doi.org/10.1007/s11663-023-02889-z","http://dx.doi.org/10.1007/s11663-023-02889-z")</f>
        <v>http://dx.doi.org/10.1007/s11663-023-02889-z</v>
      </c>
      <c r="BG781" t="s">
        <v>74</v>
      </c>
      <c r="BH781" t="s">
        <v>10650</v>
      </c>
      <c r="BI781">
        <v>18</v>
      </c>
      <c r="BJ781" t="s">
        <v>14563</v>
      </c>
      <c r="BK781" t="s">
        <v>126</v>
      </c>
      <c r="BL781" t="s">
        <v>14564</v>
      </c>
      <c r="BM781" t="s">
        <v>14565</v>
      </c>
      <c r="BN781" t="s">
        <v>74</v>
      </c>
      <c r="BO781" t="s">
        <v>183</v>
      </c>
      <c r="BP781" t="s">
        <v>74</v>
      </c>
      <c r="BQ781" t="s">
        <v>74</v>
      </c>
      <c r="BR781" t="s">
        <v>99</v>
      </c>
      <c r="BS781" t="s">
        <v>14566</v>
      </c>
      <c r="BT781" t="str">
        <f>HYPERLINK("https%3A%2F%2Fwww.webofscience.com%2Fwos%2Fwoscc%2Ffull-record%2FWOS:001052478800002","View Full Record in Web of Science")</f>
        <v>View Full Record in Web of Science</v>
      </c>
    </row>
    <row r="782" spans="1:72" x14ac:dyDescent="0.15">
      <c r="A782" t="s">
        <v>72</v>
      </c>
      <c r="B782" t="s">
        <v>14567</v>
      </c>
      <c r="C782" t="s">
        <v>74</v>
      </c>
      <c r="D782" t="s">
        <v>74</v>
      </c>
      <c r="E782" t="s">
        <v>74</v>
      </c>
      <c r="F782" t="s">
        <v>14568</v>
      </c>
      <c r="G782" t="s">
        <v>74</v>
      </c>
      <c r="H782" t="s">
        <v>74</v>
      </c>
      <c r="I782" t="s">
        <v>14569</v>
      </c>
      <c r="J782" t="s">
        <v>2787</v>
      </c>
      <c r="K782" t="s">
        <v>74</v>
      </c>
      <c r="L782" t="s">
        <v>74</v>
      </c>
      <c r="M782" t="s">
        <v>78</v>
      </c>
      <c r="N782" t="s">
        <v>3055</v>
      </c>
      <c r="O782" t="s">
        <v>74</v>
      </c>
      <c r="P782" t="s">
        <v>74</v>
      </c>
      <c r="Q782" t="s">
        <v>74</v>
      </c>
      <c r="R782" t="s">
        <v>74</v>
      </c>
      <c r="S782" t="s">
        <v>74</v>
      </c>
      <c r="T782" t="s">
        <v>14570</v>
      </c>
      <c r="U782" t="s">
        <v>74</v>
      </c>
      <c r="V782" t="s">
        <v>74</v>
      </c>
      <c r="W782" t="s">
        <v>14571</v>
      </c>
      <c r="X782" t="s">
        <v>74</v>
      </c>
      <c r="Y782" t="s">
        <v>14572</v>
      </c>
      <c r="Z782" t="s">
        <v>14573</v>
      </c>
      <c r="AA782" t="s">
        <v>74</v>
      </c>
      <c r="AB782" t="s">
        <v>14574</v>
      </c>
      <c r="AC782" t="s">
        <v>74</v>
      </c>
      <c r="AD782" t="s">
        <v>74</v>
      </c>
      <c r="AE782" t="s">
        <v>74</v>
      </c>
      <c r="AF782" t="s">
        <v>74</v>
      </c>
      <c r="AG782">
        <v>10</v>
      </c>
      <c r="AH782">
        <v>0</v>
      </c>
      <c r="AI782">
        <v>0</v>
      </c>
      <c r="AJ782">
        <v>0</v>
      </c>
      <c r="AK782">
        <v>0</v>
      </c>
      <c r="AL782" t="s">
        <v>172</v>
      </c>
      <c r="AM782" t="s">
        <v>173</v>
      </c>
      <c r="AN782" t="s">
        <v>174</v>
      </c>
      <c r="AO782" t="s">
        <v>2798</v>
      </c>
      <c r="AP782" t="s">
        <v>2799</v>
      </c>
      <c r="AQ782" t="s">
        <v>74</v>
      </c>
      <c r="AR782" t="s">
        <v>2800</v>
      </c>
      <c r="AS782" t="s">
        <v>2801</v>
      </c>
      <c r="AT782" t="s">
        <v>14106</v>
      </c>
      <c r="AU782">
        <v>2023</v>
      </c>
      <c r="AV782" t="s">
        <v>74</v>
      </c>
      <c r="AW782" t="s">
        <v>74</v>
      </c>
      <c r="AX782" t="s">
        <v>74</v>
      </c>
      <c r="AY782" t="s">
        <v>74</v>
      </c>
      <c r="AZ782" t="s">
        <v>74</v>
      </c>
      <c r="BA782" t="s">
        <v>74</v>
      </c>
      <c r="BB782" t="s">
        <v>74</v>
      </c>
      <c r="BC782" t="s">
        <v>74</v>
      </c>
      <c r="BD782" t="s">
        <v>74</v>
      </c>
      <c r="BE782" t="s">
        <v>14575</v>
      </c>
      <c r="BF782" t="str">
        <f>HYPERLINK("http://dx.doi.org/10.1007/s13760-023-02358-z","http://dx.doi.org/10.1007/s13760-023-02358-z")</f>
        <v>http://dx.doi.org/10.1007/s13760-023-02358-z</v>
      </c>
      <c r="BG782" t="s">
        <v>74</v>
      </c>
      <c r="BH782" t="s">
        <v>10650</v>
      </c>
      <c r="BI782">
        <v>3</v>
      </c>
      <c r="BJ782" t="s">
        <v>2803</v>
      </c>
      <c r="BK782" t="s">
        <v>126</v>
      </c>
      <c r="BL782" t="s">
        <v>2057</v>
      </c>
      <c r="BM782" t="s">
        <v>14576</v>
      </c>
      <c r="BN782">
        <v>37606808</v>
      </c>
      <c r="BO782" t="s">
        <v>74</v>
      </c>
      <c r="BP782" t="s">
        <v>74</v>
      </c>
      <c r="BQ782" t="s">
        <v>74</v>
      </c>
      <c r="BR782" t="s">
        <v>99</v>
      </c>
      <c r="BS782" t="s">
        <v>14577</v>
      </c>
      <c r="BT782" t="str">
        <f>HYPERLINK("https%3A%2F%2Fwww.webofscience.com%2Fwos%2Fwoscc%2Ffull-record%2FWOS:001052762800001","View Full Record in Web of Science")</f>
        <v>View Full Record in Web of Science</v>
      </c>
    </row>
    <row r="783" spans="1:72" x14ac:dyDescent="0.15">
      <c r="A783" t="s">
        <v>72</v>
      </c>
      <c r="B783" t="s">
        <v>14578</v>
      </c>
      <c r="C783" t="s">
        <v>74</v>
      </c>
      <c r="D783" t="s">
        <v>74</v>
      </c>
      <c r="E783" t="s">
        <v>74</v>
      </c>
      <c r="F783" t="s">
        <v>14579</v>
      </c>
      <c r="G783" t="s">
        <v>74</v>
      </c>
      <c r="H783" t="s">
        <v>74</v>
      </c>
      <c r="I783" t="s">
        <v>14580</v>
      </c>
      <c r="J783" t="s">
        <v>7608</v>
      </c>
      <c r="K783" t="s">
        <v>74</v>
      </c>
      <c r="L783" t="s">
        <v>74</v>
      </c>
      <c r="M783" t="s">
        <v>78</v>
      </c>
      <c r="N783" t="s">
        <v>1246</v>
      </c>
      <c r="O783" t="s">
        <v>74</v>
      </c>
      <c r="P783" t="s">
        <v>74</v>
      </c>
      <c r="Q783" t="s">
        <v>74</v>
      </c>
      <c r="R783" t="s">
        <v>74</v>
      </c>
      <c r="S783" t="s">
        <v>74</v>
      </c>
      <c r="T783" t="s">
        <v>14581</v>
      </c>
      <c r="U783" t="s">
        <v>14582</v>
      </c>
      <c r="V783" t="s">
        <v>14583</v>
      </c>
      <c r="W783" t="s">
        <v>14584</v>
      </c>
      <c r="X783" t="s">
        <v>14585</v>
      </c>
      <c r="Y783" t="s">
        <v>14586</v>
      </c>
      <c r="Z783" t="s">
        <v>14587</v>
      </c>
      <c r="AA783" t="s">
        <v>14588</v>
      </c>
      <c r="AB783" t="s">
        <v>14589</v>
      </c>
      <c r="AC783" t="s">
        <v>14590</v>
      </c>
      <c r="AD783" t="s">
        <v>14591</v>
      </c>
      <c r="AE783" t="s">
        <v>14592</v>
      </c>
      <c r="AF783" t="s">
        <v>74</v>
      </c>
      <c r="AG783">
        <v>45</v>
      </c>
      <c r="AH783">
        <v>0</v>
      </c>
      <c r="AI783">
        <v>0</v>
      </c>
      <c r="AJ783">
        <v>0</v>
      </c>
      <c r="AK783">
        <v>0</v>
      </c>
      <c r="AL783" t="s">
        <v>117</v>
      </c>
      <c r="AM783" t="s">
        <v>118</v>
      </c>
      <c r="AN783" t="s">
        <v>119</v>
      </c>
      <c r="AO783" t="s">
        <v>7618</v>
      </c>
      <c r="AP783" t="s">
        <v>7619</v>
      </c>
      <c r="AQ783" t="s">
        <v>74</v>
      </c>
      <c r="AR783" t="s">
        <v>7620</v>
      </c>
      <c r="AS783" t="s">
        <v>7621</v>
      </c>
      <c r="AT783" t="s">
        <v>14106</v>
      </c>
      <c r="AU783">
        <v>2023</v>
      </c>
      <c r="AV783" t="s">
        <v>74</v>
      </c>
      <c r="AW783" t="s">
        <v>74</v>
      </c>
      <c r="AX783" t="s">
        <v>74</v>
      </c>
      <c r="AY783" t="s">
        <v>74</v>
      </c>
      <c r="AZ783" t="s">
        <v>74</v>
      </c>
      <c r="BA783" t="s">
        <v>74</v>
      </c>
      <c r="BB783" t="s">
        <v>74</v>
      </c>
      <c r="BC783" t="s">
        <v>74</v>
      </c>
      <c r="BD783" t="s">
        <v>74</v>
      </c>
      <c r="BE783" t="s">
        <v>14593</v>
      </c>
      <c r="BF783" t="str">
        <f>HYPERLINK("http://dx.doi.org/10.1007/s00262-023-03498-0","http://dx.doi.org/10.1007/s00262-023-03498-0")</f>
        <v>http://dx.doi.org/10.1007/s00262-023-03498-0</v>
      </c>
      <c r="BG783" t="s">
        <v>74</v>
      </c>
      <c r="BH783" t="s">
        <v>10650</v>
      </c>
      <c r="BI783">
        <v>15</v>
      </c>
      <c r="BJ783" t="s">
        <v>7623</v>
      </c>
      <c r="BK783" t="s">
        <v>126</v>
      </c>
      <c r="BL783" t="s">
        <v>7623</v>
      </c>
      <c r="BM783" t="s">
        <v>14594</v>
      </c>
      <c r="BN783">
        <v>37606856</v>
      </c>
      <c r="BO783" t="s">
        <v>183</v>
      </c>
      <c r="BP783" t="s">
        <v>74</v>
      </c>
      <c r="BQ783" t="s">
        <v>74</v>
      </c>
      <c r="BR783" t="s">
        <v>99</v>
      </c>
      <c r="BS783" t="s">
        <v>14595</v>
      </c>
      <c r="BT783" t="str">
        <f>HYPERLINK("https%3A%2F%2Fwww.webofscience.com%2Fwos%2Fwoscc%2Ffull-record%2FWOS:001052478100001","View Full Record in Web of Science")</f>
        <v>View Full Record in Web of Science</v>
      </c>
    </row>
    <row r="784" spans="1:72" x14ac:dyDescent="0.15">
      <c r="A784" t="s">
        <v>72</v>
      </c>
      <c r="B784" t="s">
        <v>14596</v>
      </c>
      <c r="C784" t="s">
        <v>74</v>
      </c>
      <c r="D784" t="s">
        <v>74</v>
      </c>
      <c r="E784" t="s">
        <v>74</v>
      </c>
      <c r="F784" t="s">
        <v>14597</v>
      </c>
      <c r="G784" t="s">
        <v>74</v>
      </c>
      <c r="H784" t="s">
        <v>74</v>
      </c>
      <c r="I784" t="s">
        <v>14598</v>
      </c>
      <c r="J784" t="s">
        <v>14599</v>
      </c>
      <c r="K784" t="s">
        <v>74</v>
      </c>
      <c r="L784" t="s">
        <v>74</v>
      </c>
      <c r="M784" t="s">
        <v>78</v>
      </c>
      <c r="N784" t="s">
        <v>1246</v>
      </c>
      <c r="O784" t="s">
        <v>74</v>
      </c>
      <c r="P784" t="s">
        <v>74</v>
      </c>
      <c r="Q784" t="s">
        <v>74</v>
      </c>
      <c r="R784" t="s">
        <v>74</v>
      </c>
      <c r="S784" t="s">
        <v>74</v>
      </c>
      <c r="T784" t="s">
        <v>14600</v>
      </c>
      <c r="U784" t="s">
        <v>14601</v>
      </c>
      <c r="V784" t="s">
        <v>14602</v>
      </c>
      <c r="W784" t="s">
        <v>14603</v>
      </c>
      <c r="X784" t="s">
        <v>74</v>
      </c>
      <c r="Y784" t="s">
        <v>14604</v>
      </c>
      <c r="Z784" t="s">
        <v>14605</v>
      </c>
      <c r="AA784" t="s">
        <v>74</v>
      </c>
      <c r="AB784" t="s">
        <v>14606</v>
      </c>
      <c r="AC784" t="s">
        <v>649</v>
      </c>
      <c r="AD784" t="s">
        <v>649</v>
      </c>
      <c r="AE784" t="s">
        <v>650</v>
      </c>
      <c r="AF784" t="s">
        <v>74</v>
      </c>
      <c r="AG784">
        <v>99</v>
      </c>
      <c r="AH784">
        <v>0</v>
      </c>
      <c r="AI784">
        <v>0</v>
      </c>
      <c r="AJ784">
        <v>0</v>
      </c>
      <c r="AK784">
        <v>0</v>
      </c>
      <c r="AL784" t="s">
        <v>117</v>
      </c>
      <c r="AM784" t="s">
        <v>118</v>
      </c>
      <c r="AN784" t="s">
        <v>119</v>
      </c>
      <c r="AO784" t="s">
        <v>14607</v>
      </c>
      <c r="AP784" t="s">
        <v>14608</v>
      </c>
      <c r="AQ784" t="s">
        <v>74</v>
      </c>
      <c r="AR784" t="s">
        <v>14609</v>
      </c>
      <c r="AS784" t="s">
        <v>14610</v>
      </c>
      <c r="AT784" t="s">
        <v>14106</v>
      </c>
      <c r="AU784">
        <v>2023</v>
      </c>
      <c r="AV784" t="s">
        <v>74</v>
      </c>
      <c r="AW784" t="s">
        <v>74</v>
      </c>
      <c r="AX784" t="s">
        <v>74</v>
      </c>
      <c r="AY784" t="s">
        <v>74</v>
      </c>
      <c r="AZ784" t="s">
        <v>74</v>
      </c>
      <c r="BA784" t="s">
        <v>74</v>
      </c>
      <c r="BB784" t="s">
        <v>74</v>
      </c>
      <c r="BC784" t="s">
        <v>74</v>
      </c>
      <c r="BD784" t="s">
        <v>74</v>
      </c>
      <c r="BE784" t="s">
        <v>14611</v>
      </c>
      <c r="BF784" t="str">
        <f>HYPERLINK("http://dx.doi.org/10.1007/s11615-023-00486-y","http://dx.doi.org/10.1007/s11615-023-00486-y")</f>
        <v>http://dx.doi.org/10.1007/s11615-023-00486-y</v>
      </c>
      <c r="BG784" t="s">
        <v>74</v>
      </c>
      <c r="BH784" t="s">
        <v>10650</v>
      </c>
      <c r="BI784">
        <v>28</v>
      </c>
      <c r="BJ784" t="s">
        <v>2865</v>
      </c>
      <c r="BK784" t="s">
        <v>425</v>
      </c>
      <c r="BL784" t="s">
        <v>2866</v>
      </c>
      <c r="BM784" t="s">
        <v>14612</v>
      </c>
      <c r="BN784" t="s">
        <v>74</v>
      </c>
      <c r="BO784" t="s">
        <v>183</v>
      </c>
      <c r="BP784" t="s">
        <v>74</v>
      </c>
      <c r="BQ784" t="s">
        <v>74</v>
      </c>
      <c r="BR784" t="s">
        <v>99</v>
      </c>
      <c r="BS784" t="s">
        <v>14613</v>
      </c>
      <c r="BT784" t="str">
        <f>HYPERLINK("https%3A%2F%2Fwww.webofscience.com%2Fwos%2Fwoscc%2Ffull-record%2FWOS:001052484000001","View Full Record in Web of Science")</f>
        <v>View Full Record in Web of Science</v>
      </c>
    </row>
    <row r="785" spans="1:72" x14ac:dyDescent="0.15">
      <c r="A785" t="s">
        <v>72</v>
      </c>
      <c r="B785" t="s">
        <v>14614</v>
      </c>
      <c r="C785" t="s">
        <v>74</v>
      </c>
      <c r="D785" t="s">
        <v>74</v>
      </c>
      <c r="E785" t="s">
        <v>74</v>
      </c>
      <c r="F785" t="s">
        <v>14615</v>
      </c>
      <c r="G785" t="s">
        <v>74</v>
      </c>
      <c r="H785" t="s">
        <v>74</v>
      </c>
      <c r="I785" t="s">
        <v>14616</v>
      </c>
      <c r="J785" t="s">
        <v>10670</v>
      </c>
      <c r="K785" t="s">
        <v>74</v>
      </c>
      <c r="L785" t="s">
        <v>74</v>
      </c>
      <c r="M785" t="s">
        <v>78</v>
      </c>
      <c r="N785" t="s">
        <v>79</v>
      </c>
      <c r="O785" t="s">
        <v>74</v>
      </c>
      <c r="P785" t="s">
        <v>74</v>
      </c>
      <c r="Q785" t="s">
        <v>74</v>
      </c>
      <c r="R785" t="s">
        <v>74</v>
      </c>
      <c r="S785" t="s">
        <v>74</v>
      </c>
      <c r="T785" t="s">
        <v>14617</v>
      </c>
      <c r="U785" t="s">
        <v>14618</v>
      </c>
      <c r="V785" t="s">
        <v>14619</v>
      </c>
      <c r="W785" t="s">
        <v>14620</v>
      </c>
      <c r="X785" t="s">
        <v>74</v>
      </c>
      <c r="Y785" t="s">
        <v>14621</v>
      </c>
      <c r="Z785" t="s">
        <v>14622</v>
      </c>
      <c r="AA785" t="s">
        <v>74</v>
      </c>
      <c r="AB785" t="s">
        <v>74</v>
      </c>
      <c r="AC785" t="s">
        <v>74</v>
      </c>
      <c r="AD785" t="s">
        <v>74</v>
      </c>
      <c r="AE785" t="s">
        <v>74</v>
      </c>
      <c r="AF785" t="s">
        <v>74</v>
      </c>
      <c r="AG785">
        <v>36</v>
      </c>
      <c r="AH785">
        <v>0</v>
      </c>
      <c r="AI785">
        <v>0</v>
      </c>
      <c r="AJ785">
        <v>1</v>
      </c>
      <c r="AK785">
        <v>1</v>
      </c>
      <c r="AL785" t="s">
        <v>443</v>
      </c>
      <c r="AM785" t="s">
        <v>245</v>
      </c>
      <c r="AN785" t="s">
        <v>444</v>
      </c>
      <c r="AO785" t="s">
        <v>74</v>
      </c>
      <c r="AP785" t="s">
        <v>10678</v>
      </c>
      <c r="AQ785" t="s">
        <v>74</v>
      </c>
      <c r="AR785" t="s">
        <v>10679</v>
      </c>
      <c r="AS785" t="s">
        <v>10680</v>
      </c>
      <c r="AT785" t="s">
        <v>14179</v>
      </c>
      <c r="AU785">
        <v>2023</v>
      </c>
      <c r="AV785">
        <v>23</v>
      </c>
      <c r="AW785">
        <v>1</v>
      </c>
      <c r="AX785" t="s">
        <v>74</v>
      </c>
      <c r="AY785" t="s">
        <v>74</v>
      </c>
      <c r="AZ785" t="s">
        <v>74</v>
      </c>
      <c r="BA785" t="s">
        <v>74</v>
      </c>
      <c r="BB785" t="s">
        <v>74</v>
      </c>
      <c r="BC785" t="s">
        <v>74</v>
      </c>
      <c r="BD785">
        <v>597</v>
      </c>
      <c r="BE785" t="s">
        <v>14623</v>
      </c>
      <c r="BF785" t="str">
        <f>HYPERLINK("http://dx.doi.org/10.1186/s12884-023-05905-x","http://dx.doi.org/10.1186/s12884-023-05905-x")</f>
        <v>http://dx.doi.org/10.1186/s12884-023-05905-x</v>
      </c>
      <c r="BG785" t="s">
        <v>74</v>
      </c>
      <c r="BH785" t="s">
        <v>74</v>
      </c>
      <c r="BI785">
        <v>10</v>
      </c>
      <c r="BJ785" t="s">
        <v>96</v>
      </c>
      <c r="BK785" t="s">
        <v>126</v>
      </c>
      <c r="BL785" t="s">
        <v>96</v>
      </c>
      <c r="BM785" t="s">
        <v>14544</v>
      </c>
      <c r="BN785">
        <v>37608260</v>
      </c>
      <c r="BO785" t="s">
        <v>9256</v>
      </c>
      <c r="BP785" t="s">
        <v>74</v>
      </c>
      <c r="BQ785" t="s">
        <v>74</v>
      </c>
      <c r="BR785" t="s">
        <v>99</v>
      </c>
      <c r="BS785" t="s">
        <v>14624</v>
      </c>
      <c r="BT785" t="str">
        <f>HYPERLINK("https%3A%2F%2Fwww.webofscience.com%2Fwos%2Fwoscc%2Ffull-record%2FWOS:001052861400003","View Full Record in Web of Science")</f>
        <v>View Full Record in Web of Science</v>
      </c>
    </row>
    <row r="786" spans="1:72" x14ac:dyDescent="0.15">
      <c r="A786" t="s">
        <v>72</v>
      </c>
      <c r="B786" t="s">
        <v>14625</v>
      </c>
      <c r="C786" t="s">
        <v>74</v>
      </c>
      <c r="D786" t="s">
        <v>74</v>
      </c>
      <c r="E786" t="s">
        <v>74</v>
      </c>
      <c r="F786" t="s">
        <v>14626</v>
      </c>
      <c r="G786" t="s">
        <v>74</v>
      </c>
      <c r="H786" t="s">
        <v>74</v>
      </c>
      <c r="I786" t="s">
        <v>14627</v>
      </c>
      <c r="J786" t="s">
        <v>12012</v>
      </c>
      <c r="K786" t="s">
        <v>74</v>
      </c>
      <c r="L786" t="s">
        <v>74</v>
      </c>
      <c r="M786" t="s">
        <v>78</v>
      </c>
      <c r="N786" t="s">
        <v>79</v>
      </c>
      <c r="O786" t="s">
        <v>74</v>
      </c>
      <c r="P786" t="s">
        <v>74</v>
      </c>
      <c r="Q786" t="s">
        <v>74</v>
      </c>
      <c r="R786" t="s">
        <v>74</v>
      </c>
      <c r="S786" t="s">
        <v>74</v>
      </c>
      <c r="T786" t="s">
        <v>14628</v>
      </c>
      <c r="U786" t="s">
        <v>14629</v>
      </c>
      <c r="V786" t="s">
        <v>14630</v>
      </c>
      <c r="W786" t="s">
        <v>14631</v>
      </c>
      <c r="X786" t="s">
        <v>74</v>
      </c>
      <c r="Y786" t="s">
        <v>14632</v>
      </c>
      <c r="Z786" t="s">
        <v>14633</v>
      </c>
      <c r="AA786" t="s">
        <v>74</v>
      </c>
      <c r="AB786" t="s">
        <v>74</v>
      </c>
      <c r="AC786" t="s">
        <v>74</v>
      </c>
      <c r="AD786" t="s">
        <v>74</v>
      </c>
      <c r="AE786" t="s">
        <v>74</v>
      </c>
      <c r="AF786" t="s">
        <v>74</v>
      </c>
      <c r="AG786">
        <v>37</v>
      </c>
      <c r="AH786">
        <v>0</v>
      </c>
      <c r="AI786">
        <v>0</v>
      </c>
      <c r="AJ786">
        <v>1</v>
      </c>
      <c r="AK786">
        <v>1</v>
      </c>
      <c r="AL786" t="s">
        <v>117</v>
      </c>
      <c r="AM786" t="s">
        <v>118</v>
      </c>
      <c r="AN786" t="s">
        <v>119</v>
      </c>
      <c r="AO786" t="s">
        <v>12019</v>
      </c>
      <c r="AP786" t="s">
        <v>12020</v>
      </c>
      <c r="AQ786" t="s">
        <v>74</v>
      </c>
      <c r="AR786" t="s">
        <v>12021</v>
      </c>
      <c r="AS786" t="s">
        <v>12022</v>
      </c>
      <c r="AT786" t="s">
        <v>14179</v>
      </c>
      <c r="AU786">
        <v>2023</v>
      </c>
      <c r="AV786">
        <v>2023</v>
      </c>
      <c r="AW786">
        <v>1</v>
      </c>
      <c r="AX786" t="s">
        <v>74</v>
      </c>
      <c r="AY786" t="s">
        <v>74</v>
      </c>
      <c r="AZ786" t="s">
        <v>74</v>
      </c>
      <c r="BA786" t="s">
        <v>74</v>
      </c>
      <c r="BB786" t="s">
        <v>74</v>
      </c>
      <c r="BC786" t="s">
        <v>74</v>
      </c>
      <c r="BD786">
        <v>82</v>
      </c>
      <c r="BE786" t="s">
        <v>14634</v>
      </c>
      <c r="BF786" t="str">
        <f>HYPERLINK("http://dx.doi.org/10.1186/s13638-023-02293-w","http://dx.doi.org/10.1186/s13638-023-02293-w")</f>
        <v>http://dx.doi.org/10.1186/s13638-023-02293-w</v>
      </c>
      <c r="BG786" t="s">
        <v>74</v>
      </c>
      <c r="BH786" t="s">
        <v>74</v>
      </c>
      <c r="BI786">
        <v>19</v>
      </c>
      <c r="BJ786" t="s">
        <v>12024</v>
      </c>
      <c r="BK786" t="s">
        <v>126</v>
      </c>
      <c r="BL786" t="s">
        <v>12025</v>
      </c>
      <c r="BM786" t="s">
        <v>14635</v>
      </c>
      <c r="BN786" t="s">
        <v>74</v>
      </c>
      <c r="BO786" t="s">
        <v>302</v>
      </c>
      <c r="BP786" t="s">
        <v>74</v>
      </c>
      <c r="BQ786" t="s">
        <v>74</v>
      </c>
      <c r="BR786" t="s">
        <v>99</v>
      </c>
      <c r="BS786" t="s">
        <v>14636</v>
      </c>
      <c r="BT786" t="str">
        <f>HYPERLINK("https%3A%2F%2Fwww.webofscience.com%2Fwos%2Fwoscc%2Ffull-record%2FWOS:001052560700001","View Full Record in Web of Science")</f>
        <v>View Full Record in Web of Science</v>
      </c>
    </row>
    <row r="787" spans="1:72" x14ac:dyDescent="0.15">
      <c r="A787" t="s">
        <v>72</v>
      </c>
      <c r="B787" t="s">
        <v>14637</v>
      </c>
      <c r="C787" t="s">
        <v>74</v>
      </c>
      <c r="D787" t="s">
        <v>74</v>
      </c>
      <c r="E787" t="s">
        <v>74</v>
      </c>
      <c r="F787" t="s">
        <v>14638</v>
      </c>
      <c r="G787" t="s">
        <v>74</v>
      </c>
      <c r="H787" t="s">
        <v>74</v>
      </c>
      <c r="I787" t="s">
        <v>14639</v>
      </c>
      <c r="J787" t="s">
        <v>3492</v>
      </c>
      <c r="K787" t="s">
        <v>74</v>
      </c>
      <c r="L787" t="s">
        <v>74</v>
      </c>
      <c r="M787" t="s">
        <v>78</v>
      </c>
      <c r="N787" t="s">
        <v>1246</v>
      </c>
      <c r="O787" t="s">
        <v>74</v>
      </c>
      <c r="P787" t="s">
        <v>74</v>
      </c>
      <c r="Q787" t="s">
        <v>74</v>
      </c>
      <c r="R787" t="s">
        <v>74</v>
      </c>
      <c r="S787" t="s">
        <v>74</v>
      </c>
      <c r="T787" t="s">
        <v>14640</v>
      </c>
      <c r="U787" t="s">
        <v>14641</v>
      </c>
      <c r="V787" t="s">
        <v>14642</v>
      </c>
      <c r="W787" t="s">
        <v>14643</v>
      </c>
      <c r="X787" t="s">
        <v>11528</v>
      </c>
      <c r="Y787" t="s">
        <v>14644</v>
      </c>
      <c r="Z787" t="s">
        <v>14645</v>
      </c>
      <c r="AA787" t="s">
        <v>74</v>
      </c>
      <c r="AB787" t="s">
        <v>74</v>
      </c>
      <c r="AC787" t="s">
        <v>74</v>
      </c>
      <c r="AD787" t="s">
        <v>74</v>
      </c>
      <c r="AE787" t="s">
        <v>74</v>
      </c>
      <c r="AF787" t="s">
        <v>74</v>
      </c>
      <c r="AG787">
        <v>96</v>
      </c>
      <c r="AH787">
        <v>0</v>
      </c>
      <c r="AI787">
        <v>0</v>
      </c>
      <c r="AJ787">
        <v>0</v>
      </c>
      <c r="AK787">
        <v>0</v>
      </c>
      <c r="AL787" t="s">
        <v>172</v>
      </c>
      <c r="AM787" t="s">
        <v>173</v>
      </c>
      <c r="AN787" t="s">
        <v>174</v>
      </c>
      <c r="AO787" t="s">
        <v>3499</v>
      </c>
      <c r="AP787" t="s">
        <v>3500</v>
      </c>
      <c r="AQ787" t="s">
        <v>74</v>
      </c>
      <c r="AR787" t="s">
        <v>3501</v>
      </c>
      <c r="AS787" t="s">
        <v>3502</v>
      </c>
      <c r="AT787" t="s">
        <v>14646</v>
      </c>
      <c r="AU787">
        <v>2023</v>
      </c>
      <c r="AV787" t="s">
        <v>74</v>
      </c>
      <c r="AW787" t="s">
        <v>74</v>
      </c>
      <c r="AX787" t="s">
        <v>74</v>
      </c>
      <c r="AY787" t="s">
        <v>74</v>
      </c>
      <c r="AZ787" t="s">
        <v>74</v>
      </c>
      <c r="BA787" t="s">
        <v>74</v>
      </c>
      <c r="BB787" t="s">
        <v>74</v>
      </c>
      <c r="BC787" t="s">
        <v>74</v>
      </c>
      <c r="BD787" t="s">
        <v>74</v>
      </c>
      <c r="BE787" t="s">
        <v>14647</v>
      </c>
      <c r="BF787" t="str">
        <f>HYPERLINK("http://dx.doi.org/10.1007/s43217-023-00147-5","http://dx.doi.org/10.1007/s43217-023-00147-5")</f>
        <v>http://dx.doi.org/10.1007/s43217-023-00147-5</v>
      </c>
      <c r="BG787" t="s">
        <v>74</v>
      </c>
      <c r="BH787" t="s">
        <v>10650</v>
      </c>
      <c r="BI787">
        <v>20</v>
      </c>
      <c r="BJ787" t="s">
        <v>1346</v>
      </c>
      <c r="BK787" t="s">
        <v>97</v>
      </c>
      <c r="BL787" t="s">
        <v>1347</v>
      </c>
      <c r="BM787" t="s">
        <v>14648</v>
      </c>
      <c r="BN787" t="s">
        <v>74</v>
      </c>
      <c r="BO787" t="s">
        <v>74</v>
      </c>
      <c r="BP787" t="s">
        <v>74</v>
      </c>
      <c r="BQ787" t="s">
        <v>74</v>
      </c>
      <c r="BR787" t="s">
        <v>99</v>
      </c>
      <c r="BS787" t="s">
        <v>14649</v>
      </c>
      <c r="BT787" t="str">
        <f>HYPERLINK("https%3A%2F%2Fwww.webofscience.com%2Fwos%2Fwoscc%2Ffull-record%2FWOS:001051482600001","View Full Record in Web of Science")</f>
        <v>View Full Record in Web of Science</v>
      </c>
    </row>
    <row r="788" spans="1:72" x14ac:dyDescent="0.15">
      <c r="A788" t="s">
        <v>72</v>
      </c>
      <c r="B788" t="s">
        <v>14650</v>
      </c>
      <c r="C788" t="s">
        <v>74</v>
      </c>
      <c r="D788" t="s">
        <v>74</v>
      </c>
      <c r="E788" t="s">
        <v>74</v>
      </c>
      <c r="F788" t="s">
        <v>14651</v>
      </c>
      <c r="G788" t="s">
        <v>74</v>
      </c>
      <c r="H788" t="s">
        <v>74</v>
      </c>
      <c r="I788" t="s">
        <v>14652</v>
      </c>
      <c r="J788" t="s">
        <v>14653</v>
      </c>
      <c r="K788" t="s">
        <v>74</v>
      </c>
      <c r="L788" t="s">
        <v>74</v>
      </c>
      <c r="M788" t="s">
        <v>78</v>
      </c>
      <c r="N788" t="s">
        <v>1246</v>
      </c>
      <c r="O788" t="s">
        <v>74</v>
      </c>
      <c r="P788" t="s">
        <v>74</v>
      </c>
      <c r="Q788" t="s">
        <v>74</v>
      </c>
      <c r="R788" t="s">
        <v>74</v>
      </c>
      <c r="S788" t="s">
        <v>74</v>
      </c>
      <c r="T788" t="s">
        <v>14654</v>
      </c>
      <c r="U788" t="s">
        <v>14655</v>
      </c>
      <c r="V788" t="s">
        <v>14656</v>
      </c>
      <c r="W788" t="s">
        <v>14657</v>
      </c>
      <c r="X788" t="s">
        <v>14658</v>
      </c>
      <c r="Y788" t="s">
        <v>14659</v>
      </c>
      <c r="Z788" t="s">
        <v>14660</v>
      </c>
      <c r="AA788" t="s">
        <v>74</v>
      </c>
      <c r="AB788" t="s">
        <v>74</v>
      </c>
      <c r="AC788" t="s">
        <v>14661</v>
      </c>
      <c r="AD788" t="s">
        <v>14661</v>
      </c>
      <c r="AE788" t="s">
        <v>14662</v>
      </c>
      <c r="AF788" t="s">
        <v>74</v>
      </c>
      <c r="AG788">
        <v>6</v>
      </c>
      <c r="AH788">
        <v>0</v>
      </c>
      <c r="AI788">
        <v>0</v>
      </c>
      <c r="AJ788">
        <v>0</v>
      </c>
      <c r="AK788">
        <v>0</v>
      </c>
      <c r="AL788" t="s">
        <v>117</v>
      </c>
      <c r="AM788" t="s">
        <v>118</v>
      </c>
      <c r="AN788" t="s">
        <v>119</v>
      </c>
      <c r="AO788" t="s">
        <v>14663</v>
      </c>
      <c r="AP788" t="s">
        <v>14664</v>
      </c>
      <c r="AQ788" t="s">
        <v>74</v>
      </c>
      <c r="AR788" t="s">
        <v>14665</v>
      </c>
      <c r="AS788" t="s">
        <v>14666</v>
      </c>
      <c r="AT788" t="s">
        <v>14646</v>
      </c>
      <c r="AU788">
        <v>2023</v>
      </c>
      <c r="AV788" t="s">
        <v>74</v>
      </c>
      <c r="AW788" t="s">
        <v>74</v>
      </c>
      <c r="AX788" t="s">
        <v>74</v>
      </c>
      <c r="AY788" t="s">
        <v>74</v>
      </c>
      <c r="AZ788" t="s">
        <v>74</v>
      </c>
      <c r="BA788" t="s">
        <v>74</v>
      </c>
      <c r="BB788" t="s">
        <v>74</v>
      </c>
      <c r="BC788" t="s">
        <v>74</v>
      </c>
      <c r="BD788" t="s">
        <v>74</v>
      </c>
      <c r="BE788" t="s">
        <v>14667</v>
      </c>
      <c r="BF788" t="str">
        <f>HYPERLINK("http://dx.doi.org/10.1007/s00464-023-10296-3","http://dx.doi.org/10.1007/s00464-023-10296-3")</f>
        <v>http://dx.doi.org/10.1007/s00464-023-10296-3</v>
      </c>
      <c r="BG788" t="s">
        <v>74</v>
      </c>
      <c r="BH788" t="s">
        <v>10650</v>
      </c>
      <c r="BI788">
        <v>7</v>
      </c>
      <c r="BJ788" t="s">
        <v>2373</v>
      </c>
      <c r="BK788" t="s">
        <v>126</v>
      </c>
      <c r="BL788" t="s">
        <v>2373</v>
      </c>
      <c r="BM788" t="s">
        <v>14668</v>
      </c>
      <c r="BN788">
        <v>37605013</v>
      </c>
      <c r="BO788" t="s">
        <v>183</v>
      </c>
      <c r="BP788" t="s">
        <v>74</v>
      </c>
      <c r="BQ788" t="s">
        <v>74</v>
      </c>
      <c r="BR788" t="s">
        <v>99</v>
      </c>
      <c r="BS788" t="s">
        <v>14669</v>
      </c>
      <c r="BT788" t="str">
        <f>HYPERLINK("https%3A%2F%2Fwww.webofscience.com%2Fwos%2Fwoscc%2Ffull-record%2FWOS:001052505700001","View Full Record in Web of Science")</f>
        <v>View Full Record in Web of Science</v>
      </c>
    </row>
    <row r="789" spans="1:72" x14ac:dyDescent="0.15">
      <c r="A789" t="s">
        <v>72</v>
      </c>
      <c r="B789" t="s">
        <v>14670</v>
      </c>
      <c r="C789" t="s">
        <v>74</v>
      </c>
      <c r="D789" t="s">
        <v>74</v>
      </c>
      <c r="E789" t="s">
        <v>74</v>
      </c>
      <c r="F789" t="s">
        <v>14671</v>
      </c>
      <c r="G789" t="s">
        <v>74</v>
      </c>
      <c r="H789" t="s">
        <v>74</v>
      </c>
      <c r="I789" t="s">
        <v>14672</v>
      </c>
      <c r="J789" t="s">
        <v>3877</v>
      </c>
      <c r="K789" t="s">
        <v>74</v>
      </c>
      <c r="L789" t="s">
        <v>74</v>
      </c>
      <c r="M789" t="s">
        <v>78</v>
      </c>
      <c r="N789" t="s">
        <v>1246</v>
      </c>
      <c r="O789" t="s">
        <v>74</v>
      </c>
      <c r="P789" t="s">
        <v>74</v>
      </c>
      <c r="Q789" t="s">
        <v>74</v>
      </c>
      <c r="R789" t="s">
        <v>74</v>
      </c>
      <c r="S789" t="s">
        <v>74</v>
      </c>
      <c r="T789" t="s">
        <v>14673</v>
      </c>
      <c r="U789" t="s">
        <v>14674</v>
      </c>
      <c r="V789" t="s">
        <v>14675</v>
      </c>
      <c r="W789" t="s">
        <v>14676</v>
      </c>
      <c r="X789" t="s">
        <v>14677</v>
      </c>
      <c r="Y789" t="s">
        <v>14678</v>
      </c>
      <c r="Z789" t="s">
        <v>14679</v>
      </c>
      <c r="AA789" t="s">
        <v>74</v>
      </c>
      <c r="AB789" t="s">
        <v>74</v>
      </c>
      <c r="AC789" t="s">
        <v>74</v>
      </c>
      <c r="AD789" t="s">
        <v>74</v>
      </c>
      <c r="AE789" t="s">
        <v>74</v>
      </c>
      <c r="AF789" t="s">
        <v>74</v>
      </c>
      <c r="AG789">
        <v>54</v>
      </c>
      <c r="AH789">
        <v>0</v>
      </c>
      <c r="AI789">
        <v>0</v>
      </c>
      <c r="AJ789">
        <v>0</v>
      </c>
      <c r="AK789">
        <v>0</v>
      </c>
      <c r="AL789" t="s">
        <v>117</v>
      </c>
      <c r="AM789" t="s">
        <v>118</v>
      </c>
      <c r="AN789" t="s">
        <v>119</v>
      </c>
      <c r="AO789" t="s">
        <v>3885</v>
      </c>
      <c r="AP789" t="s">
        <v>3886</v>
      </c>
      <c r="AQ789" t="s">
        <v>74</v>
      </c>
      <c r="AR789" t="s">
        <v>3877</v>
      </c>
      <c r="AS789" t="s">
        <v>3887</v>
      </c>
      <c r="AT789" t="s">
        <v>14646</v>
      </c>
      <c r="AU789">
        <v>2023</v>
      </c>
      <c r="AV789" t="s">
        <v>74</v>
      </c>
      <c r="AW789" t="s">
        <v>74</v>
      </c>
      <c r="AX789" t="s">
        <v>74</v>
      </c>
      <c r="AY789" t="s">
        <v>74</v>
      </c>
      <c r="AZ789" t="s">
        <v>74</v>
      </c>
      <c r="BA789" t="s">
        <v>74</v>
      </c>
      <c r="BB789" t="s">
        <v>74</v>
      </c>
      <c r="BC789" t="s">
        <v>74</v>
      </c>
      <c r="BD789" t="s">
        <v>74</v>
      </c>
      <c r="BE789" t="s">
        <v>14680</v>
      </c>
      <c r="BF789" t="str">
        <f>HYPERLINK("http://dx.doi.org/10.1007/s12311-023-01593-7","http://dx.doi.org/10.1007/s12311-023-01593-7")</f>
        <v>http://dx.doi.org/10.1007/s12311-023-01593-7</v>
      </c>
      <c r="BG789" t="s">
        <v>74</v>
      </c>
      <c r="BH789" t="s">
        <v>10650</v>
      </c>
      <c r="BI789">
        <v>12</v>
      </c>
      <c r="BJ789" t="s">
        <v>3889</v>
      </c>
      <c r="BK789" t="s">
        <v>126</v>
      </c>
      <c r="BL789" t="s">
        <v>2057</v>
      </c>
      <c r="BM789" t="s">
        <v>14681</v>
      </c>
      <c r="BN789">
        <v>37603264</v>
      </c>
      <c r="BO789" t="s">
        <v>74</v>
      </c>
      <c r="BP789" t="s">
        <v>74</v>
      </c>
      <c r="BQ789" t="s">
        <v>74</v>
      </c>
      <c r="BR789" t="s">
        <v>99</v>
      </c>
      <c r="BS789" t="s">
        <v>14682</v>
      </c>
      <c r="BT789" t="str">
        <f>HYPERLINK("https%3A%2F%2Fwww.webofscience.com%2Fwos%2Fwoscc%2Ffull-record%2FWOS:001051999000001","View Full Record in Web of Science")</f>
        <v>View Full Record in Web of Science</v>
      </c>
    </row>
    <row r="790" spans="1:72" x14ac:dyDescent="0.15">
      <c r="A790" t="s">
        <v>72</v>
      </c>
      <c r="B790" t="s">
        <v>14683</v>
      </c>
      <c r="C790" t="s">
        <v>74</v>
      </c>
      <c r="D790" t="s">
        <v>74</v>
      </c>
      <c r="E790" t="s">
        <v>74</v>
      </c>
      <c r="F790" t="s">
        <v>14684</v>
      </c>
      <c r="G790" t="s">
        <v>74</v>
      </c>
      <c r="H790" t="s">
        <v>74</v>
      </c>
      <c r="I790" t="s">
        <v>14685</v>
      </c>
      <c r="J790" t="s">
        <v>8772</v>
      </c>
      <c r="K790" t="s">
        <v>74</v>
      </c>
      <c r="L790" t="s">
        <v>74</v>
      </c>
      <c r="M790" t="s">
        <v>78</v>
      </c>
      <c r="N790" t="s">
        <v>79</v>
      </c>
      <c r="O790" t="s">
        <v>74</v>
      </c>
      <c r="P790" t="s">
        <v>74</v>
      </c>
      <c r="Q790" t="s">
        <v>74</v>
      </c>
      <c r="R790" t="s">
        <v>74</v>
      </c>
      <c r="S790" t="s">
        <v>74</v>
      </c>
      <c r="T790" t="s">
        <v>14686</v>
      </c>
      <c r="U790" t="s">
        <v>14687</v>
      </c>
      <c r="V790" t="s">
        <v>14688</v>
      </c>
      <c r="W790" t="s">
        <v>14689</v>
      </c>
      <c r="X790" t="s">
        <v>10483</v>
      </c>
      <c r="Y790" t="s">
        <v>14690</v>
      </c>
      <c r="Z790" t="s">
        <v>14691</v>
      </c>
      <c r="AA790" t="s">
        <v>74</v>
      </c>
      <c r="AB790" t="s">
        <v>74</v>
      </c>
      <c r="AC790" t="s">
        <v>74</v>
      </c>
      <c r="AD790" t="s">
        <v>74</v>
      </c>
      <c r="AE790" t="s">
        <v>74</v>
      </c>
      <c r="AF790" t="s">
        <v>74</v>
      </c>
      <c r="AG790">
        <v>32</v>
      </c>
      <c r="AH790">
        <v>0</v>
      </c>
      <c r="AI790">
        <v>0</v>
      </c>
      <c r="AJ790">
        <v>0</v>
      </c>
      <c r="AK790">
        <v>0</v>
      </c>
      <c r="AL790" t="s">
        <v>443</v>
      </c>
      <c r="AM790" t="s">
        <v>245</v>
      </c>
      <c r="AN790" t="s">
        <v>444</v>
      </c>
      <c r="AO790" t="s">
        <v>8780</v>
      </c>
      <c r="AP790" t="s">
        <v>74</v>
      </c>
      <c r="AQ790" t="s">
        <v>74</v>
      </c>
      <c r="AR790" t="s">
        <v>8781</v>
      </c>
      <c r="AS790" t="s">
        <v>8782</v>
      </c>
      <c r="AT790" t="s">
        <v>14692</v>
      </c>
      <c r="AU790">
        <v>2023</v>
      </c>
      <c r="AV790">
        <v>23</v>
      </c>
      <c r="AW790">
        <v>1</v>
      </c>
      <c r="AX790" t="s">
        <v>74</v>
      </c>
      <c r="AY790" t="s">
        <v>74</v>
      </c>
      <c r="AZ790" t="s">
        <v>74</v>
      </c>
      <c r="BA790" t="s">
        <v>74</v>
      </c>
      <c r="BB790" t="s">
        <v>74</v>
      </c>
      <c r="BC790" t="s">
        <v>74</v>
      </c>
      <c r="BD790">
        <v>412</v>
      </c>
      <c r="BE790" t="s">
        <v>14693</v>
      </c>
      <c r="BF790" t="str">
        <f>HYPERLINK("http://dx.doi.org/10.1186/s12872-023-03435-0","http://dx.doi.org/10.1186/s12872-023-03435-0")</f>
        <v>http://dx.doi.org/10.1186/s12872-023-03435-0</v>
      </c>
      <c r="BG790" t="s">
        <v>74</v>
      </c>
      <c r="BH790" t="s">
        <v>74</v>
      </c>
      <c r="BI790">
        <v>8</v>
      </c>
      <c r="BJ790" t="s">
        <v>8785</v>
      </c>
      <c r="BK790" t="s">
        <v>126</v>
      </c>
      <c r="BL790" t="s">
        <v>6249</v>
      </c>
      <c r="BM790" t="s">
        <v>14694</v>
      </c>
      <c r="BN790">
        <v>37605157</v>
      </c>
      <c r="BO790" t="s">
        <v>302</v>
      </c>
      <c r="BP790" t="s">
        <v>74</v>
      </c>
      <c r="BQ790" t="s">
        <v>74</v>
      </c>
      <c r="BR790" t="s">
        <v>99</v>
      </c>
      <c r="BS790" t="s">
        <v>14695</v>
      </c>
      <c r="BT790" t="str">
        <f>HYPERLINK("https%3A%2F%2Fwww.webofscience.com%2Fwos%2Fwoscc%2Ffull-record%2FWOS:001052164700001","View Full Record in Web of Science")</f>
        <v>View Full Record in Web of Science</v>
      </c>
    </row>
    <row r="791" spans="1:72" x14ac:dyDescent="0.15">
      <c r="A791" t="s">
        <v>72</v>
      </c>
      <c r="B791" t="s">
        <v>14696</v>
      </c>
      <c r="C791" t="s">
        <v>74</v>
      </c>
      <c r="D791" t="s">
        <v>74</v>
      </c>
      <c r="E791" t="s">
        <v>74</v>
      </c>
      <c r="F791" t="s">
        <v>14697</v>
      </c>
      <c r="G791" t="s">
        <v>74</v>
      </c>
      <c r="H791" t="s">
        <v>74</v>
      </c>
      <c r="I791" t="s">
        <v>14698</v>
      </c>
      <c r="J791" t="s">
        <v>14699</v>
      </c>
      <c r="K791" t="s">
        <v>74</v>
      </c>
      <c r="L791" t="s">
        <v>74</v>
      </c>
      <c r="M791" t="s">
        <v>78</v>
      </c>
      <c r="N791" t="s">
        <v>1246</v>
      </c>
      <c r="O791" t="s">
        <v>74</v>
      </c>
      <c r="P791" t="s">
        <v>74</v>
      </c>
      <c r="Q791" t="s">
        <v>74</v>
      </c>
      <c r="R791" t="s">
        <v>74</v>
      </c>
      <c r="S791" t="s">
        <v>74</v>
      </c>
      <c r="T791" t="s">
        <v>14700</v>
      </c>
      <c r="U791" t="s">
        <v>14701</v>
      </c>
      <c r="V791" t="s">
        <v>14702</v>
      </c>
      <c r="W791" t="s">
        <v>14703</v>
      </c>
      <c r="X791" t="s">
        <v>14704</v>
      </c>
      <c r="Y791" t="s">
        <v>14705</v>
      </c>
      <c r="Z791" t="s">
        <v>14706</v>
      </c>
      <c r="AA791" t="s">
        <v>74</v>
      </c>
      <c r="AB791" t="s">
        <v>74</v>
      </c>
      <c r="AC791" t="s">
        <v>74</v>
      </c>
      <c r="AD791" t="s">
        <v>74</v>
      </c>
      <c r="AE791" t="s">
        <v>74</v>
      </c>
      <c r="AF791" t="s">
        <v>74</v>
      </c>
      <c r="AG791">
        <v>38</v>
      </c>
      <c r="AH791">
        <v>0</v>
      </c>
      <c r="AI791">
        <v>0</v>
      </c>
      <c r="AJ791">
        <v>6</v>
      </c>
      <c r="AK791">
        <v>6</v>
      </c>
      <c r="AL791" t="s">
        <v>117</v>
      </c>
      <c r="AM791" t="s">
        <v>627</v>
      </c>
      <c r="AN791" t="s">
        <v>628</v>
      </c>
      <c r="AO791" t="s">
        <v>14707</v>
      </c>
      <c r="AP791" t="s">
        <v>14708</v>
      </c>
      <c r="AQ791" t="s">
        <v>74</v>
      </c>
      <c r="AR791" t="s">
        <v>14709</v>
      </c>
      <c r="AS791" t="s">
        <v>14710</v>
      </c>
      <c r="AT791" t="s">
        <v>14646</v>
      </c>
      <c r="AU791">
        <v>2023</v>
      </c>
      <c r="AV791" t="s">
        <v>74</v>
      </c>
      <c r="AW791" t="s">
        <v>74</v>
      </c>
      <c r="AX791" t="s">
        <v>74</v>
      </c>
      <c r="AY791" t="s">
        <v>74</v>
      </c>
      <c r="AZ791" t="s">
        <v>74</v>
      </c>
      <c r="BA791" t="s">
        <v>74</v>
      </c>
      <c r="BB791" t="s">
        <v>74</v>
      </c>
      <c r="BC791" t="s">
        <v>74</v>
      </c>
      <c r="BD791" t="s">
        <v>74</v>
      </c>
      <c r="BE791" t="s">
        <v>14711</v>
      </c>
      <c r="BF791" t="str">
        <f>HYPERLINK("http://dx.doi.org/10.1007/s11276-023-03454-x","http://dx.doi.org/10.1007/s11276-023-03454-x")</f>
        <v>http://dx.doi.org/10.1007/s11276-023-03454-x</v>
      </c>
      <c r="BG791" t="s">
        <v>74</v>
      </c>
      <c r="BH791" t="s">
        <v>10650</v>
      </c>
      <c r="BI791">
        <v>17</v>
      </c>
      <c r="BJ791" t="s">
        <v>14712</v>
      </c>
      <c r="BK791" t="s">
        <v>126</v>
      </c>
      <c r="BL791" t="s">
        <v>14713</v>
      </c>
      <c r="BM791" t="s">
        <v>14714</v>
      </c>
      <c r="BN791" t="s">
        <v>74</v>
      </c>
      <c r="BO791" t="s">
        <v>74</v>
      </c>
      <c r="BP791" t="s">
        <v>74</v>
      </c>
      <c r="BQ791" t="s">
        <v>74</v>
      </c>
      <c r="BR791" t="s">
        <v>99</v>
      </c>
      <c r="BS791" t="s">
        <v>14715</v>
      </c>
      <c r="BT791" t="str">
        <f>HYPERLINK("https%3A%2F%2Fwww.webofscience.com%2Fwos%2Fwoscc%2Ffull-record%2FWOS:001052511800005","View Full Record in Web of Science")</f>
        <v>View Full Record in Web of Science</v>
      </c>
    </row>
    <row r="792" spans="1:72" x14ac:dyDescent="0.15">
      <c r="A792" t="s">
        <v>72</v>
      </c>
      <c r="B792" t="s">
        <v>14716</v>
      </c>
      <c r="C792" t="s">
        <v>74</v>
      </c>
      <c r="D792" t="s">
        <v>74</v>
      </c>
      <c r="E792" t="s">
        <v>74</v>
      </c>
      <c r="F792" t="s">
        <v>14717</v>
      </c>
      <c r="G792" t="s">
        <v>74</v>
      </c>
      <c r="H792" t="s">
        <v>74</v>
      </c>
      <c r="I792" t="s">
        <v>14718</v>
      </c>
      <c r="J792" t="s">
        <v>14719</v>
      </c>
      <c r="K792" t="s">
        <v>74</v>
      </c>
      <c r="L792" t="s">
        <v>74</v>
      </c>
      <c r="M792" t="s">
        <v>78</v>
      </c>
      <c r="N792" t="s">
        <v>1246</v>
      </c>
      <c r="O792" t="s">
        <v>74</v>
      </c>
      <c r="P792" t="s">
        <v>74</v>
      </c>
      <c r="Q792" t="s">
        <v>74</v>
      </c>
      <c r="R792" t="s">
        <v>74</v>
      </c>
      <c r="S792" t="s">
        <v>74</v>
      </c>
      <c r="T792" t="s">
        <v>74</v>
      </c>
      <c r="U792" t="s">
        <v>14720</v>
      </c>
      <c r="V792" t="s">
        <v>14721</v>
      </c>
      <c r="W792" t="s">
        <v>14722</v>
      </c>
      <c r="X792" t="s">
        <v>14723</v>
      </c>
      <c r="Y792" t="s">
        <v>14724</v>
      </c>
      <c r="Z792" t="s">
        <v>14725</v>
      </c>
      <c r="AA792" t="s">
        <v>14726</v>
      </c>
      <c r="AB792" t="s">
        <v>14727</v>
      </c>
      <c r="AC792" t="s">
        <v>14728</v>
      </c>
      <c r="AD792" t="s">
        <v>14729</v>
      </c>
      <c r="AE792" t="s">
        <v>14730</v>
      </c>
      <c r="AF792" t="s">
        <v>74</v>
      </c>
      <c r="AG792">
        <v>39</v>
      </c>
      <c r="AH792">
        <v>0</v>
      </c>
      <c r="AI792">
        <v>0</v>
      </c>
      <c r="AJ792">
        <v>0</v>
      </c>
      <c r="AK792">
        <v>0</v>
      </c>
      <c r="AL792" t="s">
        <v>1295</v>
      </c>
      <c r="AM792" t="s">
        <v>1296</v>
      </c>
      <c r="AN792" t="s">
        <v>1297</v>
      </c>
      <c r="AO792" t="s">
        <v>14731</v>
      </c>
      <c r="AP792" t="s">
        <v>14732</v>
      </c>
      <c r="AQ792" t="s">
        <v>74</v>
      </c>
      <c r="AR792" t="s">
        <v>14733</v>
      </c>
      <c r="AS792" t="s">
        <v>14734</v>
      </c>
      <c r="AT792" t="s">
        <v>14646</v>
      </c>
      <c r="AU792">
        <v>2023</v>
      </c>
      <c r="AV792" t="s">
        <v>74</v>
      </c>
      <c r="AW792" t="s">
        <v>74</v>
      </c>
      <c r="AX792" t="s">
        <v>74</v>
      </c>
      <c r="AY792" t="s">
        <v>74</v>
      </c>
      <c r="AZ792" t="s">
        <v>74</v>
      </c>
      <c r="BA792" t="s">
        <v>74</v>
      </c>
      <c r="BB792" t="s">
        <v>74</v>
      </c>
      <c r="BC792" t="s">
        <v>74</v>
      </c>
      <c r="BD792" t="s">
        <v>74</v>
      </c>
      <c r="BE792" t="s">
        <v>14735</v>
      </c>
      <c r="BF792" t="str">
        <f>HYPERLINK("http://dx.doi.org/10.1007/s13348-023-00413-9","http://dx.doi.org/10.1007/s13348-023-00413-9")</f>
        <v>http://dx.doi.org/10.1007/s13348-023-00413-9</v>
      </c>
      <c r="BG792" t="s">
        <v>74</v>
      </c>
      <c r="BH792" t="s">
        <v>10650</v>
      </c>
      <c r="BI792">
        <v>28</v>
      </c>
      <c r="BJ792" t="s">
        <v>227</v>
      </c>
      <c r="BK792" t="s">
        <v>126</v>
      </c>
      <c r="BL792" t="s">
        <v>228</v>
      </c>
      <c r="BM792" t="s">
        <v>14736</v>
      </c>
      <c r="BN792" t="s">
        <v>74</v>
      </c>
      <c r="BO792" t="s">
        <v>1328</v>
      </c>
      <c r="BP792" t="s">
        <v>74</v>
      </c>
      <c r="BQ792" t="s">
        <v>74</v>
      </c>
      <c r="BR792" t="s">
        <v>99</v>
      </c>
      <c r="BS792" t="s">
        <v>14737</v>
      </c>
      <c r="BT792" t="str">
        <f>HYPERLINK("https%3A%2F%2Fwww.webofscience.com%2Fwos%2Fwoscc%2Ffull-record%2FWOS:001052533700002","View Full Record in Web of Science")</f>
        <v>View Full Record in Web of Science</v>
      </c>
    </row>
    <row r="793" spans="1:72" x14ac:dyDescent="0.15">
      <c r="A793" t="s">
        <v>72</v>
      </c>
      <c r="B793" t="s">
        <v>14738</v>
      </c>
      <c r="C793" t="s">
        <v>74</v>
      </c>
      <c r="D793" t="s">
        <v>74</v>
      </c>
      <c r="E793" t="s">
        <v>74</v>
      </c>
      <c r="F793" t="s">
        <v>14739</v>
      </c>
      <c r="G793" t="s">
        <v>74</v>
      </c>
      <c r="H793" t="s">
        <v>74</v>
      </c>
      <c r="I793" t="s">
        <v>14740</v>
      </c>
      <c r="J793" t="s">
        <v>6647</v>
      </c>
      <c r="K793" t="s">
        <v>74</v>
      </c>
      <c r="L793" t="s">
        <v>74</v>
      </c>
      <c r="M793" t="s">
        <v>78</v>
      </c>
      <c r="N793" t="s">
        <v>2174</v>
      </c>
      <c r="O793" t="s">
        <v>74</v>
      </c>
      <c r="P793" t="s">
        <v>74</v>
      </c>
      <c r="Q793" t="s">
        <v>74</v>
      </c>
      <c r="R793" t="s">
        <v>74</v>
      </c>
      <c r="S793" t="s">
        <v>74</v>
      </c>
      <c r="T793" t="s">
        <v>14741</v>
      </c>
      <c r="U793" t="s">
        <v>14742</v>
      </c>
      <c r="V793" t="s">
        <v>14743</v>
      </c>
      <c r="W793" t="s">
        <v>14744</v>
      </c>
      <c r="X793" t="s">
        <v>14745</v>
      </c>
      <c r="Y793" t="s">
        <v>14746</v>
      </c>
      <c r="Z793" t="s">
        <v>14747</v>
      </c>
      <c r="AA793" t="s">
        <v>74</v>
      </c>
      <c r="AB793" t="s">
        <v>14748</v>
      </c>
      <c r="AC793" t="s">
        <v>74</v>
      </c>
      <c r="AD793" t="s">
        <v>74</v>
      </c>
      <c r="AE793" t="s">
        <v>74</v>
      </c>
      <c r="AF793" t="s">
        <v>74</v>
      </c>
      <c r="AG793">
        <v>54</v>
      </c>
      <c r="AH793">
        <v>0</v>
      </c>
      <c r="AI793">
        <v>0</v>
      </c>
      <c r="AJ793">
        <v>4</v>
      </c>
      <c r="AK793">
        <v>4</v>
      </c>
      <c r="AL793" t="s">
        <v>117</v>
      </c>
      <c r="AM793" t="s">
        <v>118</v>
      </c>
      <c r="AN793" t="s">
        <v>119</v>
      </c>
      <c r="AO793" t="s">
        <v>6659</v>
      </c>
      <c r="AP793" t="s">
        <v>6660</v>
      </c>
      <c r="AQ793" t="s">
        <v>74</v>
      </c>
      <c r="AR793" t="s">
        <v>6661</v>
      </c>
      <c r="AS793" t="s">
        <v>6662</v>
      </c>
      <c r="AT793" t="s">
        <v>14646</v>
      </c>
      <c r="AU793">
        <v>2023</v>
      </c>
      <c r="AV793" t="s">
        <v>74</v>
      </c>
      <c r="AW793" t="s">
        <v>74</v>
      </c>
      <c r="AX793" t="s">
        <v>74</v>
      </c>
      <c r="AY793" t="s">
        <v>74</v>
      </c>
      <c r="AZ793" t="s">
        <v>74</v>
      </c>
      <c r="BA793" t="s">
        <v>74</v>
      </c>
      <c r="BB793" t="s">
        <v>74</v>
      </c>
      <c r="BC793" t="s">
        <v>74</v>
      </c>
      <c r="BD793" t="s">
        <v>74</v>
      </c>
      <c r="BE793" t="s">
        <v>14749</v>
      </c>
      <c r="BF793" t="str">
        <f>HYPERLINK("http://dx.doi.org/10.1007/s10639-023-12141-5","http://dx.doi.org/10.1007/s10639-023-12141-5")</f>
        <v>http://dx.doi.org/10.1007/s10639-023-12141-5</v>
      </c>
      <c r="BG793" t="s">
        <v>74</v>
      </c>
      <c r="BH793" t="s">
        <v>10650</v>
      </c>
      <c r="BI793">
        <v>21</v>
      </c>
      <c r="BJ793" t="s">
        <v>3226</v>
      </c>
      <c r="BK793" t="s">
        <v>425</v>
      </c>
      <c r="BL793" t="s">
        <v>3226</v>
      </c>
      <c r="BM793" t="s">
        <v>14750</v>
      </c>
      <c r="BN793" t="s">
        <v>74</v>
      </c>
      <c r="BO793" t="s">
        <v>74</v>
      </c>
      <c r="BP793" t="s">
        <v>74</v>
      </c>
      <c r="BQ793" t="s">
        <v>74</v>
      </c>
      <c r="BR793" t="s">
        <v>99</v>
      </c>
      <c r="BS793" t="s">
        <v>14751</v>
      </c>
      <c r="BT793" t="str">
        <f>HYPERLINK("https%3A%2F%2Fwww.webofscience.com%2Fwos%2Fwoscc%2Ffull-record%2FWOS:001051149600001","View Full Record in Web of Science")</f>
        <v>View Full Record in Web of Science</v>
      </c>
    </row>
    <row r="794" spans="1:72" x14ac:dyDescent="0.15">
      <c r="A794" t="s">
        <v>72</v>
      </c>
      <c r="B794" t="s">
        <v>14752</v>
      </c>
      <c r="C794" t="s">
        <v>74</v>
      </c>
      <c r="D794" t="s">
        <v>74</v>
      </c>
      <c r="E794" t="s">
        <v>74</v>
      </c>
      <c r="F794" t="s">
        <v>14753</v>
      </c>
      <c r="G794" t="s">
        <v>74</v>
      </c>
      <c r="H794" t="s">
        <v>74</v>
      </c>
      <c r="I794" t="s">
        <v>14754</v>
      </c>
      <c r="J794" t="s">
        <v>14755</v>
      </c>
      <c r="K794" t="s">
        <v>74</v>
      </c>
      <c r="L794" t="s">
        <v>74</v>
      </c>
      <c r="M794" t="s">
        <v>78</v>
      </c>
      <c r="N794" t="s">
        <v>79</v>
      </c>
      <c r="O794" t="s">
        <v>74</v>
      </c>
      <c r="P794" t="s">
        <v>74</v>
      </c>
      <c r="Q794" t="s">
        <v>74</v>
      </c>
      <c r="R794" t="s">
        <v>74</v>
      </c>
      <c r="S794" t="s">
        <v>74</v>
      </c>
      <c r="T794" t="s">
        <v>14756</v>
      </c>
      <c r="U794" t="s">
        <v>14757</v>
      </c>
      <c r="V794" t="s">
        <v>14758</v>
      </c>
      <c r="W794" t="s">
        <v>14759</v>
      </c>
      <c r="X794" t="s">
        <v>14760</v>
      </c>
      <c r="Y794" t="s">
        <v>14761</v>
      </c>
      <c r="Z794" t="s">
        <v>14762</v>
      </c>
      <c r="AA794" t="s">
        <v>74</v>
      </c>
      <c r="AB794" t="s">
        <v>74</v>
      </c>
      <c r="AC794" t="s">
        <v>74</v>
      </c>
      <c r="AD794" t="s">
        <v>74</v>
      </c>
      <c r="AE794" t="s">
        <v>74</v>
      </c>
      <c r="AF794" t="s">
        <v>74</v>
      </c>
      <c r="AG794">
        <v>72</v>
      </c>
      <c r="AH794">
        <v>0</v>
      </c>
      <c r="AI794">
        <v>0</v>
      </c>
      <c r="AJ794">
        <v>1</v>
      </c>
      <c r="AK794">
        <v>1</v>
      </c>
      <c r="AL794" t="s">
        <v>117</v>
      </c>
      <c r="AM794" t="s">
        <v>627</v>
      </c>
      <c r="AN794" t="s">
        <v>628</v>
      </c>
      <c r="AO794" t="s">
        <v>14763</v>
      </c>
      <c r="AP794" t="s">
        <v>14764</v>
      </c>
      <c r="AQ794" t="s">
        <v>74</v>
      </c>
      <c r="AR794" t="s">
        <v>14765</v>
      </c>
      <c r="AS794" t="s">
        <v>14766</v>
      </c>
      <c r="AT794" t="s">
        <v>1275</v>
      </c>
      <c r="AU794">
        <v>2023</v>
      </c>
      <c r="AV794">
        <v>24</v>
      </c>
      <c r="AW794">
        <v>7</v>
      </c>
      <c r="AX794" t="s">
        <v>74</v>
      </c>
      <c r="AY794" t="s">
        <v>74</v>
      </c>
      <c r="AZ794" t="s">
        <v>74</v>
      </c>
      <c r="BA794" t="s">
        <v>74</v>
      </c>
      <c r="BB794">
        <v>2261</v>
      </c>
      <c r="BC794">
        <v>2289</v>
      </c>
      <c r="BD794" t="s">
        <v>74</v>
      </c>
      <c r="BE794" t="s">
        <v>14767</v>
      </c>
      <c r="BF794" t="str">
        <f>HYPERLINK("http://dx.doi.org/10.1007/s10902-023-00679-7","http://dx.doi.org/10.1007/s10902-023-00679-7")</f>
        <v>http://dx.doi.org/10.1007/s10902-023-00679-7</v>
      </c>
      <c r="BG794" t="s">
        <v>74</v>
      </c>
      <c r="BH794" t="s">
        <v>10650</v>
      </c>
      <c r="BI794">
        <v>29</v>
      </c>
      <c r="BJ794" t="s">
        <v>14768</v>
      </c>
      <c r="BK794" t="s">
        <v>425</v>
      </c>
      <c r="BL794" t="s">
        <v>14769</v>
      </c>
      <c r="BM794" t="s">
        <v>14770</v>
      </c>
      <c r="BN794" t="s">
        <v>74</v>
      </c>
      <c r="BO794" t="s">
        <v>74</v>
      </c>
      <c r="BP794" t="s">
        <v>74</v>
      </c>
      <c r="BQ794" t="s">
        <v>74</v>
      </c>
      <c r="BR794" t="s">
        <v>99</v>
      </c>
      <c r="BS794" t="s">
        <v>14771</v>
      </c>
      <c r="BT794" t="str">
        <f>HYPERLINK("https%3A%2F%2Fwww.webofscience.com%2Fwos%2Fwoscc%2Ffull-record%2FWOS:001051992000001","View Full Record in Web of Science")</f>
        <v>View Full Record in Web of Science</v>
      </c>
    </row>
    <row r="795" spans="1:72" x14ac:dyDescent="0.15">
      <c r="A795" t="s">
        <v>72</v>
      </c>
      <c r="B795" t="s">
        <v>14772</v>
      </c>
      <c r="C795" t="s">
        <v>74</v>
      </c>
      <c r="D795" t="s">
        <v>74</v>
      </c>
      <c r="E795" t="s">
        <v>74</v>
      </c>
      <c r="F795" t="s">
        <v>14773</v>
      </c>
      <c r="G795" t="s">
        <v>74</v>
      </c>
      <c r="H795" t="s">
        <v>74</v>
      </c>
      <c r="I795" t="s">
        <v>14774</v>
      </c>
      <c r="J795" t="s">
        <v>14775</v>
      </c>
      <c r="K795" t="s">
        <v>74</v>
      </c>
      <c r="L795" t="s">
        <v>74</v>
      </c>
      <c r="M795" t="s">
        <v>78</v>
      </c>
      <c r="N795" t="s">
        <v>5945</v>
      </c>
      <c r="O795" t="s">
        <v>74</v>
      </c>
      <c r="P795" t="s">
        <v>74</v>
      </c>
      <c r="Q795" t="s">
        <v>74</v>
      </c>
      <c r="R795" t="s">
        <v>74</v>
      </c>
      <c r="S795" t="s">
        <v>74</v>
      </c>
      <c r="T795" t="s">
        <v>74</v>
      </c>
      <c r="U795" t="s">
        <v>74</v>
      </c>
      <c r="V795" t="s">
        <v>74</v>
      </c>
      <c r="W795" t="s">
        <v>14776</v>
      </c>
      <c r="X795" t="s">
        <v>14777</v>
      </c>
      <c r="Y795" t="s">
        <v>14778</v>
      </c>
      <c r="Z795" t="s">
        <v>14779</v>
      </c>
      <c r="AA795" t="s">
        <v>74</v>
      </c>
      <c r="AB795" t="s">
        <v>74</v>
      </c>
      <c r="AC795" t="s">
        <v>74</v>
      </c>
      <c r="AD795" t="s">
        <v>74</v>
      </c>
      <c r="AE795" t="s">
        <v>74</v>
      </c>
      <c r="AF795" t="s">
        <v>74</v>
      </c>
      <c r="AG795">
        <v>1</v>
      </c>
      <c r="AH795">
        <v>0</v>
      </c>
      <c r="AI795">
        <v>0</v>
      </c>
      <c r="AJ795">
        <v>0</v>
      </c>
      <c r="AK795">
        <v>0</v>
      </c>
      <c r="AL795" t="s">
        <v>172</v>
      </c>
      <c r="AM795" t="s">
        <v>173</v>
      </c>
      <c r="AN795" t="s">
        <v>174</v>
      </c>
      <c r="AO795" t="s">
        <v>14780</v>
      </c>
      <c r="AP795" t="s">
        <v>14781</v>
      </c>
      <c r="AQ795" t="s">
        <v>74</v>
      </c>
      <c r="AR795" t="s">
        <v>14782</v>
      </c>
      <c r="AS795" t="s">
        <v>14783</v>
      </c>
      <c r="AT795" t="s">
        <v>14646</v>
      </c>
      <c r="AU795">
        <v>2023</v>
      </c>
      <c r="AV795" t="s">
        <v>74</v>
      </c>
      <c r="AW795" t="s">
        <v>74</v>
      </c>
      <c r="AX795" t="s">
        <v>74</v>
      </c>
      <c r="AY795" t="s">
        <v>74</v>
      </c>
      <c r="AZ795" t="s">
        <v>74</v>
      </c>
      <c r="BA795" t="s">
        <v>74</v>
      </c>
      <c r="BB795" t="s">
        <v>74</v>
      </c>
      <c r="BC795" t="s">
        <v>74</v>
      </c>
      <c r="BD795" t="s">
        <v>74</v>
      </c>
      <c r="BE795" t="s">
        <v>14784</v>
      </c>
      <c r="BF795" t="str">
        <f>HYPERLINK("http://dx.doi.org/10.1007/s40653-023-00565-7","http://dx.doi.org/10.1007/s40653-023-00565-7")</f>
        <v>http://dx.doi.org/10.1007/s40653-023-00565-7</v>
      </c>
      <c r="BG795" t="s">
        <v>74</v>
      </c>
      <c r="BH795" t="s">
        <v>10650</v>
      </c>
      <c r="BI795">
        <v>3</v>
      </c>
      <c r="BJ795" t="s">
        <v>14785</v>
      </c>
      <c r="BK795" t="s">
        <v>97</v>
      </c>
      <c r="BL795" t="s">
        <v>14785</v>
      </c>
      <c r="BM795" t="s">
        <v>14786</v>
      </c>
      <c r="BN795" t="s">
        <v>74</v>
      </c>
      <c r="BO795" t="s">
        <v>762</v>
      </c>
      <c r="BP795" t="s">
        <v>74</v>
      </c>
      <c r="BQ795" t="s">
        <v>74</v>
      </c>
      <c r="BR795" t="s">
        <v>99</v>
      </c>
      <c r="BS795" t="s">
        <v>14787</v>
      </c>
      <c r="BT795" t="str">
        <f>HYPERLINK("https%3A%2F%2Fwww.webofscience.com%2Fwos%2Fwoscc%2Ffull-record%2FWOS:001052503700002","View Full Record in Web of Science")</f>
        <v>View Full Record in Web of Science</v>
      </c>
    </row>
    <row r="796" spans="1:72" x14ac:dyDescent="0.15">
      <c r="A796" t="s">
        <v>72</v>
      </c>
      <c r="B796" t="s">
        <v>14788</v>
      </c>
      <c r="C796" t="s">
        <v>74</v>
      </c>
      <c r="D796" t="s">
        <v>74</v>
      </c>
      <c r="E796" t="s">
        <v>74</v>
      </c>
      <c r="F796" t="s">
        <v>14789</v>
      </c>
      <c r="G796" t="s">
        <v>74</v>
      </c>
      <c r="H796" t="s">
        <v>74</v>
      </c>
      <c r="I796" t="s">
        <v>14790</v>
      </c>
      <c r="J796" t="s">
        <v>5922</v>
      </c>
      <c r="K796" t="s">
        <v>74</v>
      </c>
      <c r="L796" t="s">
        <v>74</v>
      </c>
      <c r="M796" t="s">
        <v>78</v>
      </c>
      <c r="N796" t="s">
        <v>1246</v>
      </c>
      <c r="O796" t="s">
        <v>74</v>
      </c>
      <c r="P796" t="s">
        <v>74</v>
      </c>
      <c r="Q796" t="s">
        <v>74</v>
      </c>
      <c r="R796" t="s">
        <v>74</v>
      </c>
      <c r="S796" t="s">
        <v>74</v>
      </c>
      <c r="T796" t="s">
        <v>14791</v>
      </c>
      <c r="U796" t="s">
        <v>14792</v>
      </c>
      <c r="V796" t="s">
        <v>14793</v>
      </c>
      <c r="W796" t="s">
        <v>14794</v>
      </c>
      <c r="X796" t="s">
        <v>14795</v>
      </c>
      <c r="Y796" t="s">
        <v>14796</v>
      </c>
      <c r="Z796" t="s">
        <v>14797</v>
      </c>
      <c r="AA796" t="s">
        <v>74</v>
      </c>
      <c r="AB796" t="s">
        <v>74</v>
      </c>
      <c r="AC796" t="s">
        <v>649</v>
      </c>
      <c r="AD796" t="s">
        <v>649</v>
      </c>
      <c r="AE796" t="s">
        <v>14798</v>
      </c>
      <c r="AF796" t="s">
        <v>74</v>
      </c>
      <c r="AG796">
        <v>40</v>
      </c>
      <c r="AH796">
        <v>0</v>
      </c>
      <c r="AI796">
        <v>0</v>
      </c>
      <c r="AJ796">
        <v>0</v>
      </c>
      <c r="AK796">
        <v>0</v>
      </c>
      <c r="AL796" t="s">
        <v>117</v>
      </c>
      <c r="AM796" t="s">
        <v>118</v>
      </c>
      <c r="AN796" t="s">
        <v>119</v>
      </c>
      <c r="AO796" t="s">
        <v>5933</v>
      </c>
      <c r="AP796" t="s">
        <v>5934</v>
      </c>
      <c r="AQ796" t="s">
        <v>74</v>
      </c>
      <c r="AR796" t="s">
        <v>5935</v>
      </c>
      <c r="AS796" t="s">
        <v>5936</v>
      </c>
      <c r="AT796" t="s">
        <v>14646</v>
      </c>
      <c r="AU796">
        <v>2023</v>
      </c>
      <c r="AV796" t="s">
        <v>74</v>
      </c>
      <c r="AW796" t="s">
        <v>74</v>
      </c>
      <c r="AX796" t="s">
        <v>74</v>
      </c>
      <c r="AY796" t="s">
        <v>74</v>
      </c>
      <c r="AZ796" t="s">
        <v>74</v>
      </c>
      <c r="BA796" t="s">
        <v>74</v>
      </c>
      <c r="BB796" t="s">
        <v>74</v>
      </c>
      <c r="BC796" t="s">
        <v>74</v>
      </c>
      <c r="BD796" t="s">
        <v>74</v>
      </c>
      <c r="BE796" t="s">
        <v>14799</v>
      </c>
      <c r="BF796" t="str">
        <f>HYPERLINK("http://dx.doi.org/10.1007/s00405-023-08100-y","http://dx.doi.org/10.1007/s00405-023-08100-y")</f>
        <v>http://dx.doi.org/10.1007/s00405-023-08100-y</v>
      </c>
      <c r="BG796" t="s">
        <v>74</v>
      </c>
      <c r="BH796" t="s">
        <v>10650</v>
      </c>
      <c r="BI796">
        <v>11</v>
      </c>
      <c r="BJ796" t="s">
        <v>5938</v>
      </c>
      <c r="BK796" t="s">
        <v>126</v>
      </c>
      <c r="BL796" t="s">
        <v>5938</v>
      </c>
      <c r="BM796" t="s">
        <v>14800</v>
      </c>
      <c r="BN796">
        <v>37603051</v>
      </c>
      <c r="BO796" t="s">
        <v>183</v>
      </c>
      <c r="BP796" t="s">
        <v>74</v>
      </c>
      <c r="BQ796" t="s">
        <v>74</v>
      </c>
      <c r="BR796" t="s">
        <v>99</v>
      </c>
      <c r="BS796" t="s">
        <v>14801</v>
      </c>
      <c r="BT796" t="str">
        <f>HYPERLINK("https%3A%2F%2Fwww.webofscience.com%2Fwos%2Fwoscc%2Ffull-record%2FWOS:001052021100001","View Full Record in Web of Science")</f>
        <v>View Full Record in Web of Science</v>
      </c>
    </row>
    <row r="797" spans="1:72" x14ac:dyDescent="0.15">
      <c r="A797" t="s">
        <v>72</v>
      </c>
      <c r="B797" t="s">
        <v>14802</v>
      </c>
      <c r="C797" t="s">
        <v>74</v>
      </c>
      <c r="D797" t="s">
        <v>74</v>
      </c>
      <c r="E797" t="s">
        <v>74</v>
      </c>
      <c r="F797" t="s">
        <v>14803</v>
      </c>
      <c r="G797" t="s">
        <v>74</v>
      </c>
      <c r="H797" t="s">
        <v>74</v>
      </c>
      <c r="I797" t="s">
        <v>14804</v>
      </c>
      <c r="J797" t="s">
        <v>14805</v>
      </c>
      <c r="K797" t="s">
        <v>74</v>
      </c>
      <c r="L797" t="s">
        <v>74</v>
      </c>
      <c r="M797" t="s">
        <v>78</v>
      </c>
      <c r="N797" t="s">
        <v>79</v>
      </c>
      <c r="O797" t="s">
        <v>74</v>
      </c>
      <c r="P797" t="s">
        <v>74</v>
      </c>
      <c r="Q797" t="s">
        <v>74</v>
      </c>
      <c r="R797" t="s">
        <v>74</v>
      </c>
      <c r="S797" t="s">
        <v>74</v>
      </c>
      <c r="T797" t="s">
        <v>14806</v>
      </c>
      <c r="U797" t="s">
        <v>14807</v>
      </c>
      <c r="V797" t="s">
        <v>14808</v>
      </c>
      <c r="W797" t="s">
        <v>14809</v>
      </c>
      <c r="X797" t="s">
        <v>14810</v>
      </c>
      <c r="Y797" t="s">
        <v>14811</v>
      </c>
      <c r="Z797" t="s">
        <v>14812</v>
      </c>
      <c r="AA797" t="s">
        <v>74</v>
      </c>
      <c r="AB797" t="s">
        <v>74</v>
      </c>
      <c r="AC797" t="s">
        <v>4809</v>
      </c>
      <c r="AD797" t="s">
        <v>4809</v>
      </c>
      <c r="AE797" t="s">
        <v>14813</v>
      </c>
      <c r="AF797" t="s">
        <v>74</v>
      </c>
      <c r="AG797">
        <v>55</v>
      </c>
      <c r="AH797">
        <v>0</v>
      </c>
      <c r="AI797">
        <v>0</v>
      </c>
      <c r="AJ797">
        <v>0</v>
      </c>
      <c r="AK797">
        <v>0</v>
      </c>
      <c r="AL797" t="s">
        <v>443</v>
      </c>
      <c r="AM797" t="s">
        <v>245</v>
      </c>
      <c r="AN797" t="s">
        <v>444</v>
      </c>
      <c r="AO797" t="s">
        <v>74</v>
      </c>
      <c r="AP797" t="s">
        <v>14814</v>
      </c>
      <c r="AQ797" t="s">
        <v>74</v>
      </c>
      <c r="AR797" t="s">
        <v>14815</v>
      </c>
      <c r="AS797" t="s">
        <v>14816</v>
      </c>
      <c r="AT797" t="s">
        <v>14692</v>
      </c>
      <c r="AU797">
        <v>2023</v>
      </c>
      <c r="AV797">
        <v>23</v>
      </c>
      <c r="AW797">
        <v>1</v>
      </c>
      <c r="AX797" t="s">
        <v>74</v>
      </c>
      <c r="AY797" t="s">
        <v>74</v>
      </c>
      <c r="AZ797" t="s">
        <v>74</v>
      </c>
      <c r="BA797" t="s">
        <v>74</v>
      </c>
      <c r="BB797" t="s">
        <v>74</v>
      </c>
      <c r="BC797" t="s">
        <v>74</v>
      </c>
      <c r="BD797">
        <v>190</v>
      </c>
      <c r="BE797" t="s">
        <v>14817</v>
      </c>
      <c r="BF797" t="str">
        <f>HYPERLINK("http://dx.doi.org/10.1186/s12874-023-02013-4","http://dx.doi.org/10.1186/s12874-023-02013-4")</f>
        <v>http://dx.doi.org/10.1186/s12874-023-02013-4</v>
      </c>
      <c r="BG797" t="s">
        <v>74</v>
      </c>
      <c r="BH797" t="s">
        <v>74</v>
      </c>
      <c r="BI797">
        <v>15</v>
      </c>
      <c r="BJ797" t="s">
        <v>11725</v>
      </c>
      <c r="BK797" t="s">
        <v>126</v>
      </c>
      <c r="BL797" t="s">
        <v>11725</v>
      </c>
      <c r="BM797" t="s">
        <v>14818</v>
      </c>
      <c r="BN797">
        <v>37605107</v>
      </c>
      <c r="BO797" t="s">
        <v>302</v>
      </c>
      <c r="BP797" t="s">
        <v>74</v>
      </c>
      <c r="BQ797" t="s">
        <v>74</v>
      </c>
      <c r="BR797" t="s">
        <v>99</v>
      </c>
      <c r="BS797" t="s">
        <v>14819</v>
      </c>
      <c r="BT797" t="str">
        <f>HYPERLINK("https%3A%2F%2Fwww.webofscience.com%2Fwos%2Fwoscc%2Ffull-record%2FWOS:001052808400001","View Full Record in Web of Science")</f>
        <v>View Full Record in Web of Science</v>
      </c>
    </row>
    <row r="798" spans="1:72" x14ac:dyDescent="0.15">
      <c r="A798" t="s">
        <v>72</v>
      </c>
      <c r="B798" t="s">
        <v>14820</v>
      </c>
      <c r="C798" t="s">
        <v>74</v>
      </c>
      <c r="D798" t="s">
        <v>74</v>
      </c>
      <c r="E798" t="s">
        <v>74</v>
      </c>
      <c r="F798" t="s">
        <v>14821</v>
      </c>
      <c r="G798" t="s">
        <v>74</v>
      </c>
      <c r="H798" t="s">
        <v>74</v>
      </c>
      <c r="I798" t="s">
        <v>14822</v>
      </c>
      <c r="J798" t="s">
        <v>14823</v>
      </c>
      <c r="K798" t="s">
        <v>74</v>
      </c>
      <c r="L798" t="s">
        <v>74</v>
      </c>
      <c r="M798" t="s">
        <v>78</v>
      </c>
      <c r="N798" t="s">
        <v>1246</v>
      </c>
      <c r="O798" t="s">
        <v>74</v>
      </c>
      <c r="P798" t="s">
        <v>74</v>
      </c>
      <c r="Q798" t="s">
        <v>74</v>
      </c>
      <c r="R798" t="s">
        <v>74</v>
      </c>
      <c r="S798" t="s">
        <v>74</v>
      </c>
      <c r="T798" t="s">
        <v>14824</v>
      </c>
      <c r="U798" t="s">
        <v>14825</v>
      </c>
      <c r="V798" t="s">
        <v>14826</v>
      </c>
      <c r="W798" t="s">
        <v>14827</v>
      </c>
      <c r="X798" t="s">
        <v>14828</v>
      </c>
      <c r="Y798" t="s">
        <v>14829</v>
      </c>
      <c r="Z798" t="s">
        <v>14830</v>
      </c>
      <c r="AA798" t="s">
        <v>74</v>
      </c>
      <c r="AB798" t="s">
        <v>14831</v>
      </c>
      <c r="AC798" t="s">
        <v>14832</v>
      </c>
      <c r="AD798" t="s">
        <v>14833</v>
      </c>
      <c r="AE798" t="s">
        <v>14834</v>
      </c>
      <c r="AF798" t="s">
        <v>74</v>
      </c>
      <c r="AG798">
        <v>55</v>
      </c>
      <c r="AH798">
        <v>0</v>
      </c>
      <c r="AI798">
        <v>0</v>
      </c>
      <c r="AJ798">
        <v>1</v>
      </c>
      <c r="AK798">
        <v>1</v>
      </c>
      <c r="AL798" t="s">
        <v>117</v>
      </c>
      <c r="AM798" t="s">
        <v>118</v>
      </c>
      <c r="AN798" t="s">
        <v>119</v>
      </c>
      <c r="AO798" t="s">
        <v>14835</v>
      </c>
      <c r="AP798" t="s">
        <v>14836</v>
      </c>
      <c r="AQ798" t="s">
        <v>74</v>
      </c>
      <c r="AR798" t="s">
        <v>14837</v>
      </c>
      <c r="AS798" t="s">
        <v>14838</v>
      </c>
      <c r="AT798" t="s">
        <v>14646</v>
      </c>
      <c r="AU798">
        <v>2023</v>
      </c>
      <c r="AV798" t="s">
        <v>74</v>
      </c>
      <c r="AW798" t="s">
        <v>74</v>
      </c>
      <c r="AX798" t="s">
        <v>74</v>
      </c>
      <c r="AY798" t="s">
        <v>74</v>
      </c>
      <c r="AZ798" t="s">
        <v>74</v>
      </c>
      <c r="BA798" t="s">
        <v>74</v>
      </c>
      <c r="BB798" t="s">
        <v>74</v>
      </c>
      <c r="BC798" t="s">
        <v>74</v>
      </c>
      <c r="BD798" t="s">
        <v>74</v>
      </c>
      <c r="BE798" t="s">
        <v>14839</v>
      </c>
      <c r="BF798" t="str">
        <f>HYPERLINK("http://dx.doi.org/10.1007/s12015-023-10604-3","http://dx.doi.org/10.1007/s12015-023-10604-3")</f>
        <v>http://dx.doi.org/10.1007/s12015-023-10604-3</v>
      </c>
      <c r="BG798" t="s">
        <v>74</v>
      </c>
      <c r="BH798" t="s">
        <v>10650</v>
      </c>
      <c r="BI798">
        <v>17</v>
      </c>
      <c r="BJ798" t="s">
        <v>6695</v>
      </c>
      <c r="BK798" t="s">
        <v>126</v>
      </c>
      <c r="BL798" t="s">
        <v>6696</v>
      </c>
      <c r="BM798" t="s">
        <v>14840</v>
      </c>
      <c r="BN798">
        <v>37603136</v>
      </c>
      <c r="BO798" t="s">
        <v>327</v>
      </c>
      <c r="BP798" t="s">
        <v>74</v>
      </c>
      <c r="BQ798" t="s">
        <v>74</v>
      </c>
      <c r="BR798" t="s">
        <v>99</v>
      </c>
      <c r="BS798" t="s">
        <v>14841</v>
      </c>
      <c r="BT798" t="str">
        <f>HYPERLINK("https%3A%2F%2Fwww.webofscience.com%2Fwos%2Fwoscc%2Ffull-record%2FWOS:001052536800002","View Full Record in Web of Science")</f>
        <v>View Full Record in Web of Science</v>
      </c>
    </row>
    <row r="799" spans="1:72" x14ac:dyDescent="0.15">
      <c r="A799" t="s">
        <v>72</v>
      </c>
      <c r="B799" t="s">
        <v>14842</v>
      </c>
      <c r="C799" t="s">
        <v>74</v>
      </c>
      <c r="D799" t="s">
        <v>74</v>
      </c>
      <c r="E799" t="s">
        <v>74</v>
      </c>
      <c r="F799" t="s">
        <v>14843</v>
      </c>
      <c r="G799" t="s">
        <v>74</v>
      </c>
      <c r="H799" t="s">
        <v>74</v>
      </c>
      <c r="I799" t="s">
        <v>14844</v>
      </c>
      <c r="J799" t="s">
        <v>5507</v>
      </c>
      <c r="K799" t="s">
        <v>74</v>
      </c>
      <c r="L799" t="s">
        <v>74</v>
      </c>
      <c r="M799" t="s">
        <v>78</v>
      </c>
      <c r="N799" t="s">
        <v>3055</v>
      </c>
      <c r="O799" t="s">
        <v>74</v>
      </c>
      <c r="P799" t="s">
        <v>74</v>
      </c>
      <c r="Q799" t="s">
        <v>74</v>
      </c>
      <c r="R799" t="s">
        <v>74</v>
      </c>
      <c r="S799" t="s">
        <v>74</v>
      </c>
      <c r="T799" t="s">
        <v>74</v>
      </c>
      <c r="U799" t="s">
        <v>74</v>
      </c>
      <c r="V799" t="s">
        <v>14845</v>
      </c>
      <c r="W799" t="s">
        <v>14846</v>
      </c>
      <c r="X799" t="s">
        <v>14847</v>
      </c>
      <c r="Y799" t="s">
        <v>14848</v>
      </c>
      <c r="Z799" t="s">
        <v>14849</v>
      </c>
      <c r="AA799" t="s">
        <v>14850</v>
      </c>
      <c r="AB799" t="s">
        <v>14851</v>
      </c>
      <c r="AC799" t="s">
        <v>74</v>
      </c>
      <c r="AD799" t="s">
        <v>74</v>
      </c>
      <c r="AE799" t="s">
        <v>74</v>
      </c>
      <c r="AF799" t="s">
        <v>74</v>
      </c>
      <c r="AG799">
        <v>3</v>
      </c>
      <c r="AH799">
        <v>0</v>
      </c>
      <c r="AI799">
        <v>0</v>
      </c>
      <c r="AJ799">
        <v>5</v>
      </c>
      <c r="AK799">
        <v>5</v>
      </c>
      <c r="AL799" t="s">
        <v>117</v>
      </c>
      <c r="AM799" t="s">
        <v>118</v>
      </c>
      <c r="AN799" t="s">
        <v>119</v>
      </c>
      <c r="AO799" t="s">
        <v>5514</v>
      </c>
      <c r="AP799" t="s">
        <v>5515</v>
      </c>
      <c r="AQ799" t="s">
        <v>74</v>
      </c>
      <c r="AR799" t="s">
        <v>5516</v>
      </c>
      <c r="AS799" t="s">
        <v>5517</v>
      </c>
      <c r="AT799" t="s">
        <v>14646</v>
      </c>
      <c r="AU799">
        <v>2023</v>
      </c>
      <c r="AV799" t="s">
        <v>74</v>
      </c>
      <c r="AW799" t="s">
        <v>74</v>
      </c>
      <c r="AX799" t="s">
        <v>74</v>
      </c>
      <c r="AY799" t="s">
        <v>74</v>
      </c>
      <c r="AZ799" t="s">
        <v>74</v>
      </c>
      <c r="BA799" t="s">
        <v>74</v>
      </c>
      <c r="BB799" t="s">
        <v>74</v>
      </c>
      <c r="BC799" t="s">
        <v>74</v>
      </c>
      <c r="BD799" t="s">
        <v>74</v>
      </c>
      <c r="BE799" t="s">
        <v>14852</v>
      </c>
      <c r="BF799" t="str">
        <f>HYPERLINK("http://dx.doi.org/10.1007/s00266-023-03607-5","http://dx.doi.org/10.1007/s00266-023-03607-5")</f>
        <v>http://dx.doi.org/10.1007/s00266-023-03607-5</v>
      </c>
      <c r="BG799" t="s">
        <v>74</v>
      </c>
      <c r="BH799" t="s">
        <v>10650</v>
      </c>
      <c r="BI799">
        <v>3</v>
      </c>
      <c r="BJ799" t="s">
        <v>2373</v>
      </c>
      <c r="BK799" t="s">
        <v>126</v>
      </c>
      <c r="BL799" t="s">
        <v>2373</v>
      </c>
      <c r="BM799" t="s">
        <v>14853</v>
      </c>
      <c r="BN799">
        <v>37605022</v>
      </c>
      <c r="BO799" t="s">
        <v>74</v>
      </c>
      <c r="BP799" t="s">
        <v>74</v>
      </c>
      <c r="BQ799" t="s">
        <v>74</v>
      </c>
      <c r="BR799" t="s">
        <v>99</v>
      </c>
      <c r="BS799" t="s">
        <v>14854</v>
      </c>
      <c r="BT799" t="str">
        <f>HYPERLINK("https%3A%2F%2Fwww.webofscience.com%2Fwos%2Fwoscc%2Ffull-record%2FWOS:001052525900012","View Full Record in Web of Science")</f>
        <v>View Full Record in Web of Science</v>
      </c>
    </row>
    <row r="800" spans="1:72" x14ac:dyDescent="0.15">
      <c r="A800" t="s">
        <v>72</v>
      </c>
      <c r="B800" t="s">
        <v>14855</v>
      </c>
      <c r="C800" t="s">
        <v>74</v>
      </c>
      <c r="D800" t="s">
        <v>74</v>
      </c>
      <c r="E800" t="s">
        <v>74</v>
      </c>
      <c r="F800" t="s">
        <v>14856</v>
      </c>
      <c r="G800" t="s">
        <v>74</v>
      </c>
      <c r="H800" t="s">
        <v>74</v>
      </c>
      <c r="I800" t="s">
        <v>14857</v>
      </c>
      <c r="J800" t="s">
        <v>14858</v>
      </c>
      <c r="K800" t="s">
        <v>74</v>
      </c>
      <c r="L800" t="s">
        <v>74</v>
      </c>
      <c r="M800" t="s">
        <v>78</v>
      </c>
      <c r="N800" t="s">
        <v>1246</v>
      </c>
      <c r="O800" t="s">
        <v>74</v>
      </c>
      <c r="P800" t="s">
        <v>74</v>
      </c>
      <c r="Q800" t="s">
        <v>74</v>
      </c>
      <c r="R800" t="s">
        <v>74</v>
      </c>
      <c r="S800" t="s">
        <v>74</v>
      </c>
      <c r="T800" t="s">
        <v>74</v>
      </c>
      <c r="U800" t="s">
        <v>14859</v>
      </c>
      <c r="V800" t="s">
        <v>14860</v>
      </c>
      <c r="W800" t="s">
        <v>14861</v>
      </c>
      <c r="X800" t="s">
        <v>14862</v>
      </c>
      <c r="Y800" t="s">
        <v>14863</v>
      </c>
      <c r="Z800" t="s">
        <v>14864</v>
      </c>
      <c r="AA800" t="s">
        <v>74</v>
      </c>
      <c r="AB800" t="s">
        <v>74</v>
      </c>
      <c r="AC800" t="s">
        <v>74</v>
      </c>
      <c r="AD800" t="s">
        <v>74</v>
      </c>
      <c r="AE800" t="s">
        <v>74</v>
      </c>
      <c r="AF800" t="s">
        <v>74</v>
      </c>
      <c r="AG800">
        <v>92</v>
      </c>
      <c r="AH800">
        <v>0</v>
      </c>
      <c r="AI800">
        <v>0</v>
      </c>
      <c r="AJ800">
        <v>0</v>
      </c>
      <c r="AK800">
        <v>0</v>
      </c>
      <c r="AL800" t="s">
        <v>705</v>
      </c>
      <c r="AM800" t="s">
        <v>706</v>
      </c>
      <c r="AN800" t="s">
        <v>707</v>
      </c>
      <c r="AO800" t="s">
        <v>14865</v>
      </c>
      <c r="AP800" t="s">
        <v>14866</v>
      </c>
      <c r="AQ800" t="s">
        <v>74</v>
      </c>
      <c r="AR800" t="s">
        <v>14867</v>
      </c>
      <c r="AS800" t="s">
        <v>14868</v>
      </c>
      <c r="AT800" t="s">
        <v>14646</v>
      </c>
      <c r="AU800">
        <v>2023</v>
      </c>
      <c r="AV800" t="s">
        <v>74</v>
      </c>
      <c r="AW800" t="s">
        <v>74</v>
      </c>
      <c r="AX800" t="s">
        <v>74</v>
      </c>
      <c r="AY800" t="s">
        <v>74</v>
      </c>
      <c r="AZ800" t="s">
        <v>74</v>
      </c>
      <c r="BA800" t="s">
        <v>74</v>
      </c>
      <c r="BB800" t="s">
        <v>74</v>
      </c>
      <c r="BC800" t="s">
        <v>74</v>
      </c>
      <c r="BD800" t="s">
        <v>74</v>
      </c>
      <c r="BE800" t="s">
        <v>14869</v>
      </c>
      <c r="BF800" t="str">
        <f>HYPERLINK("http://dx.doi.org/10.1057/s41280-023-00284-0","http://dx.doi.org/10.1057/s41280-023-00284-0")</f>
        <v>http://dx.doi.org/10.1057/s41280-023-00284-0</v>
      </c>
      <c r="BG800" t="s">
        <v>74</v>
      </c>
      <c r="BH800" t="s">
        <v>10650</v>
      </c>
      <c r="BI800">
        <v>25</v>
      </c>
      <c r="BJ800" t="s">
        <v>14870</v>
      </c>
      <c r="BK800" t="s">
        <v>9169</v>
      </c>
      <c r="BL800" t="s">
        <v>14871</v>
      </c>
      <c r="BM800" t="s">
        <v>14872</v>
      </c>
      <c r="BN800" t="s">
        <v>74</v>
      </c>
      <c r="BO800" t="s">
        <v>183</v>
      </c>
      <c r="BP800" t="s">
        <v>74</v>
      </c>
      <c r="BQ800" t="s">
        <v>74</v>
      </c>
      <c r="BR800" t="s">
        <v>99</v>
      </c>
      <c r="BS800" t="s">
        <v>14873</v>
      </c>
      <c r="BT800" t="str">
        <f>HYPERLINK("https%3A%2F%2Fwww.webofscience.com%2Fwos%2Fwoscc%2Ffull-record%2FWOS:001052534600001","View Full Record in Web of Science")</f>
        <v>View Full Record in Web of Science</v>
      </c>
    </row>
    <row r="801" spans="1:72" x14ac:dyDescent="0.15">
      <c r="A801" t="s">
        <v>72</v>
      </c>
      <c r="B801" t="s">
        <v>14874</v>
      </c>
      <c r="C801" t="s">
        <v>74</v>
      </c>
      <c r="D801" t="s">
        <v>74</v>
      </c>
      <c r="E801" t="s">
        <v>74</v>
      </c>
      <c r="F801" t="s">
        <v>14875</v>
      </c>
      <c r="G801" t="s">
        <v>74</v>
      </c>
      <c r="H801" t="s">
        <v>74</v>
      </c>
      <c r="I801" t="s">
        <v>14876</v>
      </c>
      <c r="J801" t="s">
        <v>3746</v>
      </c>
      <c r="K801" t="s">
        <v>74</v>
      </c>
      <c r="L801" t="s">
        <v>74</v>
      </c>
      <c r="M801" t="s">
        <v>78</v>
      </c>
      <c r="N801" t="s">
        <v>2174</v>
      </c>
      <c r="O801" t="s">
        <v>74</v>
      </c>
      <c r="P801" t="s">
        <v>74</v>
      </c>
      <c r="Q801" t="s">
        <v>74</v>
      </c>
      <c r="R801" t="s">
        <v>74</v>
      </c>
      <c r="S801" t="s">
        <v>74</v>
      </c>
      <c r="T801" t="s">
        <v>14877</v>
      </c>
      <c r="U801" t="s">
        <v>14878</v>
      </c>
      <c r="V801" t="s">
        <v>14879</v>
      </c>
      <c r="W801" t="s">
        <v>14880</v>
      </c>
      <c r="X801" t="s">
        <v>14881</v>
      </c>
      <c r="Y801" t="s">
        <v>14882</v>
      </c>
      <c r="Z801" t="s">
        <v>14883</v>
      </c>
      <c r="AA801" t="s">
        <v>14884</v>
      </c>
      <c r="AB801" t="s">
        <v>14885</v>
      </c>
      <c r="AC801" t="s">
        <v>14886</v>
      </c>
      <c r="AD801" t="s">
        <v>14887</v>
      </c>
      <c r="AE801" t="s">
        <v>14888</v>
      </c>
      <c r="AF801" t="s">
        <v>74</v>
      </c>
      <c r="AG801">
        <v>97</v>
      </c>
      <c r="AH801">
        <v>0</v>
      </c>
      <c r="AI801">
        <v>0</v>
      </c>
      <c r="AJ801">
        <v>0</v>
      </c>
      <c r="AK801">
        <v>0</v>
      </c>
      <c r="AL801" t="s">
        <v>172</v>
      </c>
      <c r="AM801" t="s">
        <v>173</v>
      </c>
      <c r="AN801" t="s">
        <v>174</v>
      </c>
      <c r="AO801" t="s">
        <v>3756</v>
      </c>
      <c r="AP801" t="s">
        <v>3757</v>
      </c>
      <c r="AQ801" t="s">
        <v>74</v>
      </c>
      <c r="AR801" t="s">
        <v>3758</v>
      </c>
      <c r="AS801" t="s">
        <v>3759</v>
      </c>
      <c r="AT801" t="s">
        <v>14646</v>
      </c>
      <c r="AU801">
        <v>2023</v>
      </c>
      <c r="AV801" t="s">
        <v>74</v>
      </c>
      <c r="AW801" t="s">
        <v>74</v>
      </c>
      <c r="AX801" t="s">
        <v>74</v>
      </c>
      <c r="AY801" t="s">
        <v>74</v>
      </c>
      <c r="AZ801" t="s">
        <v>74</v>
      </c>
      <c r="BA801" t="s">
        <v>74</v>
      </c>
      <c r="BB801" t="s">
        <v>74</v>
      </c>
      <c r="BC801" t="s">
        <v>74</v>
      </c>
      <c r="BD801" t="s">
        <v>74</v>
      </c>
      <c r="BE801" t="s">
        <v>14889</v>
      </c>
      <c r="BF801" t="str">
        <f>HYPERLINK("http://dx.doi.org/10.1007/s43440-023-00515-y","http://dx.doi.org/10.1007/s43440-023-00515-y")</f>
        <v>http://dx.doi.org/10.1007/s43440-023-00515-y</v>
      </c>
      <c r="BG801" t="s">
        <v>74</v>
      </c>
      <c r="BH801" t="s">
        <v>10650</v>
      </c>
      <c r="BI801">
        <v>14</v>
      </c>
      <c r="BJ801" t="s">
        <v>1038</v>
      </c>
      <c r="BK801" t="s">
        <v>126</v>
      </c>
      <c r="BL801" t="s">
        <v>1038</v>
      </c>
      <c r="BM801" t="s">
        <v>14890</v>
      </c>
      <c r="BN801">
        <v>37605102</v>
      </c>
      <c r="BO801" t="s">
        <v>183</v>
      </c>
      <c r="BP801" t="s">
        <v>74</v>
      </c>
      <c r="BQ801" t="s">
        <v>74</v>
      </c>
      <c r="BR801" t="s">
        <v>99</v>
      </c>
      <c r="BS801" t="s">
        <v>14891</v>
      </c>
      <c r="BT801" t="str">
        <f>HYPERLINK("https%3A%2F%2Fwww.webofscience.com%2Fwos%2Fwoscc%2Ffull-record%2FWOS:001052031600001","View Full Record in Web of Science")</f>
        <v>View Full Record in Web of Science</v>
      </c>
    </row>
    <row r="802" spans="1:72" x14ac:dyDescent="0.15">
      <c r="A802" t="s">
        <v>72</v>
      </c>
      <c r="B802" t="s">
        <v>14892</v>
      </c>
      <c r="C802" t="s">
        <v>74</v>
      </c>
      <c r="D802" t="s">
        <v>74</v>
      </c>
      <c r="E802" t="s">
        <v>74</v>
      </c>
      <c r="F802" t="s">
        <v>14893</v>
      </c>
      <c r="G802" t="s">
        <v>74</v>
      </c>
      <c r="H802" t="s">
        <v>74</v>
      </c>
      <c r="I802" t="s">
        <v>14894</v>
      </c>
      <c r="J802" t="s">
        <v>14895</v>
      </c>
      <c r="K802" t="s">
        <v>74</v>
      </c>
      <c r="L802" t="s">
        <v>74</v>
      </c>
      <c r="M802" t="s">
        <v>78</v>
      </c>
      <c r="N802" t="s">
        <v>1246</v>
      </c>
      <c r="O802" t="s">
        <v>74</v>
      </c>
      <c r="P802" t="s">
        <v>74</v>
      </c>
      <c r="Q802" t="s">
        <v>74</v>
      </c>
      <c r="R802" t="s">
        <v>74</v>
      </c>
      <c r="S802" t="s">
        <v>74</v>
      </c>
      <c r="T802" t="s">
        <v>14896</v>
      </c>
      <c r="U802" t="s">
        <v>14897</v>
      </c>
      <c r="V802" t="s">
        <v>14898</v>
      </c>
      <c r="W802" t="s">
        <v>14899</v>
      </c>
      <c r="X802" t="s">
        <v>14900</v>
      </c>
      <c r="Y802" t="s">
        <v>14901</v>
      </c>
      <c r="Z802" t="s">
        <v>14902</v>
      </c>
      <c r="AA802" t="s">
        <v>14903</v>
      </c>
      <c r="AB802" t="s">
        <v>14904</v>
      </c>
      <c r="AC802" t="s">
        <v>14905</v>
      </c>
      <c r="AD802" t="s">
        <v>14906</v>
      </c>
      <c r="AE802" t="s">
        <v>14907</v>
      </c>
      <c r="AF802" t="s">
        <v>74</v>
      </c>
      <c r="AG802">
        <v>30</v>
      </c>
      <c r="AH802">
        <v>0</v>
      </c>
      <c r="AI802">
        <v>0</v>
      </c>
      <c r="AJ802">
        <v>0</v>
      </c>
      <c r="AK802">
        <v>0</v>
      </c>
      <c r="AL802" t="s">
        <v>317</v>
      </c>
      <c r="AM802" t="s">
        <v>245</v>
      </c>
      <c r="AN802" t="s">
        <v>318</v>
      </c>
      <c r="AO802" t="s">
        <v>14908</v>
      </c>
      <c r="AP802" t="s">
        <v>14909</v>
      </c>
      <c r="AQ802" t="s">
        <v>74</v>
      </c>
      <c r="AR802" t="s">
        <v>14910</v>
      </c>
      <c r="AS802" t="s">
        <v>14911</v>
      </c>
      <c r="AT802" t="s">
        <v>14646</v>
      </c>
      <c r="AU802">
        <v>2023</v>
      </c>
      <c r="AV802" t="s">
        <v>74</v>
      </c>
      <c r="AW802" t="s">
        <v>74</v>
      </c>
      <c r="AX802" t="s">
        <v>74</v>
      </c>
      <c r="AY802" t="s">
        <v>74</v>
      </c>
      <c r="AZ802" t="s">
        <v>74</v>
      </c>
      <c r="BA802" t="s">
        <v>74</v>
      </c>
      <c r="BB802" t="s">
        <v>74</v>
      </c>
      <c r="BC802" t="s">
        <v>74</v>
      </c>
      <c r="BD802" t="s">
        <v>74</v>
      </c>
      <c r="BE802" t="s">
        <v>14912</v>
      </c>
      <c r="BF802" t="str">
        <f>HYPERLINK("http://dx.doi.org/10.1007/s42081-023-00213-2","http://dx.doi.org/10.1007/s42081-023-00213-2")</f>
        <v>http://dx.doi.org/10.1007/s42081-023-00213-2</v>
      </c>
      <c r="BG802" t="s">
        <v>74</v>
      </c>
      <c r="BH802" t="s">
        <v>10650</v>
      </c>
      <c r="BI802">
        <v>23</v>
      </c>
      <c r="BJ802" t="s">
        <v>4945</v>
      </c>
      <c r="BK802" t="s">
        <v>97</v>
      </c>
      <c r="BL802" t="s">
        <v>228</v>
      </c>
      <c r="BM802" t="s">
        <v>14913</v>
      </c>
      <c r="BN802" t="s">
        <v>74</v>
      </c>
      <c r="BO802" t="s">
        <v>1328</v>
      </c>
      <c r="BP802" t="s">
        <v>74</v>
      </c>
      <c r="BQ802" t="s">
        <v>74</v>
      </c>
      <c r="BR802" t="s">
        <v>99</v>
      </c>
      <c r="BS802" t="s">
        <v>14914</v>
      </c>
      <c r="BT802" t="str">
        <f>HYPERLINK("https%3A%2F%2Fwww.webofscience.com%2Fwos%2Fwoscc%2Ffull-record%2FWOS:001052023600002","View Full Record in Web of Science")</f>
        <v>View Full Record in Web of Science</v>
      </c>
    </row>
    <row r="803" spans="1:72" x14ac:dyDescent="0.15">
      <c r="A803" t="s">
        <v>72</v>
      </c>
      <c r="B803" t="s">
        <v>14915</v>
      </c>
      <c r="C803" t="s">
        <v>74</v>
      </c>
      <c r="D803" t="s">
        <v>74</v>
      </c>
      <c r="E803" t="s">
        <v>74</v>
      </c>
      <c r="F803" t="s">
        <v>14916</v>
      </c>
      <c r="G803" t="s">
        <v>74</v>
      </c>
      <c r="H803" t="s">
        <v>74</v>
      </c>
      <c r="I803" t="s">
        <v>14917</v>
      </c>
      <c r="J803" t="s">
        <v>14918</v>
      </c>
      <c r="K803" t="s">
        <v>74</v>
      </c>
      <c r="L803" t="s">
        <v>74</v>
      </c>
      <c r="M803" t="s">
        <v>78</v>
      </c>
      <c r="N803" t="s">
        <v>1246</v>
      </c>
      <c r="O803" t="s">
        <v>74</v>
      </c>
      <c r="P803" t="s">
        <v>74</v>
      </c>
      <c r="Q803" t="s">
        <v>74</v>
      </c>
      <c r="R803" t="s">
        <v>74</v>
      </c>
      <c r="S803" t="s">
        <v>74</v>
      </c>
      <c r="T803" t="s">
        <v>14919</v>
      </c>
      <c r="U803" t="s">
        <v>14920</v>
      </c>
      <c r="V803" t="s">
        <v>14921</v>
      </c>
      <c r="W803" t="s">
        <v>14922</v>
      </c>
      <c r="X803" t="s">
        <v>14923</v>
      </c>
      <c r="Y803" t="s">
        <v>14924</v>
      </c>
      <c r="Z803" t="s">
        <v>14925</v>
      </c>
      <c r="AA803" t="s">
        <v>74</v>
      </c>
      <c r="AB803" t="s">
        <v>74</v>
      </c>
      <c r="AC803" t="s">
        <v>14926</v>
      </c>
      <c r="AD803" t="s">
        <v>14927</v>
      </c>
      <c r="AE803" t="s">
        <v>14928</v>
      </c>
      <c r="AF803" t="s">
        <v>74</v>
      </c>
      <c r="AG803">
        <v>22</v>
      </c>
      <c r="AH803">
        <v>0</v>
      </c>
      <c r="AI803">
        <v>0</v>
      </c>
      <c r="AJ803">
        <v>0</v>
      </c>
      <c r="AK803">
        <v>0</v>
      </c>
      <c r="AL803" t="s">
        <v>117</v>
      </c>
      <c r="AM803" t="s">
        <v>118</v>
      </c>
      <c r="AN803" t="s">
        <v>119</v>
      </c>
      <c r="AO803" t="s">
        <v>14929</v>
      </c>
      <c r="AP803" t="s">
        <v>14930</v>
      </c>
      <c r="AQ803" t="s">
        <v>74</v>
      </c>
      <c r="AR803" t="s">
        <v>14931</v>
      </c>
      <c r="AS803" t="s">
        <v>14932</v>
      </c>
      <c r="AT803" t="s">
        <v>14646</v>
      </c>
      <c r="AU803">
        <v>2023</v>
      </c>
      <c r="AV803" t="s">
        <v>74</v>
      </c>
      <c r="AW803" t="s">
        <v>74</v>
      </c>
      <c r="AX803" t="s">
        <v>74</v>
      </c>
      <c r="AY803" t="s">
        <v>74</v>
      </c>
      <c r="AZ803" t="s">
        <v>74</v>
      </c>
      <c r="BA803" t="s">
        <v>74</v>
      </c>
      <c r="BB803" t="s">
        <v>74</v>
      </c>
      <c r="BC803" t="s">
        <v>74</v>
      </c>
      <c r="BD803" t="s">
        <v>74</v>
      </c>
      <c r="BE803" t="s">
        <v>14933</v>
      </c>
      <c r="BF803" t="str">
        <f>HYPERLINK("http://dx.doi.org/10.1007/s00778-023-00806-z","http://dx.doi.org/10.1007/s00778-023-00806-z")</f>
        <v>http://dx.doi.org/10.1007/s00778-023-00806-z</v>
      </c>
      <c r="BG803" t="s">
        <v>74</v>
      </c>
      <c r="BH803" t="s">
        <v>10650</v>
      </c>
      <c r="BI803">
        <v>19</v>
      </c>
      <c r="BJ803" t="s">
        <v>14934</v>
      </c>
      <c r="BK803" t="s">
        <v>126</v>
      </c>
      <c r="BL803" t="s">
        <v>1139</v>
      </c>
      <c r="BM803" t="s">
        <v>14935</v>
      </c>
      <c r="BN803" t="s">
        <v>74</v>
      </c>
      <c r="BO803" t="s">
        <v>74</v>
      </c>
      <c r="BP803" t="s">
        <v>74</v>
      </c>
      <c r="BQ803" t="s">
        <v>74</v>
      </c>
      <c r="BR803" t="s">
        <v>99</v>
      </c>
      <c r="BS803" t="s">
        <v>14936</v>
      </c>
      <c r="BT803" t="str">
        <f>HYPERLINK("https%3A%2F%2Fwww.webofscience.com%2Fwos%2Fwoscc%2Ffull-record%2FWOS:001052007900001","View Full Record in Web of Science")</f>
        <v>View Full Record in Web of Science</v>
      </c>
    </row>
    <row r="804" spans="1:72" x14ac:dyDescent="0.15">
      <c r="A804" t="s">
        <v>72</v>
      </c>
      <c r="B804" t="s">
        <v>14937</v>
      </c>
      <c r="C804" t="s">
        <v>74</v>
      </c>
      <c r="D804" t="s">
        <v>74</v>
      </c>
      <c r="E804" t="s">
        <v>74</v>
      </c>
      <c r="F804" t="s">
        <v>14938</v>
      </c>
      <c r="G804" t="s">
        <v>74</v>
      </c>
      <c r="H804" t="s">
        <v>74</v>
      </c>
      <c r="I804" t="s">
        <v>14939</v>
      </c>
      <c r="J804" t="s">
        <v>14940</v>
      </c>
      <c r="K804" t="s">
        <v>74</v>
      </c>
      <c r="L804" t="s">
        <v>74</v>
      </c>
      <c r="M804" t="s">
        <v>78</v>
      </c>
      <c r="N804" t="s">
        <v>1246</v>
      </c>
      <c r="O804" t="s">
        <v>74</v>
      </c>
      <c r="P804" t="s">
        <v>74</v>
      </c>
      <c r="Q804" t="s">
        <v>74</v>
      </c>
      <c r="R804" t="s">
        <v>74</v>
      </c>
      <c r="S804" t="s">
        <v>74</v>
      </c>
      <c r="T804" t="s">
        <v>14941</v>
      </c>
      <c r="U804" t="s">
        <v>14942</v>
      </c>
      <c r="V804" t="s">
        <v>14943</v>
      </c>
      <c r="W804" t="s">
        <v>14944</v>
      </c>
      <c r="X804" t="s">
        <v>14945</v>
      </c>
      <c r="Y804" t="s">
        <v>14946</v>
      </c>
      <c r="Z804" t="s">
        <v>14947</v>
      </c>
      <c r="AA804" t="s">
        <v>74</v>
      </c>
      <c r="AB804" t="s">
        <v>74</v>
      </c>
      <c r="AC804" t="s">
        <v>74</v>
      </c>
      <c r="AD804" t="s">
        <v>74</v>
      </c>
      <c r="AE804" t="s">
        <v>74</v>
      </c>
      <c r="AF804" t="s">
        <v>74</v>
      </c>
      <c r="AG804">
        <v>59</v>
      </c>
      <c r="AH804">
        <v>0</v>
      </c>
      <c r="AI804">
        <v>0</v>
      </c>
      <c r="AJ804">
        <v>2</v>
      </c>
      <c r="AK804">
        <v>2</v>
      </c>
      <c r="AL804" t="s">
        <v>117</v>
      </c>
      <c r="AM804" t="s">
        <v>627</v>
      </c>
      <c r="AN804" t="s">
        <v>628</v>
      </c>
      <c r="AO804" t="s">
        <v>14948</v>
      </c>
      <c r="AP804" t="s">
        <v>14949</v>
      </c>
      <c r="AQ804" t="s">
        <v>74</v>
      </c>
      <c r="AR804" t="s">
        <v>14950</v>
      </c>
      <c r="AS804" t="s">
        <v>14951</v>
      </c>
      <c r="AT804" t="s">
        <v>14646</v>
      </c>
      <c r="AU804">
        <v>2023</v>
      </c>
      <c r="AV804" t="s">
        <v>74</v>
      </c>
      <c r="AW804" t="s">
        <v>74</v>
      </c>
      <c r="AX804" t="s">
        <v>74</v>
      </c>
      <c r="AY804" t="s">
        <v>74</v>
      </c>
      <c r="AZ804" t="s">
        <v>74</v>
      </c>
      <c r="BA804" t="s">
        <v>74</v>
      </c>
      <c r="BB804" t="s">
        <v>74</v>
      </c>
      <c r="BC804" t="s">
        <v>74</v>
      </c>
      <c r="BD804" t="s">
        <v>74</v>
      </c>
      <c r="BE804" t="s">
        <v>14952</v>
      </c>
      <c r="BF804" t="str">
        <f>HYPERLINK("http://dx.doi.org/10.1007/s11144-023-02472-2","http://dx.doi.org/10.1007/s11144-023-02472-2")</f>
        <v>http://dx.doi.org/10.1007/s11144-023-02472-2</v>
      </c>
      <c r="BG804" t="s">
        <v>74</v>
      </c>
      <c r="BH804" t="s">
        <v>10650</v>
      </c>
      <c r="BI804">
        <v>20</v>
      </c>
      <c r="BJ804" t="s">
        <v>8965</v>
      </c>
      <c r="BK804" t="s">
        <v>126</v>
      </c>
      <c r="BL804" t="s">
        <v>2826</v>
      </c>
      <c r="BM804" t="s">
        <v>14953</v>
      </c>
      <c r="BN804" t="s">
        <v>74</v>
      </c>
      <c r="BO804" t="s">
        <v>74</v>
      </c>
      <c r="BP804" t="s">
        <v>74</v>
      </c>
      <c r="BQ804" t="s">
        <v>74</v>
      </c>
      <c r="BR804" t="s">
        <v>99</v>
      </c>
      <c r="BS804" t="s">
        <v>14954</v>
      </c>
      <c r="BT804" t="str">
        <f>HYPERLINK("https%3A%2F%2Fwww.webofscience.com%2Fwos%2Fwoscc%2Ffull-record%2FWOS:001052030800001","View Full Record in Web of Science")</f>
        <v>View Full Record in Web of Science</v>
      </c>
    </row>
    <row r="805" spans="1:72" x14ac:dyDescent="0.15">
      <c r="A805" t="s">
        <v>72</v>
      </c>
      <c r="B805" t="s">
        <v>14955</v>
      </c>
      <c r="C805" t="s">
        <v>74</v>
      </c>
      <c r="D805" t="s">
        <v>74</v>
      </c>
      <c r="E805" t="s">
        <v>74</v>
      </c>
      <c r="F805" t="s">
        <v>14956</v>
      </c>
      <c r="G805" t="s">
        <v>74</v>
      </c>
      <c r="H805" t="s">
        <v>74</v>
      </c>
      <c r="I805" t="s">
        <v>14957</v>
      </c>
      <c r="J805" t="s">
        <v>14958</v>
      </c>
      <c r="K805" t="s">
        <v>74</v>
      </c>
      <c r="L805" t="s">
        <v>74</v>
      </c>
      <c r="M805" t="s">
        <v>78</v>
      </c>
      <c r="N805" t="s">
        <v>3139</v>
      </c>
      <c r="O805" t="s">
        <v>74</v>
      </c>
      <c r="P805" t="s">
        <v>74</v>
      </c>
      <c r="Q805" t="s">
        <v>74</v>
      </c>
      <c r="R805" t="s">
        <v>74</v>
      </c>
      <c r="S805" t="s">
        <v>74</v>
      </c>
      <c r="T805" t="s">
        <v>14959</v>
      </c>
      <c r="U805" t="s">
        <v>74</v>
      </c>
      <c r="V805" t="s">
        <v>74</v>
      </c>
      <c r="W805" t="s">
        <v>14960</v>
      </c>
      <c r="X805" t="s">
        <v>14961</v>
      </c>
      <c r="Y805" t="s">
        <v>14962</v>
      </c>
      <c r="Z805" t="s">
        <v>14963</v>
      </c>
      <c r="AA805" t="s">
        <v>74</v>
      </c>
      <c r="AB805" t="s">
        <v>74</v>
      </c>
      <c r="AC805" t="s">
        <v>14964</v>
      </c>
      <c r="AD805" t="s">
        <v>14965</v>
      </c>
      <c r="AE805" t="s">
        <v>14966</v>
      </c>
      <c r="AF805" t="s">
        <v>74</v>
      </c>
      <c r="AG805">
        <v>3</v>
      </c>
      <c r="AH805">
        <v>0</v>
      </c>
      <c r="AI805">
        <v>0</v>
      </c>
      <c r="AJ805">
        <v>0</v>
      </c>
      <c r="AK805">
        <v>0</v>
      </c>
      <c r="AL805" t="s">
        <v>117</v>
      </c>
      <c r="AM805" t="s">
        <v>118</v>
      </c>
      <c r="AN805" t="s">
        <v>119</v>
      </c>
      <c r="AO805" t="s">
        <v>14967</v>
      </c>
      <c r="AP805" t="s">
        <v>14968</v>
      </c>
      <c r="AQ805" t="s">
        <v>74</v>
      </c>
      <c r="AR805" t="s">
        <v>14969</v>
      </c>
      <c r="AS805" t="s">
        <v>14970</v>
      </c>
      <c r="AT805" t="s">
        <v>14646</v>
      </c>
      <c r="AU805">
        <v>2023</v>
      </c>
      <c r="AV805" t="s">
        <v>74</v>
      </c>
      <c r="AW805" t="s">
        <v>74</v>
      </c>
      <c r="AX805" t="s">
        <v>74</v>
      </c>
      <c r="AY805" t="s">
        <v>74</v>
      </c>
      <c r="AZ805" t="s">
        <v>74</v>
      </c>
      <c r="BA805" t="s">
        <v>74</v>
      </c>
      <c r="BB805" t="s">
        <v>74</v>
      </c>
      <c r="BC805" t="s">
        <v>74</v>
      </c>
      <c r="BD805" t="s">
        <v>74</v>
      </c>
      <c r="BE805" t="s">
        <v>14971</v>
      </c>
      <c r="BF805" t="str">
        <f>HYPERLINK("http://dx.doi.org/10.1007/s42161-023-01495-x","http://dx.doi.org/10.1007/s42161-023-01495-x")</f>
        <v>http://dx.doi.org/10.1007/s42161-023-01495-x</v>
      </c>
      <c r="BG805" t="s">
        <v>74</v>
      </c>
      <c r="BH805" t="s">
        <v>10650</v>
      </c>
      <c r="BI805">
        <v>2</v>
      </c>
      <c r="BJ805" t="s">
        <v>8921</v>
      </c>
      <c r="BK805" t="s">
        <v>126</v>
      </c>
      <c r="BL805" t="s">
        <v>8921</v>
      </c>
      <c r="BM805" t="s">
        <v>14972</v>
      </c>
      <c r="BN805" t="s">
        <v>74</v>
      </c>
      <c r="BO805" t="s">
        <v>74</v>
      </c>
      <c r="BP805" t="s">
        <v>74</v>
      </c>
      <c r="BQ805" t="s">
        <v>74</v>
      </c>
      <c r="BR805" t="s">
        <v>99</v>
      </c>
      <c r="BS805" t="s">
        <v>14973</v>
      </c>
      <c r="BT805" t="str">
        <f>HYPERLINK("https%3A%2F%2Fwww.webofscience.com%2Fwos%2Fwoscc%2Ffull-record%2FWOS:001052527000002","View Full Record in Web of Science")</f>
        <v>View Full Record in Web of Science</v>
      </c>
    </row>
    <row r="806" spans="1:72" x14ac:dyDescent="0.15">
      <c r="A806" t="s">
        <v>72</v>
      </c>
      <c r="B806" t="s">
        <v>14974</v>
      </c>
      <c r="C806" t="s">
        <v>74</v>
      </c>
      <c r="D806" t="s">
        <v>74</v>
      </c>
      <c r="E806" t="s">
        <v>74</v>
      </c>
      <c r="F806" t="s">
        <v>14975</v>
      </c>
      <c r="G806" t="s">
        <v>74</v>
      </c>
      <c r="H806" t="s">
        <v>74</v>
      </c>
      <c r="I806" t="s">
        <v>14976</v>
      </c>
      <c r="J806" t="s">
        <v>6274</v>
      </c>
      <c r="K806" t="s">
        <v>74</v>
      </c>
      <c r="L806" t="s">
        <v>74</v>
      </c>
      <c r="M806" t="s">
        <v>78</v>
      </c>
      <c r="N806" t="s">
        <v>79</v>
      </c>
      <c r="O806" t="s">
        <v>74</v>
      </c>
      <c r="P806" t="s">
        <v>74</v>
      </c>
      <c r="Q806" t="s">
        <v>74</v>
      </c>
      <c r="R806" t="s">
        <v>74</v>
      </c>
      <c r="S806" t="s">
        <v>74</v>
      </c>
      <c r="T806" t="s">
        <v>14977</v>
      </c>
      <c r="U806" t="s">
        <v>14978</v>
      </c>
      <c r="V806" t="s">
        <v>14979</v>
      </c>
      <c r="W806" t="s">
        <v>14980</v>
      </c>
      <c r="X806" t="s">
        <v>14981</v>
      </c>
      <c r="Y806" t="s">
        <v>14982</v>
      </c>
      <c r="Z806" t="s">
        <v>14983</v>
      </c>
      <c r="AA806" t="s">
        <v>14984</v>
      </c>
      <c r="AB806" t="s">
        <v>14985</v>
      </c>
      <c r="AC806" t="s">
        <v>74</v>
      </c>
      <c r="AD806" t="s">
        <v>74</v>
      </c>
      <c r="AE806" t="s">
        <v>74</v>
      </c>
      <c r="AF806" t="s">
        <v>74</v>
      </c>
      <c r="AG806">
        <v>32</v>
      </c>
      <c r="AH806">
        <v>0</v>
      </c>
      <c r="AI806">
        <v>0</v>
      </c>
      <c r="AJ806">
        <v>0</v>
      </c>
      <c r="AK806">
        <v>0</v>
      </c>
      <c r="AL806" t="s">
        <v>443</v>
      </c>
      <c r="AM806" t="s">
        <v>245</v>
      </c>
      <c r="AN806" t="s">
        <v>444</v>
      </c>
      <c r="AO806" t="s">
        <v>74</v>
      </c>
      <c r="AP806" t="s">
        <v>6285</v>
      </c>
      <c r="AQ806" t="s">
        <v>74</v>
      </c>
      <c r="AR806" t="s">
        <v>6274</v>
      </c>
      <c r="AS806" t="s">
        <v>6286</v>
      </c>
      <c r="AT806" t="s">
        <v>14692</v>
      </c>
      <c r="AU806">
        <v>2023</v>
      </c>
      <c r="AV806">
        <v>23</v>
      </c>
      <c r="AW806">
        <v>1</v>
      </c>
      <c r="AX806" t="s">
        <v>74</v>
      </c>
      <c r="AY806" t="s">
        <v>74</v>
      </c>
      <c r="AZ806" t="s">
        <v>74</v>
      </c>
      <c r="BA806" t="s">
        <v>74</v>
      </c>
      <c r="BB806" t="s">
        <v>74</v>
      </c>
      <c r="BC806" t="s">
        <v>74</v>
      </c>
      <c r="BD806">
        <v>779</v>
      </c>
      <c r="BE806" t="s">
        <v>14986</v>
      </c>
      <c r="BF806" t="str">
        <f>HYPERLINK("http://dx.doi.org/10.1186/s12885-023-11311-5","http://dx.doi.org/10.1186/s12885-023-11311-5")</f>
        <v>http://dx.doi.org/10.1186/s12885-023-11311-5</v>
      </c>
      <c r="BG806" t="s">
        <v>74</v>
      </c>
      <c r="BH806" t="s">
        <v>74</v>
      </c>
      <c r="BI806">
        <v>7</v>
      </c>
      <c r="BJ806" t="s">
        <v>1951</v>
      </c>
      <c r="BK806" t="s">
        <v>126</v>
      </c>
      <c r="BL806" t="s">
        <v>1951</v>
      </c>
      <c r="BM806" t="s">
        <v>14987</v>
      </c>
      <c r="BN806">
        <v>37605122</v>
      </c>
      <c r="BO806" t="s">
        <v>302</v>
      </c>
      <c r="BP806" t="s">
        <v>74</v>
      </c>
      <c r="BQ806" t="s">
        <v>74</v>
      </c>
      <c r="BR806" t="s">
        <v>99</v>
      </c>
      <c r="BS806" t="s">
        <v>14988</v>
      </c>
      <c r="BT806" t="str">
        <f>HYPERLINK("https%3A%2F%2Fwww.webofscience.com%2Fwos%2Fwoscc%2Ffull-record%2FWOS:001052175000001","View Full Record in Web of Science")</f>
        <v>View Full Record in Web of Science</v>
      </c>
    </row>
    <row r="807" spans="1:72" x14ac:dyDescent="0.15">
      <c r="A807" t="s">
        <v>72</v>
      </c>
      <c r="B807" t="s">
        <v>14989</v>
      </c>
      <c r="C807" t="s">
        <v>74</v>
      </c>
      <c r="D807" t="s">
        <v>74</v>
      </c>
      <c r="E807" t="s">
        <v>74</v>
      </c>
      <c r="F807" t="s">
        <v>14990</v>
      </c>
      <c r="G807" t="s">
        <v>74</v>
      </c>
      <c r="H807" t="s">
        <v>74</v>
      </c>
      <c r="I807" t="s">
        <v>14991</v>
      </c>
      <c r="J807" t="s">
        <v>3786</v>
      </c>
      <c r="K807" t="s">
        <v>74</v>
      </c>
      <c r="L807" t="s">
        <v>74</v>
      </c>
      <c r="M807" t="s">
        <v>78</v>
      </c>
      <c r="N807" t="s">
        <v>105</v>
      </c>
      <c r="O807" t="s">
        <v>74</v>
      </c>
      <c r="P807" t="s">
        <v>74</v>
      </c>
      <c r="Q807" t="s">
        <v>74</v>
      </c>
      <c r="R807" t="s">
        <v>74</v>
      </c>
      <c r="S807" t="s">
        <v>74</v>
      </c>
      <c r="T807" t="s">
        <v>14992</v>
      </c>
      <c r="U807" t="s">
        <v>14993</v>
      </c>
      <c r="V807" t="s">
        <v>14994</v>
      </c>
      <c r="W807" t="s">
        <v>14995</v>
      </c>
      <c r="X807" t="s">
        <v>14996</v>
      </c>
      <c r="Y807" t="s">
        <v>14997</v>
      </c>
      <c r="Z807" t="s">
        <v>14998</v>
      </c>
      <c r="AA807" t="s">
        <v>74</v>
      </c>
      <c r="AB807" t="s">
        <v>14999</v>
      </c>
      <c r="AC807" t="s">
        <v>15000</v>
      </c>
      <c r="AD807" t="s">
        <v>15001</v>
      </c>
      <c r="AE807" t="s">
        <v>15002</v>
      </c>
      <c r="AF807" t="s">
        <v>74</v>
      </c>
      <c r="AG807">
        <v>123</v>
      </c>
      <c r="AH807">
        <v>0</v>
      </c>
      <c r="AI807">
        <v>0</v>
      </c>
      <c r="AJ807">
        <v>3</v>
      </c>
      <c r="AK807">
        <v>3</v>
      </c>
      <c r="AL807" t="s">
        <v>443</v>
      </c>
      <c r="AM807" t="s">
        <v>245</v>
      </c>
      <c r="AN807" t="s">
        <v>444</v>
      </c>
      <c r="AO807" t="s">
        <v>74</v>
      </c>
      <c r="AP807" t="s">
        <v>3794</v>
      </c>
      <c r="AQ807" t="s">
        <v>74</v>
      </c>
      <c r="AR807" t="s">
        <v>3795</v>
      </c>
      <c r="AS807" t="s">
        <v>3796</v>
      </c>
      <c r="AT807" t="s">
        <v>14692</v>
      </c>
      <c r="AU807">
        <v>2023</v>
      </c>
      <c r="AV807">
        <v>23</v>
      </c>
      <c r="AW807">
        <v>1</v>
      </c>
      <c r="AX807" t="s">
        <v>74</v>
      </c>
      <c r="AY807" t="s">
        <v>74</v>
      </c>
      <c r="AZ807" t="s">
        <v>74</v>
      </c>
      <c r="BA807" t="s">
        <v>74</v>
      </c>
      <c r="BB807" t="s">
        <v>74</v>
      </c>
      <c r="BC807" t="s">
        <v>74</v>
      </c>
      <c r="BD807">
        <v>174</v>
      </c>
      <c r="BE807" t="s">
        <v>15003</v>
      </c>
      <c r="BF807" t="str">
        <f>HYPERLINK("http://dx.doi.org/10.1186/s12935-023-03012-7","http://dx.doi.org/10.1186/s12935-023-03012-7")</f>
        <v>http://dx.doi.org/10.1186/s12935-023-03012-7</v>
      </c>
      <c r="BG807" t="s">
        <v>74</v>
      </c>
      <c r="BH807" t="s">
        <v>74</v>
      </c>
      <c r="BI807">
        <v>15</v>
      </c>
      <c r="BJ807" t="s">
        <v>1951</v>
      </c>
      <c r="BK807" t="s">
        <v>126</v>
      </c>
      <c r="BL807" t="s">
        <v>1951</v>
      </c>
      <c r="BM807" t="s">
        <v>15004</v>
      </c>
      <c r="BN807">
        <v>37605149</v>
      </c>
      <c r="BO807" t="s">
        <v>302</v>
      </c>
      <c r="BP807" t="s">
        <v>74</v>
      </c>
      <c r="BQ807" t="s">
        <v>74</v>
      </c>
      <c r="BR807" t="s">
        <v>99</v>
      </c>
      <c r="BS807" t="s">
        <v>15005</v>
      </c>
      <c r="BT807" t="str">
        <f>HYPERLINK("https%3A%2F%2Fwww.webofscience.com%2Fwos%2Fwoscc%2Ffull-record%2FWOS:001052811700001","View Full Record in Web of Science")</f>
        <v>View Full Record in Web of Science</v>
      </c>
    </row>
    <row r="808" spans="1:72" x14ac:dyDescent="0.15">
      <c r="A808" t="s">
        <v>72</v>
      </c>
      <c r="B808" t="s">
        <v>15006</v>
      </c>
      <c r="C808" t="s">
        <v>74</v>
      </c>
      <c r="D808" t="s">
        <v>74</v>
      </c>
      <c r="E808" t="s">
        <v>74</v>
      </c>
      <c r="F808" t="s">
        <v>15007</v>
      </c>
      <c r="G808" t="s">
        <v>74</v>
      </c>
      <c r="H808" t="s">
        <v>74</v>
      </c>
      <c r="I808" t="s">
        <v>15008</v>
      </c>
      <c r="J808" t="s">
        <v>15009</v>
      </c>
      <c r="K808" t="s">
        <v>74</v>
      </c>
      <c r="L808" t="s">
        <v>74</v>
      </c>
      <c r="M808" t="s">
        <v>78</v>
      </c>
      <c r="N808" t="s">
        <v>1246</v>
      </c>
      <c r="O808" t="s">
        <v>74</v>
      </c>
      <c r="P808" t="s">
        <v>74</v>
      </c>
      <c r="Q808" t="s">
        <v>74</v>
      </c>
      <c r="R808" t="s">
        <v>74</v>
      </c>
      <c r="S808" t="s">
        <v>74</v>
      </c>
      <c r="T808" t="s">
        <v>15010</v>
      </c>
      <c r="U808" t="s">
        <v>15011</v>
      </c>
      <c r="V808" t="s">
        <v>15012</v>
      </c>
      <c r="W808" t="s">
        <v>15013</v>
      </c>
      <c r="X808" t="s">
        <v>15014</v>
      </c>
      <c r="Y808" t="s">
        <v>15015</v>
      </c>
      <c r="Z808" t="s">
        <v>15016</v>
      </c>
      <c r="AA808" t="s">
        <v>74</v>
      </c>
      <c r="AB808" t="s">
        <v>74</v>
      </c>
      <c r="AC808" t="s">
        <v>15017</v>
      </c>
      <c r="AD808" t="s">
        <v>15018</v>
      </c>
      <c r="AE808" t="s">
        <v>15019</v>
      </c>
      <c r="AF808" t="s">
        <v>74</v>
      </c>
      <c r="AG808">
        <v>38</v>
      </c>
      <c r="AH808">
        <v>0</v>
      </c>
      <c r="AI808">
        <v>0</v>
      </c>
      <c r="AJ808">
        <v>0</v>
      </c>
      <c r="AK808">
        <v>0</v>
      </c>
      <c r="AL808" t="s">
        <v>172</v>
      </c>
      <c r="AM808" t="s">
        <v>173</v>
      </c>
      <c r="AN808" t="s">
        <v>174</v>
      </c>
      <c r="AO808" t="s">
        <v>15020</v>
      </c>
      <c r="AP808" t="s">
        <v>15021</v>
      </c>
      <c r="AQ808" t="s">
        <v>74</v>
      </c>
      <c r="AR808" t="s">
        <v>15022</v>
      </c>
      <c r="AS808" t="s">
        <v>15023</v>
      </c>
      <c r="AT808" t="s">
        <v>14646</v>
      </c>
      <c r="AU808">
        <v>2023</v>
      </c>
      <c r="AV808" t="s">
        <v>74</v>
      </c>
      <c r="AW808" t="s">
        <v>74</v>
      </c>
      <c r="AX808" t="s">
        <v>74</v>
      </c>
      <c r="AY808" t="s">
        <v>74</v>
      </c>
      <c r="AZ808" t="s">
        <v>74</v>
      </c>
      <c r="BA808" t="s">
        <v>74</v>
      </c>
      <c r="BB808" t="s">
        <v>74</v>
      </c>
      <c r="BC808" t="s">
        <v>74</v>
      </c>
      <c r="BD808" t="s">
        <v>74</v>
      </c>
      <c r="BE808" t="s">
        <v>15024</v>
      </c>
      <c r="BF808" t="str">
        <f>HYPERLINK("http://dx.doi.org/10.1007/s40620-023-01735-4","http://dx.doi.org/10.1007/s40620-023-01735-4")</f>
        <v>http://dx.doi.org/10.1007/s40620-023-01735-4</v>
      </c>
      <c r="BG808" t="s">
        <v>74</v>
      </c>
      <c r="BH808" t="s">
        <v>10650</v>
      </c>
      <c r="BI808">
        <v>13</v>
      </c>
      <c r="BJ808" t="s">
        <v>7322</v>
      </c>
      <c r="BK808" t="s">
        <v>126</v>
      </c>
      <c r="BL808" t="s">
        <v>7322</v>
      </c>
      <c r="BM808" t="s">
        <v>15025</v>
      </c>
      <c r="BN808">
        <v>37603146</v>
      </c>
      <c r="BO808" t="s">
        <v>74</v>
      </c>
      <c r="BP808" t="s">
        <v>74</v>
      </c>
      <c r="BQ808" t="s">
        <v>74</v>
      </c>
      <c r="BR808" t="s">
        <v>99</v>
      </c>
      <c r="BS808" t="s">
        <v>15026</v>
      </c>
      <c r="BT808" t="str">
        <f>HYPERLINK("https%3A%2F%2Fwww.webofscience.com%2Fwos%2Fwoscc%2Ffull-record%2FWOS:001052512100001","View Full Record in Web of Science")</f>
        <v>View Full Record in Web of Science</v>
      </c>
    </row>
    <row r="809" spans="1:72" x14ac:dyDescent="0.15">
      <c r="A809" t="s">
        <v>72</v>
      </c>
      <c r="B809" t="s">
        <v>15027</v>
      </c>
      <c r="C809" t="s">
        <v>74</v>
      </c>
      <c r="D809" t="s">
        <v>74</v>
      </c>
      <c r="E809" t="s">
        <v>74</v>
      </c>
      <c r="F809" t="s">
        <v>15028</v>
      </c>
      <c r="G809" t="s">
        <v>74</v>
      </c>
      <c r="H809" t="s">
        <v>74</v>
      </c>
      <c r="I809" t="s">
        <v>15029</v>
      </c>
      <c r="J809" t="s">
        <v>15030</v>
      </c>
      <c r="K809" t="s">
        <v>74</v>
      </c>
      <c r="L809" t="s">
        <v>74</v>
      </c>
      <c r="M809" t="s">
        <v>78</v>
      </c>
      <c r="N809" t="s">
        <v>1246</v>
      </c>
      <c r="O809" t="s">
        <v>74</v>
      </c>
      <c r="P809" t="s">
        <v>74</v>
      </c>
      <c r="Q809" t="s">
        <v>74</v>
      </c>
      <c r="R809" t="s">
        <v>74</v>
      </c>
      <c r="S809" t="s">
        <v>74</v>
      </c>
      <c r="T809" t="s">
        <v>15031</v>
      </c>
      <c r="U809" t="s">
        <v>15032</v>
      </c>
      <c r="V809" t="s">
        <v>15033</v>
      </c>
      <c r="W809" t="s">
        <v>15034</v>
      </c>
      <c r="X809" t="s">
        <v>15035</v>
      </c>
      <c r="Y809" t="s">
        <v>15036</v>
      </c>
      <c r="Z809" t="s">
        <v>15037</v>
      </c>
      <c r="AA809" t="s">
        <v>74</v>
      </c>
      <c r="AB809" t="s">
        <v>74</v>
      </c>
      <c r="AC809" t="s">
        <v>15038</v>
      </c>
      <c r="AD809" t="s">
        <v>15039</v>
      </c>
      <c r="AE809" t="s">
        <v>15040</v>
      </c>
      <c r="AF809" t="s">
        <v>74</v>
      </c>
      <c r="AG809">
        <v>53</v>
      </c>
      <c r="AH809">
        <v>0</v>
      </c>
      <c r="AI809">
        <v>0</v>
      </c>
      <c r="AJ809">
        <v>0</v>
      </c>
      <c r="AK809">
        <v>0</v>
      </c>
      <c r="AL809" t="s">
        <v>117</v>
      </c>
      <c r="AM809" t="s">
        <v>118</v>
      </c>
      <c r="AN809" t="s">
        <v>119</v>
      </c>
      <c r="AO809" t="s">
        <v>15041</v>
      </c>
      <c r="AP809" t="s">
        <v>15042</v>
      </c>
      <c r="AQ809" t="s">
        <v>74</v>
      </c>
      <c r="AR809" t="s">
        <v>15043</v>
      </c>
      <c r="AS809" t="s">
        <v>15044</v>
      </c>
      <c r="AT809" t="s">
        <v>14646</v>
      </c>
      <c r="AU809">
        <v>2023</v>
      </c>
      <c r="AV809" t="s">
        <v>74</v>
      </c>
      <c r="AW809" t="s">
        <v>74</v>
      </c>
      <c r="AX809" t="s">
        <v>74</v>
      </c>
      <c r="AY809" t="s">
        <v>74</v>
      </c>
      <c r="AZ809" t="s">
        <v>74</v>
      </c>
      <c r="BA809" t="s">
        <v>74</v>
      </c>
      <c r="BB809" t="s">
        <v>74</v>
      </c>
      <c r="BC809" t="s">
        <v>74</v>
      </c>
      <c r="BD809" t="s">
        <v>74</v>
      </c>
      <c r="BE809" t="s">
        <v>15045</v>
      </c>
      <c r="BF809" t="str">
        <f>HYPERLINK("http://dx.doi.org/10.1007/s12298-023-01344-2","http://dx.doi.org/10.1007/s12298-023-01344-2")</f>
        <v>http://dx.doi.org/10.1007/s12298-023-01344-2</v>
      </c>
      <c r="BG809" t="s">
        <v>74</v>
      </c>
      <c r="BH809" t="s">
        <v>10650</v>
      </c>
      <c r="BI809">
        <v>11</v>
      </c>
      <c r="BJ809" t="s">
        <v>8921</v>
      </c>
      <c r="BK809" t="s">
        <v>126</v>
      </c>
      <c r="BL809" t="s">
        <v>8921</v>
      </c>
      <c r="BM809" t="s">
        <v>15046</v>
      </c>
      <c r="BN809">
        <v>37649885</v>
      </c>
      <c r="BO809" t="s">
        <v>74</v>
      </c>
      <c r="BP809" t="s">
        <v>74</v>
      </c>
      <c r="BQ809" t="s">
        <v>74</v>
      </c>
      <c r="BR809" t="s">
        <v>99</v>
      </c>
      <c r="BS809" t="s">
        <v>15047</v>
      </c>
      <c r="BT809" t="str">
        <f>HYPERLINK("https%3A%2F%2Fwww.webofscience.com%2Fwos%2Fwoscc%2Ffull-record%2FWOS:001052018600001","View Full Record in Web of Science")</f>
        <v>View Full Record in Web of Science</v>
      </c>
    </row>
    <row r="810" spans="1:72" x14ac:dyDescent="0.15">
      <c r="A810" t="s">
        <v>72</v>
      </c>
      <c r="B810" t="s">
        <v>15048</v>
      </c>
      <c r="C810" t="s">
        <v>74</v>
      </c>
      <c r="D810" t="s">
        <v>74</v>
      </c>
      <c r="E810" t="s">
        <v>74</v>
      </c>
      <c r="F810" t="s">
        <v>15049</v>
      </c>
      <c r="G810" t="s">
        <v>74</v>
      </c>
      <c r="H810" t="s">
        <v>74</v>
      </c>
      <c r="I810" t="s">
        <v>15050</v>
      </c>
      <c r="J810" t="s">
        <v>8543</v>
      </c>
      <c r="K810" t="s">
        <v>74</v>
      </c>
      <c r="L810" t="s">
        <v>74</v>
      </c>
      <c r="M810" t="s">
        <v>78</v>
      </c>
      <c r="N810" t="s">
        <v>1246</v>
      </c>
      <c r="O810" t="s">
        <v>74</v>
      </c>
      <c r="P810" t="s">
        <v>74</v>
      </c>
      <c r="Q810" t="s">
        <v>74</v>
      </c>
      <c r="R810" t="s">
        <v>74</v>
      </c>
      <c r="S810" t="s">
        <v>74</v>
      </c>
      <c r="T810" t="s">
        <v>15051</v>
      </c>
      <c r="U810" t="s">
        <v>15052</v>
      </c>
      <c r="V810" t="s">
        <v>15053</v>
      </c>
      <c r="W810" t="s">
        <v>15054</v>
      </c>
      <c r="X810" t="s">
        <v>15055</v>
      </c>
      <c r="Y810" t="s">
        <v>15056</v>
      </c>
      <c r="Z810" t="s">
        <v>15057</v>
      </c>
      <c r="AA810" t="s">
        <v>74</v>
      </c>
      <c r="AB810" t="s">
        <v>74</v>
      </c>
      <c r="AC810" t="s">
        <v>15058</v>
      </c>
      <c r="AD810" t="s">
        <v>15059</v>
      </c>
      <c r="AE810" t="s">
        <v>15060</v>
      </c>
      <c r="AF810" t="s">
        <v>74</v>
      </c>
      <c r="AG810">
        <v>57</v>
      </c>
      <c r="AH810">
        <v>0</v>
      </c>
      <c r="AI810">
        <v>0</v>
      </c>
      <c r="AJ810">
        <v>1</v>
      </c>
      <c r="AK810">
        <v>1</v>
      </c>
      <c r="AL810" t="s">
        <v>117</v>
      </c>
      <c r="AM810" t="s">
        <v>627</v>
      </c>
      <c r="AN810" t="s">
        <v>628</v>
      </c>
      <c r="AO810" t="s">
        <v>8553</v>
      </c>
      <c r="AP810" t="s">
        <v>8554</v>
      </c>
      <c r="AQ810" t="s">
        <v>74</v>
      </c>
      <c r="AR810" t="s">
        <v>8555</v>
      </c>
      <c r="AS810" t="s">
        <v>8556</v>
      </c>
      <c r="AT810" t="s">
        <v>14646</v>
      </c>
      <c r="AU810">
        <v>2023</v>
      </c>
      <c r="AV810" t="s">
        <v>74</v>
      </c>
      <c r="AW810" t="s">
        <v>74</v>
      </c>
      <c r="AX810" t="s">
        <v>74</v>
      </c>
      <c r="AY810" t="s">
        <v>74</v>
      </c>
      <c r="AZ810" t="s">
        <v>74</v>
      </c>
      <c r="BA810" t="s">
        <v>74</v>
      </c>
      <c r="BB810" t="s">
        <v>74</v>
      </c>
      <c r="BC810" t="s">
        <v>74</v>
      </c>
      <c r="BD810" t="s">
        <v>74</v>
      </c>
      <c r="BE810" t="s">
        <v>15061</v>
      </c>
      <c r="BF810" t="str">
        <f>HYPERLINK("http://dx.doi.org/10.1007/s10640-023-00797-z","http://dx.doi.org/10.1007/s10640-023-00797-z")</f>
        <v>http://dx.doi.org/10.1007/s10640-023-00797-z</v>
      </c>
      <c r="BG810" t="s">
        <v>74</v>
      </c>
      <c r="BH810" t="s">
        <v>10650</v>
      </c>
      <c r="BI810">
        <v>35</v>
      </c>
      <c r="BJ810" t="s">
        <v>8558</v>
      </c>
      <c r="BK810" t="s">
        <v>425</v>
      </c>
      <c r="BL810" t="s">
        <v>8559</v>
      </c>
      <c r="BM810" t="s">
        <v>15062</v>
      </c>
      <c r="BN810" t="s">
        <v>74</v>
      </c>
      <c r="BO810" t="s">
        <v>183</v>
      </c>
      <c r="BP810" t="s">
        <v>74</v>
      </c>
      <c r="BQ810" t="s">
        <v>74</v>
      </c>
      <c r="BR810" t="s">
        <v>99</v>
      </c>
      <c r="BS810" t="s">
        <v>15063</v>
      </c>
      <c r="BT810" t="str">
        <f>HYPERLINK("https%3A%2F%2Fwww.webofscience.com%2Fwos%2Fwoscc%2Ffull-record%2FWOS:001052040800001","View Full Record in Web of Science")</f>
        <v>View Full Record in Web of Science</v>
      </c>
    </row>
    <row r="811" spans="1:72" x14ac:dyDescent="0.15">
      <c r="A811" t="s">
        <v>72</v>
      </c>
      <c r="B811" t="s">
        <v>15064</v>
      </c>
      <c r="C811" t="s">
        <v>74</v>
      </c>
      <c r="D811" t="s">
        <v>74</v>
      </c>
      <c r="E811" t="s">
        <v>74</v>
      </c>
      <c r="F811" t="s">
        <v>15065</v>
      </c>
      <c r="G811" t="s">
        <v>74</v>
      </c>
      <c r="H811" t="s">
        <v>74</v>
      </c>
      <c r="I811" t="s">
        <v>15066</v>
      </c>
      <c r="J811" t="s">
        <v>15067</v>
      </c>
      <c r="K811" t="s">
        <v>74</v>
      </c>
      <c r="L811" t="s">
        <v>74</v>
      </c>
      <c r="M811" t="s">
        <v>78</v>
      </c>
      <c r="N811" t="s">
        <v>5945</v>
      </c>
      <c r="O811" t="s">
        <v>74</v>
      </c>
      <c r="P811" t="s">
        <v>74</v>
      </c>
      <c r="Q811" t="s">
        <v>74</v>
      </c>
      <c r="R811" t="s">
        <v>74</v>
      </c>
      <c r="S811" t="s">
        <v>74</v>
      </c>
      <c r="T811" t="s">
        <v>74</v>
      </c>
      <c r="U811" t="s">
        <v>74</v>
      </c>
      <c r="V811" t="s">
        <v>74</v>
      </c>
      <c r="W811" t="s">
        <v>15068</v>
      </c>
      <c r="X811" t="s">
        <v>74</v>
      </c>
      <c r="Y811" t="s">
        <v>15069</v>
      </c>
      <c r="Z811" t="s">
        <v>15070</v>
      </c>
      <c r="AA811" t="s">
        <v>74</v>
      </c>
      <c r="AB811" t="s">
        <v>74</v>
      </c>
      <c r="AC811" t="s">
        <v>74</v>
      </c>
      <c r="AD811" t="s">
        <v>74</v>
      </c>
      <c r="AE811" t="s">
        <v>74</v>
      </c>
      <c r="AF811" t="s">
        <v>74</v>
      </c>
      <c r="AG811">
        <v>1</v>
      </c>
      <c r="AH811">
        <v>0</v>
      </c>
      <c r="AI811">
        <v>0</v>
      </c>
      <c r="AJ811">
        <v>0</v>
      </c>
      <c r="AK811">
        <v>0</v>
      </c>
      <c r="AL811" t="s">
        <v>117</v>
      </c>
      <c r="AM811" t="s">
        <v>627</v>
      </c>
      <c r="AN811" t="s">
        <v>628</v>
      </c>
      <c r="AO811" t="s">
        <v>15071</v>
      </c>
      <c r="AP811" t="s">
        <v>15072</v>
      </c>
      <c r="AQ811" t="s">
        <v>74</v>
      </c>
      <c r="AR811" t="s">
        <v>15073</v>
      </c>
      <c r="AS811" t="s">
        <v>15074</v>
      </c>
      <c r="AT811" t="s">
        <v>14646</v>
      </c>
      <c r="AU811">
        <v>2023</v>
      </c>
      <c r="AV811" t="s">
        <v>74</v>
      </c>
      <c r="AW811" t="s">
        <v>74</v>
      </c>
      <c r="AX811" t="s">
        <v>74</v>
      </c>
      <c r="AY811" t="s">
        <v>74</v>
      </c>
      <c r="AZ811" t="s">
        <v>74</v>
      </c>
      <c r="BA811" t="s">
        <v>74</v>
      </c>
      <c r="BB811" t="s">
        <v>74</v>
      </c>
      <c r="BC811" t="s">
        <v>74</v>
      </c>
      <c r="BD811" t="s">
        <v>74</v>
      </c>
      <c r="BE811" t="s">
        <v>15075</v>
      </c>
      <c r="BF811" t="str">
        <f>HYPERLINK("http://dx.doi.org/10.1007/s12633-023-02625-x","http://dx.doi.org/10.1007/s12633-023-02625-x")</f>
        <v>http://dx.doi.org/10.1007/s12633-023-02625-x</v>
      </c>
      <c r="BG811" t="s">
        <v>74</v>
      </c>
      <c r="BH811" t="s">
        <v>10650</v>
      </c>
      <c r="BI811">
        <v>2</v>
      </c>
      <c r="BJ811" t="s">
        <v>15076</v>
      </c>
      <c r="BK811" t="s">
        <v>126</v>
      </c>
      <c r="BL811" t="s">
        <v>15077</v>
      </c>
      <c r="BM811" t="s">
        <v>15078</v>
      </c>
      <c r="BN811" t="s">
        <v>74</v>
      </c>
      <c r="BO811" t="s">
        <v>762</v>
      </c>
      <c r="BP811" t="s">
        <v>74</v>
      </c>
      <c r="BQ811" t="s">
        <v>74</v>
      </c>
      <c r="BR811" t="s">
        <v>99</v>
      </c>
      <c r="BS811" t="s">
        <v>15079</v>
      </c>
      <c r="BT811" t="str">
        <f>HYPERLINK("https%3A%2F%2Fwww.webofscience.com%2Fwos%2Fwoscc%2Ffull-record%2FWOS:001052536200001","View Full Record in Web of Science")</f>
        <v>View Full Record in Web of Science</v>
      </c>
    </row>
    <row r="812" spans="1:72" x14ac:dyDescent="0.15">
      <c r="A812" t="s">
        <v>72</v>
      </c>
      <c r="B812" t="s">
        <v>15080</v>
      </c>
      <c r="C812" t="s">
        <v>74</v>
      </c>
      <c r="D812" t="s">
        <v>74</v>
      </c>
      <c r="E812" t="s">
        <v>74</v>
      </c>
      <c r="F812" t="s">
        <v>15081</v>
      </c>
      <c r="G812" t="s">
        <v>74</v>
      </c>
      <c r="H812" t="s">
        <v>74</v>
      </c>
      <c r="I812" t="s">
        <v>15082</v>
      </c>
      <c r="J812" t="s">
        <v>5396</v>
      </c>
      <c r="K812" t="s">
        <v>74</v>
      </c>
      <c r="L812" t="s">
        <v>74</v>
      </c>
      <c r="M812" t="s">
        <v>78</v>
      </c>
      <c r="N812" t="s">
        <v>79</v>
      </c>
      <c r="O812" t="s">
        <v>74</v>
      </c>
      <c r="P812" t="s">
        <v>74</v>
      </c>
      <c r="Q812" t="s">
        <v>74</v>
      </c>
      <c r="R812" t="s">
        <v>74</v>
      </c>
      <c r="S812" t="s">
        <v>74</v>
      </c>
      <c r="T812" t="s">
        <v>74</v>
      </c>
      <c r="U812" t="s">
        <v>15083</v>
      </c>
      <c r="V812" t="s">
        <v>15084</v>
      </c>
      <c r="W812" t="s">
        <v>15085</v>
      </c>
      <c r="X812" t="s">
        <v>15086</v>
      </c>
      <c r="Y812" t="s">
        <v>15087</v>
      </c>
      <c r="Z812" t="s">
        <v>15088</v>
      </c>
      <c r="AA812" t="s">
        <v>15089</v>
      </c>
      <c r="AB812" t="s">
        <v>15090</v>
      </c>
      <c r="AC812" t="s">
        <v>15091</v>
      </c>
      <c r="AD812" t="s">
        <v>15092</v>
      </c>
      <c r="AE812" t="s">
        <v>15093</v>
      </c>
      <c r="AF812" t="s">
        <v>74</v>
      </c>
      <c r="AG812">
        <v>81</v>
      </c>
      <c r="AH812">
        <v>0</v>
      </c>
      <c r="AI812">
        <v>0</v>
      </c>
      <c r="AJ812">
        <v>3</v>
      </c>
      <c r="AK812">
        <v>3</v>
      </c>
      <c r="AL812" t="s">
        <v>172</v>
      </c>
      <c r="AM812" t="s">
        <v>173</v>
      </c>
      <c r="AN812" t="s">
        <v>174</v>
      </c>
      <c r="AO812" t="s">
        <v>5404</v>
      </c>
      <c r="AP812" t="s">
        <v>74</v>
      </c>
      <c r="AQ812" t="s">
        <v>74</v>
      </c>
      <c r="AR812" t="s">
        <v>5405</v>
      </c>
      <c r="AS812" t="s">
        <v>5406</v>
      </c>
      <c r="AT812" t="s">
        <v>14692</v>
      </c>
      <c r="AU812">
        <v>2023</v>
      </c>
      <c r="AV812">
        <v>138</v>
      </c>
      <c r="AW812">
        <v>8</v>
      </c>
      <c r="AX812" t="s">
        <v>74</v>
      </c>
      <c r="AY812" t="s">
        <v>74</v>
      </c>
      <c r="AZ812" t="s">
        <v>74</v>
      </c>
      <c r="BA812" t="s">
        <v>74</v>
      </c>
      <c r="BB812" t="s">
        <v>74</v>
      </c>
      <c r="BC812" t="s">
        <v>74</v>
      </c>
      <c r="BD812">
        <v>730</v>
      </c>
      <c r="BE812" t="s">
        <v>15094</v>
      </c>
      <c r="BF812" t="str">
        <f>HYPERLINK("http://dx.doi.org/10.1140/epjp/s13360-023-04343-0","http://dx.doi.org/10.1140/epjp/s13360-023-04343-0")</f>
        <v>http://dx.doi.org/10.1140/epjp/s13360-023-04343-0</v>
      </c>
      <c r="BG812" t="s">
        <v>74</v>
      </c>
      <c r="BH812" t="s">
        <v>74</v>
      </c>
      <c r="BI812">
        <v>15</v>
      </c>
      <c r="BJ812" t="s">
        <v>386</v>
      </c>
      <c r="BK812" t="s">
        <v>126</v>
      </c>
      <c r="BL812" t="s">
        <v>387</v>
      </c>
      <c r="BM812" t="s">
        <v>15095</v>
      </c>
      <c r="BN812" t="s">
        <v>74</v>
      </c>
      <c r="BO812" t="s">
        <v>74</v>
      </c>
      <c r="BP812" t="s">
        <v>74</v>
      </c>
      <c r="BQ812" t="s">
        <v>74</v>
      </c>
      <c r="BR812" t="s">
        <v>99</v>
      </c>
      <c r="BS812" t="s">
        <v>15096</v>
      </c>
      <c r="BT812" t="str">
        <f>HYPERLINK("https%3A%2F%2Fwww.webofscience.com%2Fwos%2Fwoscc%2Ffull-record%2FWOS:001052796100002","View Full Record in Web of Science")</f>
        <v>View Full Record in Web of Science</v>
      </c>
    </row>
    <row r="813" spans="1:72" x14ac:dyDescent="0.15">
      <c r="A813" t="s">
        <v>72</v>
      </c>
      <c r="B813" t="s">
        <v>15097</v>
      </c>
      <c r="C813" t="s">
        <v>74</v>
      </c>
      <c r="D813" t="s">
        <v>74</v>
      </c>
      <c r="E813" t="s">
        <v>74</v>
      </c>
      <c r="F813" t="s">
        <v>15098</v>
      </c>
      <c r="G813" t="s">
        <v>74</v>
      </c>
      <c r="H813" t="s">
        <v>74</v>
      </c>
      <c r="I813" t="s">
        <v>15099</v>
      </c>
      <c r="J813" t="s">
        <v>4400</v>
      </c>
      <c r="K813" t="s">
        <v>74</v>
      </c>
      <c r="L813" t="s">
        <v>74</v>
      </c>
      <c r="M813" t="s">
        <v>78</v>
      </c>
      <c r="N813" t="s">
        <v>1246</v>
      </c>
      <c r="O813" t="s">
        <v>74</v>
      </c>
      <c r="P813" t="s">
        <v>74</v>
      </c>
      <c r="Q813" t="s">
        <v>74</v>
      </c>
      <c r="R813" t="s">
        <v>74</v>
      </c>
      <c r="S813" t="s">
        <v>74</v>
      </c>
      <c r="T813" t="s">
        <v>15100</v>
      </c>
      <c r="U813" t="s">
        <v>15101</v>
      </c>
      <c r="V813" t="s">
        <v>15102</v>
      </c>
      <c r="W813" t="s">
        <v>15103</v>
      </c>
      <c r="X813" t="s">
        <v>15104</v>
      </c>
      <c r="Y813" t="s">
        <v>15105</v>
      </c>
      <c r="Z813" t="s">
        <v>15106</v>
      </c>
      <c r="AA813" t="s">
        <v>74</v>
      </c>
      <c r="AB813" t="s">
        <v>74</v>
      </c>
      <c r="AC813" t="s">
        <v>74</v>
      </c>
      <c r="AD813" t="s">
        <v>74</v>
      </c>
      <c r="AE813" t="s">
        <v>74</v>
      </c>
      <c r="AF813" t="s">
        <v>74</v>
      </c>
      <c r="AG813">
        <v>19</v>
      </c>
      <c r="AH813">
        <v>0</v>
      </c>
      <c r="AI813">
        <v>0</v>
      </c>
      <c r="AJ813">
        <v>0</v>
      </c>
      <c r="AK813">
        <v>0</v>
      </c>
      <c r="AL813" t="s">
        <v>117</v>
      </c>
      <c r="AM813" t="s">
        <v>118</v>
      </c>
      <c r="AN813" t="s">
        <v>119</v>
      </c>
      <c r="AO813" t="s">
        <v>4407</v>
      </c>
      <c r="AP813" t="s">
        <v>4408</v>
      </c>
      <c r="AQ813" t="s">
        <v>74</v>
      </c>
      <c r="AR813" t="s">
        <v>4409</v>
      </c>
      <c r="AS813" t="s">
        <v>4410</v>
      </c>
      <c r="AT813" t="s">
        <v>14646</v>
      </c>
      <c r="AU813">
        <v>2023</v>
      </c>
      <c r="AV813" t="s">
        <v>74</v>
      </c>
      <c r="AW813" t="s">
        <v>74</v>
      </c>
      <c r="AX813" t="s">
        <v>74</v>
      </c>
      <c r="AY813" t="s">
        <v>74</v>
      </c>
      <c r="AZ813" t="s">
        <v>74</v>
      </c>
      <c r="BA813" t="s">
        <v>74</v>
      </c>
      <c r="BB813" t="s">
        <v>74</v>
      </c>
      <c r="BC813" t="s">
        <v>74</v>
      </c>
      <c r="BD813" t="s">
        <v>74</v>
      </c>
      <c r="BE813" t="s">
        <v>15107</v>
      </c>
      <c r="BF813" t="str">
        <f>HYPERLINK("http://dx.doi.org/10.1007/s10998-023-00536-3","http://dx.doi.org/10.1007/s10998-023-00536-3")</f>
        <v>http://dx.doi.org/10.1007/s10998-023-00536-3</v>
      </c>
      <c r="BG813" t="s">
        <v>74</v>
      </c>
      <c r="BH813" t="s">
        <v>10650</v>
      </c>
      <c r="BI813">
        <v>17</v>
      </c>
      <c r="BJ813" t="s">
        <v>227</v>
      </c>
      <c r="BK813" t="s">
        <v>126</v>
      </c>
      <c r="BL813" t="s">
        <v>228</v>
      </c>
      <c r="BM813" t="s">
        <v>15108</v>
      </c>
      <c r="BN813" t="s">
        <v>74</v>
      </c>
      <c r="BO813" t="s">
        <v>1183</v>
      </c>
      <c r="BP813" t="s">
        <v>74</v>
      </c>
      <c r="BQ813" t="s">
        <v>74</v>
      </c>
      <c r="BR813" t="s">
        <v>99</v>
      </c>
      <c r="BS813" t="s">
        <v>15109</v>
      </c>
      <c r="BT813" t="str">
        <f>HYPERLINK("https%3A%2F%2Fwww.webofscience.com%2Fwos%2Fwoscc%2Ffull-record%2FWOS:001051477300001","View Full Record in Web of Science")</f>
        <v>View Full Record in Web of Science</v>
      </c>
    </row>
    <row r="814" spans="1:72" x14ac:dyDescent="0.15">
      <c r="A814" t="s">
        <v>72</v>
      </c>
      <c r="B814" t="s">
        <v>15110</v>
      </c>
      <c r="C814" t="s">
        <v>74</v>
      </c>
      <c r="D814" t="s">
        <v>74</v>
      </c>
      <c r="E814" t="s">
        <v>74</v>
      </c>
      <c r="F814" t="s">
        <v>15111</v>
      </c>
      <c r="G814" t="s">
        <v>74</v>
      </c>
      <c r="H814" t="s">
        <v>74</v>
      </c>
      <c r="I814" t="s">
        <v>15112</v>
      </c>
      <c r="J814" t="s">
        <v>2415</v>
      </c>
      <c r="K814" t="s">
        <v>74</v>
      </c>
      <c r="L814" t="s">
        <v>74</v>
      </c>
      <c r="M814" t="s">
        <v>78</v>
      </c>
      <c r="N814" t="s">
        <v>79</v>
      </c>
      <c r="O814" t="s">
        <v>74</v>
      </c>
      <c r="P814" t="s">
        <v>74</v>
      </c>
      <c r="Q814" t="s">
        <v>74</v>
      </c>
      <c r="R814" t="s">
        <v>74</v>
      </c>
      <c r="S814" t="s">
        <v>74</v>
      </c>
      <c r="T814" t="s">
        <v>15113</v>
      </c>
      <c r="U814" t="s">
        <v>15114</v>
      </c>
      <c r="V814" t="s">
        <v>15115</v>
      </c>
      <c r="W814" t="s">
        <v>15116</v>
      </c>
      <c r="X814" t="s">
        <v>15117</v>
      </c>
      <c r="Y814" t="s">
        <v>15118</v>
      </c>
      <c r="Z814" t="s">
        <v>15119</v>
      </c>
      <c r="AA814" t="s">
        <v>74</v>
      </c>
      <c r="AB814" t="s">
        <v>74</v>
      </c>
      <c r="AC814" t="s">
        <v>74</v>
      </c>
      <c r="AD814" t="s">
        <v>74</v>
      </c>
      <c r="AE814" t="s">
        <v>74</v>
      </c>
      <c r="AF814" t="s">
        <v>74</v>
      </c>
      <c r="AG814">
        <v>52</v>
      </c>
      <c r="AH814">
        <v>0</v>
      </c>
      <c r="AI814">
        <v>0</v>
      </c>
      <c r="AJ814">
        <v>0</v>
      </c>
      <c r="AK814">
        <v>0</v>
      </c>
      <c r="AL814" t="s">
        <v>443</v>
      </c>
      <c r="AM814" t="s">
        <v>245</v>
      </c>
      <c r="AN814" t="s">
        <v>444</v>
      </c>
      <c r="AO814" t="s">
        <v>74</v>
      </c>
      <c r="AP814" t="s">
        <v>2425</v>
      </c>
      <c r="AQ814" t="s">
        <v>74</v>
      </c>
      <c r="AR814" t="s">
        <v>2426</v>
      </c>
      <c r="AS814" t="s">
        <v>2427</v>
      </c>
      <c r="AT814" t="s">
        <v>14692</v>
      </c>
      <c r="AU814">
        <v>2023</v>
      </c>
      <c r="AV814">
        <v>23</v>
      </c>
      <c r="AW814">
        <v>1</v>
      </c>
      <c r="AX814" t="s">
        <v>74</v>
      </c>
      <c r="AY814" t="s">
        <v>74</v>
      </c>
      <c r="AZ814" t="s">
        <v>74</v>
      </c>
      <c r="BA814" t="s">
        <v>74</v>
      </c>
      <c r="BB814" t="s">
        <v>74</v>
      </c>
      <c r="BC814" t="s">
        <v>74</v>
      </c>
      <c r="BD814">
        <v>499</v>
      </c>
      <c r="BE814" t="s">
        <v>15120</v>
      </c>
      <c r="BF814" t="str">
        <f>HYPERLINK("http://dx.doi.org/10.1186/s12877-023-04217-1","http://dx.doi.org/10.1186/s12877-023-04217-1")</f>
        <v>http://dx.doi.org/10.1186/s12877-023-04217-1</v>
      </c>
      <c r="BG814" t="s">
        <v>74</v>
      </c>
      <c r="BH814" t="s">
        <v>74</v>
      </c>
      <c r="BI814">
        <v>14</v>
      </c>
      <c r="BJ814" t="s">
        <v>2430</v>
      </c>
      <c r="BK814" t="s">
        <v>2431</v>
      </c>
      <c r="BL814" t="s">
        <v>672</v>
      </c>
      <c r="BM814" t="s">
        <v>15121</v>
      </c>
      <c r="BN814">
        <v>37605154</v>
      </c>
      <c r="BO814" t="s">
        <v>302</v>
      </c>
      <c r="BP814" t="s">
        <v>74</v>
      </c>
      <c r="BQ814" t="s">
        <v>74</v>
      </c>
      <c r="BR814" t="s">
        <v>99</v>
      </c>
      <c r="BS814" t="s">
        <v>15122</v>
      </c>
      <c r="BT814" t="str">
        <f>HYPERLINK("https%3A%2F%2Fwww.webofscience.com%2Fwos%2Fwoscc%2Ffull-record%2FWOS:001052141900001","View Full Record in Web of Science")</f>
        <v>View Full Record in Web of Science</v>
      </c>
    </row>
    <row r="815" spans="1:72" x14ac:dyDescent="0.15">
      <c r="A815" t="s">
        <v>72</v>
      </c>
      <c r="B815" t="s">
        <v>15123</v>
      </c>
      <c r="C815" t="s">
        <v>74</v>
      </c>
      <c r="D815" t="s">
        <v>74</v>
      </c>
      <c r="E815" t="s">
        <v>74</v>
      </c>
      <c r="F815" t="s">
        <v>15124</v>
      </c>
      <c r="G815" t="s">
        <v>74</v>
      </c>
      <c r="H815" t="s">
        <v>74</v>
      </c>
      <c r="I815" t="s">
        <v>15125</v>
      </c>
      <c r="J815" t="s">
        <v>15126</v>
      </c>
      <c r="K815" t="s">
        <v>74</v>
      </c>
      <c r="L815" t="s">
        <v>74</v>
      </c>
      <c r="M815" t="s">
        <v>78</v>
      </c>
      <c r="N815" t="s">
        <v>3055</v>
      </c>
      <c r="O815" t="s">
        <v>74</v>
      </c>
      <c r="P815" t="s">
        <v>74</v>
      </c>
      <c r="Q815" t="s">
        <v>74</v>
      </c>
      <c r="R815" t="s">
        <v>74</v>
      </c>
      <c r="S815" t="s">
        <v>74</v>
      </c>
      <c r="T815" t="s">
        <v>74</v>
      </c>
      <c r="U815" t="s">
        <v>74</v>
      </c>
      <c r="V815" t="s">
        <v>74</v>
      </c>
      <c r="W815" t="s">
        <v>15127</v>
      </c>
      <c r="X815" t="s">
        <v>74</v>
      </c>
      <c r="Y815" t="s">
        <v>15128</v>
      </c>
      <c r="Z815" t="s">
        <v>15129</v>
      </c>
      <c r="AA815" t="s">
        <v>74</v>
      </c>
      <c r="AB815" t="s">
        <v>74</v>
      </c>
      <c r="AC815" t="s">
        <v>74</v>
      </c>
      <c r="AD815" t="s">
        <v>74</v>
      </c>
      <c r="AE815" t="s">
        <v>74</v>
      </c>
      <c r="AF815" t="s">
        <v>74</v>
      </c>
      <c r="AG815">
        <v>1</v>
      </c>
      <c r="AH815">
        <v>0</v>
      </c>
      <c r="AI815">
        <v>0</v>
      </c>
      <c r="AJ815">
        <v>0</v>
      </c>
      <c r="AK815">
        <v>0</v>
      </c>
      <c r="AL815" t="s">
        <v>1500</v>
      </c>
      <c r="AM815" t="s">
        <v>1501</v>
      </c>
      <c r="AN815" t="s">
        <v>1502</v>
      </c>
      <c r="AO815" t="s">
        <v>15130</v>
      </c>
      <c r="AP815" t="s">
        <v>15131</v>
      </c>
      <c r="AQ815" t="s">
        <v>74</v>
      </c>
      <c r="AR815" t="s">
        <v>15132</v>
      </c>
      <c r="AS815" t="s">
        <v>15133</v>
      </c>
      <c r="AT815" t="s">
        <v>14646</v>
      </c>
      <c r="AU815">
        <v>2023</v>
      </c>
      <c r="AV815" t="s">
        <v>74</v>
      </c>
      <c r="AW815" t="s">
        <v>74</v>
      </c>
      <c r="AX815" t="s">
        <v>74</v>
      </c>
      <c r="AY815" t="s">
        <v>74</v>
      </c>
      <c r="AZ815" t="s">
        <v>74</v>
      </c>
      <c r="BA815" t="s">
        <v>74</v>
      </c>
      <c r="BB815" t="s">
        <v>74</v>
      </c>
      <c r="BC815" t="s">
        <v>74</v>
      </c>
      <c r="BD815" t="s">
        <v>74</v>
      </c>
      <c r="BE815" t="s">
        <v>15134</v>
      </c>
      <c r="BF815" t="str">
        <f>HYPERLINK("http://dx.doi.org/10.1007/s12282-023-01495-w","http://dx.doi.org/10.1007/s12282-023-01495-w")</f>
        <v>http://dx.doi.org/10.1007/s12282-023-01495-w</v>
      </c>
      <c r="BG815" t="s">
        <v>74</v>
      </c>
      <c r="BH815" t="s">
        <v>10650</v>
      </c>
      <c r="BI815">
        <v>1</v>
      </c>
      <c r="BJ815" t="s">
        <v>15135</v>
      </c>
      <c r="BK815" t="s">
        <v>126</v>
      </c>
      <c r="BL815" t="s">
        <v>15135</v>
      </c>
      <c r="BM815" t="s">
        <v>15136</v>
      </c>
      <c r="BN815">
        <v>37603254</v>
      </c>
      <c r="BO815" t="s">
        <v>762</v>
      </c>
      <c r="BP815" t="s">
        <v>74</v>
      </c>
      <c r="BQ815" t="s">
        <v>74</v>
      </c>
      <c r="BR815" t="s">
        <v>99</v>
      </c>
      <c r="BS815" t="s">
        <v>15137</v>
      </c>
      <c r="BT815" t="str">
        <f>HYPERLINK("https%3A%2F%2Fwww.webofscience.com%2Fwos%2Fwoscc%2Ffull-record%2FWOS:001052512400001","View Full Record in Web of Science")</f>
        <v>View Full Record in Web of Science</v>
      </c>
    </row>
    <row r="816" spans="1:72" x14ac:dyDescent="0.15">
      <c r="A816" t="s">
        <v>72</v>
      </c>
      <c r="B816" t="s">
        <v>15138</v>
      </c>
      <c r="C816" t="s">
        <v>74</v>
      </c>
      <c r="D816" t="s">
        <v>74</v>
      </c>
      <c r="E816" t="s">
        <v>74</v>
      </c>
      <c r="F816" t="s">
        <v>15139</v>
      </c>
      <c r="G816" t="s">
        <v>74</v>
      </c>
      <c r="H816" t="s">
        <v>74</v>
      </c>
      <c r="I816" t="s">
        <v>15140</v>
      </c>
      <c r="J816" t="s">
        <v>2913</v>
      </c>
      <c r="K816" t="s">
        <v>74</v>
      </c>
      <c r="L816" t="s">
        <v>74</v>
      </c>
      <c r="M816" t="s">
        <v>78</v>
      </c>
      <c r="N816" t="s">
        <v>1246</v>
      </c>
      <c r="O816" t="s">
        <v>74</v>
      </c>
      <c r="P816" t="s">
        <v>74</v>
      </c>
      <c r="Q816" t="s">
        <v>74</v>
      </c>
      <c r="R816" t="s">
        <v>74</v>
      </c>
      <c r="S816" t="s">
        <v>74</v>
      </c>
      <c r="T816" t="s">
        <v>15141</v>
      </c>
      <c r="U816" t="s">
        <v>15142</v>
      </c>
      <c r="V816" t="s">
        <v>15143</v>
      </c>
      <c r="W816" t="s">
        <v>15144</v>
      </c>
      <c r="X816" t="s">
        <v>15145</v>
      </c>
      <c r="Y816" t="s">
        <v>15146</v>
      </c>
      <c r="Z816" t="s">
        <v>15147</v>
      </c>
      <c r="AA816" t="s">
        <v>74</v>
      </c>
      <c r="AB816" t="s">
        <v>74</v>
      </c>
      <c r="AC816" t="s">
        <v>15148</v>
      </c>
      <c r="AD816" t="s">
        <v>15149</v>
      </c>
      <c r="AE816" t="s">
        <v>15150</v>
      </c>
      <c r="AF816" t="s">
        <v>74</v>
      </c>
      <c r="AG816">
        <v>52</v>
      </c>
      <c r="AH816">
        <v>0</v>
      </c>
      <c r="AI816">
        <v>0</v>
      </c>
      <c r="AJ816">
        <v>0</v>
      </c>
      <c r="AK816">
        <v>0</v>
      </c>
      <c r="AL816" t="s">
        <v>117</v>
      </c>
      <c r="AM816" t="s">
        <v>627</v>
      </c>
      <c r="AN816" t="s">
        <v>628</v>
      </c>
      <c r="AO816" t="s">
        <v>2921</v>
      </c>
      <c r="AP816" t="s">
        <v>2922</v>
      </c>
      <c r="AQ816" t="s">
        <v>74</v>
      </c>
      <c r="AR816" t="s">
        <v>2923</v>
      </c>
      <c r="AS816" t="s">
        <v>2924</v>
      </c>
      <c r="AT816" t="s">
        <v>14646</v>
      </c>
      <c r="AU816">
        <v>2023</v>
      </c>
      <c r="AV816" t="s">
        <v>74</v>
      </c>
      <c r="AW816" t="s">
        <v>74</v>
      </c>
      <c r="AX816" t="s">
        <v>74</v>
      </c>
      <c r="AY816" t="s">
        <v>74</v>
      </c>
      <c r="AZ816" t="s">
        <v>74</v>
      </c>
      <c r="BA816" t="s">
        <v>74</v>
      </c>
      <c r="BB816" t="s">
        <v>74</v>
      </c>
      <c r="BC816" t="s">
        <v>74</v>
      </c>
      <c r="BD816" t="s">
        <v>74</v>
      </c>
      <c r="BE816" t="s">
        <v>15151</v>
      </c>
      <c r="BF816" t="str">
        <f>HYPERLINK("http://dx.doi.org/10.1007/s11042-023-16524-1","http://dx.doi.org/10.1007/s11042-023-16524-1")</f>
        <v>http://dx.doi.org/10.1007/s11042-023-16524-1</v>
      </c>
      <c r="BG816" t="s">
        <v>74</v>
      </c>
      <c r="BH816" t="s">
        <v>10650</v>
      </c>
      <c r="BI816">
        <v>16</v>
      </c>
      <c r="BJ816" t="s">
        <v>2926</v>
      </c>
      <c r="BK816" t="s">
        <v>126</v>
      </c>
      <c r="BL816" t="s">
        <v>2493</v>
      </c>
      <c r="BM816" t="s">
        <v>15152</v>
      </c>
      <c r="BN816" t="s">
        <v>74</v>
      </c>
      <c r="BO816" t="s">
        <v>74</v>
      </c>
      <c r="BP816" t="s">
        <v>74</v>
      </c>
      <c r="BQ816" t="s">
        <v>74</v>
      </c>
      <c r="BR816" t="s">
        <v>99</v>
      </c>
      <c r="BS816" t="s">
        <v>15153</v>
      </c>
      <c r="BT816" t="str">
        <f>HYPERLINK("https%3A%2F%2Fwww.webofscience.com%2Fwos%2Fwoscc%2Ffull-record%2FWOS:001054228300005","View Full Record in Web of Science")</f>
        <v>View Full Record in Web of Science</v>
      </c>
    </row>
    <row r="817" spans="1:72" x14ac:dyDescent="0.15">
      <c r="A817" t="s">
        <v>72</v>
      </c>
      <c r="B817" t="s">
        <v>15154</v>
      </c>
      <c r="C817" t="s">
        <v>74</v>
      </c>
      <c r="D817" t="s">
        <v>74</v>
      </c>
      <c r="E817" t="s">
        <v>74</v>
      </c>
      <c r="F817" t="s">
        <v>15155</v>
      </c>
      <c r="G817" t="s">
        <v>74</v>
      </c>
      <c r="H817" t="s">
        <v>74</v>
      </c>
      <c r="I817" t="s">
        <v>15156</v>
      </c>
      <c r="J817" t="s">
        <v>10048</v>
      </c>
      <c r="K817" t="s">
        <v>74</v>
      </c>
      <c r="L817" t="s">
        <v>74</v>
      </c>
      <c r="M817" t="s">
        <v>78</v>
      </c>
      <c r="N817" t="s">
        <v>79</v>
      </c>
      <c r="O817" t="s">
        <v>74</v>
      </c>
      <c r="P817" t="s">
        <v>74</v>
      </c>
      <c r="Q817" t="s">
        <v>74</v>
      </c>
      <c r="R817" t="s">
        <v>74</v>
      </c>
      <c r="S817" t="s">
        <v>74</v>
      </c>
      <c r="T817" t="s">
        <v>15157</v>
      </c>
      <c r="U817" t="s">
        <v>15158</v>
      </c>
      <c r="V817" t="s">
        <v>15159</v>
      </c>
      <c r="W817" t="s">
        <v>15160</v>
      </c>
      <c r="X817" t="s">
        <v>74</v>
      </c>
      <c r="Y817" t="s">
        <v>15161</v>
      </c>
      <c r="Z817" t="s">
        <v>15162</v>
      </c>
      <c r="AA817" t="s">
        <v>74</v>
      </c>
      <c r="AB817" t="s">
        <v>74</v>
      </c>
      <c r="AC817" t="s">
        <v>15163</v>
      </c>
      <c r="AD817" t="s">
        <v>15163</v>
      </c>
      <c r="AE817" t="s">
        <v>15164</v>
      </c>
      <c r="AF817" t="s">
        <v>74</v>
      </c>
      <c r="AG817">
        <v>37</v>
      </c>
      <c r="AH817">
        <v>0</v>
      </c>
      <c r="AI817">
        <v>0</v>
      </c>
      <c r="AJ817">
        <v>2</v>
      </c>
      <c r="AK817">
        <v>2</v>
      </c>
      <c r="AL817" t="s">
        <v>117</v>
      </c>
      <c r="AM817" t="s">
        <v>118</v>
      </c>
      <c r="AN817" t="s">
        <v>119</v>
      </c>
      <c r="AO817" t="s">
        <v>10060</v>
      </c>
      <c r="AP817" t="s">
        <v>10061</v>
      </c>
      <c r="AQ817" t="s">
        <v>74</v>
      </c>
      <c r="AR817" t="s">
        <v>10062</v>
      </c>
      <c r="AS817" t="s">
        <v>10063</v>
      </c>
      <c r="AT817" t="s">
        <v>14692</v>
      </c>
      <c r="AU817">
        <v>2023</v>
      </c>
      <c r="AV817">
        <v>22</v>
      </c>
      <c r="AW817">
        <v>8</v>
      </c>
      <c r="AX817" t="s">
        <v>74</v>
      </c>
      <c r="AY817" t="s">
        <v>74</v>
      </c>
      <c r="AZ817" t="s">
        <v>74</v>
      </c>
      <c r="BA817" t="s">
        <v>74</v>
      </c>
      <c r="BB817" t="s">
        <v>74</v>
      </c>
      <c r="BC817" t="s">
        <v>74</v>
      </c>
      <c r="BD817">
        <v>319</v>
      </c>
      <c r="BE817" t="s">
        <v>15165</v>
      </c>
      <c r="BF817" t="str">
        <f>HYPERLINK("http://dx.doi.org/10.1007/s11128-023-04055-5","http://dx.doi.org/10.1007/s11128-023-04055-5")</f>
        <v>http://dx.doi.org/10.1007/s11128-023-04055-5</v>
      </c>
      <c r="BG817" t="s">
        <v>74</v>
      </c>
      <c r="BH817" t="s">
        <v>74</v>
      </c>
      <c r="BI817">
        <v>13</v>
      </c>
      <c r="BJ817" t="s">
        <v>10065</v>
      </c>
      <c r="BK817" t="s">
        <v>126</v>
      </c>
      <c r="BL817" t="s">
        <v>387</v>
      </c>
      <c r="BM817" t="s">
        <v>15166</v>
      </c>
      <c r="BN817" t="s">
        <v>74</v>
      </c>
      <c r="BO817" t="s">
        <v>74</v>
      </c>
      <c r="BP817" t="s">
        <v>74</v>
      </c>
      <c r="BQ817" t="s">
        <v>74</v>
      </c>
      <c r="BR817" t="s">
        <v>99</v>
      </c>
      <c r="BS817" t="s">
        <v>15167</v>
      </c>
      <c r="BT817" t="str">
        <f>HYPERLINK("https%3A%2F%2Fwww.webofscience.com%2Fwos%2Fwoscc%2Ffull-record%2FWOS:001052790500001","View Full Record in Web of Science")</f>
        <v>View Full Record in Web of Science</v>
      </c>
    </row>
    <row r="818" spans="1:72" x14ac:dyDescent="0.15">
      <c r="A818" t="s">
        <v>72</v>
      </c>
      <c r="B818" t="s">
        <v>15168</v>
      </c>
      <c r="C818" t="s">
        <v>74</v>
      </c>
      <c r="D818" t="s">
        <v>74</v>
      </c>
      <c r="E818" t="s">
        <v>74</v>
      </c>
      <c r="F818" t="s">
        <v>15169</v>
      </c>
      <c r="G818" t="s">
        <v>74</v>
      </c>
      <c r="H818" t="s">
        <v>74</v>
      </c>
      <c r="I818" t="s">
        <v>15170</v>
      </c>
      <c r="J818" t="s">
        <v>15171</v>
      </c>
      <c r="K818" t="s">
        <v>74</v>
      </c>
      <c r="L818" t="s">
        <v>74</v>
      </c>
      <c r="M818" t="s">
        <v>78</v>
      </c>
      <c r="N818" t="s">
        <v>5945</v>
      </c>
      <c r="O818" t="s">
        <v>74</v>
      </c>
      <c r="P818" t="s">
        <v>74</v>
      </c>
      <c r="Q818" t="s">
        <v>74</v>
      </c>
      <c r="R818" t="s">
        <v>74</v>
      </c>
      <c r="S818" t="s">
        <v>74</v>
      </c>
      <c r="T818" t="s">
        <v>74</v>
      </c>
      <c r="U818" t="s">
        <v>74</v>
      </c>
      <c r="V818" t="s">
        <v>74</v>
      </c>
      <c r="W818" t="s">
        <v>15172</v>
      </c>
      <c r="X818" t="s">
        <v>15173</v>
      </c>
      <c r="Y818" t="s">
        <v>15174</v>
      </c>
      <c r="Z818" t="s">
        <v>15175</v>
      </c>
      <c r="AA818" t="s">
        <v>74</v>
      </c>
      <c r="AB818" t="s">
        <v>74</v>
      </c>
      <c r="AC818" t="s">
        <v>74</v>
      </c>
      <c r="AD818" t="s">
        <v>74</v>
      </c>
      <c r="AE818" t="s">
        <v>74</v>
      </c>
      <c r="AF818" t="s">
        <v>74</v>
      </c>
      <c r="AG818">
        <v>1</v>
      </c>
      <c r="AH818">
        <v>0</v>
      </c>
      <c r="AI818">
        <v>0</v>
      </c>
      <c r="AJ818">
        <v>0</v>
      </c>
      <c r="AK818">
        <v>0</v>
      </c>
      <c r="AL818" t="s">
        <v>1500</v>
      </c>
      <c r="AM818" t="s">
        <v>1501</v>
      </c>
      <c r="AN818" t="s">
        <v>1502</v>
      </c>
      <c r="AO818" t="s">
        <v>15176</v>
      </c>
      <c r="AP818" t="s">
        <v>15177</v>
      </c>
      <c r="AQ818" t="s">
        <v>74</v>
      </c>
      <c r="AR818" t="s">
        <v>15178</v>
      </c>
      <c r="AS818" t="s">
        <v>15179</v>
      </c>
      <c r="AT818" t="s">
        <v>14646</v>
      </c>
      <c r="AU818">
        <v>2023</v>
      </c>
      <c r="AV818" t="s">
        <v>74</v>
      </c>
      <c r="AW818" t="s">
        <v>74</v>
      </c>
      <c r="AX818" t="s">
        <v>74</v>
      </c>
      <c r="AY818" t="s">
        <v>74</v>
      </c>
      <c r="AZ818" t="s">
        <v>74</v>
      </c>
      <c r="BA818" t="s">
        <v>74</v>
      </c>
      <c r="BB818" t="s">
        <v>74</v>
      </c>
      <c r="BC818" t="s">
        <v>74</v>
      </c>
      <c r="BD818" t="s">
        <v>74</v>
      </c>
      <c r="BE818" t="s">
        <v>15180</v>
      </c>
      <c r="BF818" t="str">
        <f>HYPERLINK("http://dx.doi.org/10.1007/s10384-023-01019-1","http://dx.doi.org/10.1007/s10384-023-01019-1")</f>
        <v>http://dx.doi.org/10.1007/s10384-023-01019-1</v>
      </c>
      <c r="BG818" t="s">
        <v>74</v>
      </c>
      <c r="BH818" t="s">
        <v>10650</v>
      </c>
      <c r="BI818">
        <v>1</v>
      </c>
      <c r="BJ818" t="s">
        <v>7038</v>
      </c>
      <c r="BK818" t="s">
        <v>126</v>
      </c>
      <c r="BL818" t="s">
        <v>7038</v>
      </c>
      <c r="BM818" t="s">
        <v>15181</v>
      </c>
      <c r="BN818">
        <v>37603149</v>
      </c>
      <c r="BO818" t="s">
        <v>762</v>
      </c>
      <c r="BP818" t="s">
        <v>74</v>
      </c>
      <c r="BQ818" t="s">
        <v>74</v>
      </c>
      <c r="BR818" t="s">
        <v>99</v>
      </c>
      <c r="BS818" t="s">
        <v>15182</v>
      </c>
      <c r="BT818" t="str">
        <f>HYPERLINK("https%3A%2F%2Fwww.webofscience.com%2Fwos%2Fwoscc%2Ffull-record%2FWOS:001052505600001","View Full Record in Web of Science")</f>
        <v>View Full Record in Web of Science</v>
      </c>
    </row>
    <row r="819" spans="1:72" x14ac:dyDescent="0.15">
      <c r="A819" t="s">
        <v>72</v>
      </c>
      <c r="B819" t="s">
        <v>15183</v>
      </c>
      <c r="C819" t="s">
        <v>74</v>
      </c>
      <c r="D819" t="s">
        <v>74</v>
      </c>
      <c r="E819" t="s">
        <v>74</v>
      </c>
      <c r="F819" t="s">
        <v>15184</v>
      </c>
      <c r="G819" t="s">
        <v>74</v>
      </c>
      <c r="H819" t="s">
        <v>74</v>
      </c>
      <c r="I819" t="s">
        <v>15185</v>
      </c>
      <c r="J819" t="s">
        <v>15186</v>
      </c>
      <c r="K819" t="s">
        <v>74</v>
      </c>
      <c r="L819" t="s">
        <v>74</v>
      </c>
      <c r="M819" t="s">
        <v>4349</v>
      </c>
      <c r="N819" t="s">
        <v>1246</v>
      </c>
      <c r="O819" t="s">
        <v>74</v>
      </c>
      <c r="P819" t="s">
        <v>74</v>
      </c>
      <c r="Q819" t="s">
        <v>74</v>
      </c>
      <c r="R819" t="s">
        <v>74</v>
      </c>
      <c r="S819" t="s">
        <v>74</v>
      </c>
      <c r="T819" t="s">
        <v>15187</v>
      </c>
      <c r="U819" t="s">
        <v>15188</v>
      </c>
      <c r="V819" t="s">
        <v>15189</v>
      </c>
      <c r="W819" t="s">
        <v>15190</v>
      </c>
      <c r="X819" t="s">
        <v>15191</v>
      </c>
      <c r="Y819" t="s">
        <v>15192</v>
      </c>
      <c r="Z819" t="s">
        <v>15193</v>
      </c>
      <c r="AA819" t="s">
        <v>74</v>
      </c>
      <c r="AB819" t="s">
        <v>74</v>
      </c>
      <c r="AC819" t="s">
        <v>74</v>
      </c>
      <c r="AD819" t="s">
        <v>74</v>
      </c>
      <c r="AE819" t="s">
        <v>74</v>
      </c>
      <c r="AF819" t="s">
        <v>74</v>
      </c>
      <c r="AG819">
        <v>51</v>
      </c>
      <c r="AH819">
        <v>0</v>
      </c>
      <c r="AI819">
        <v>0</v>
      </c>
      <c r="AJ819">
        <v>0</v>
      </c>
      <c r="AK819">
        <v>0</v>
      </c>
      <c r="AL819" t="s">
        <v>172</v>
      </c>
      <c r="AM819" t="s">
        <v>173</v>
      </c>
      <c r="AN819" t="s">
        <v>174</v>
      </c>
      <c r="AO819" t="s">
        <v>15194</v>
      </c>
      <c r="AP819" t="s">
        <v>15195</v>
      </c>
      <c r="AQ819" t="s">
        <v>74</v>
      </c>
      <c r="AR819" t="s">
        <v>15186</v>
      </c>
      <c r="AS819" t="s">
        <v>15196</v>
      </c>
      <c r="AT819" t="s">
        <v>14646</v>
      </c>
      <c r="AU819">
        <v>2023</v>
      </c>
      <c r="AV819" t="s">
        <v>74</v>
      </c>
      <c r="AW819" t="s">
        <v>74</v>
      </c>
      <c r="AX819" t="s">
        <v>74</v>
      </c>
      <c r="AY819" t="s">
        <v>74</v>
      </c>
      <c r="AZ819" t="s">
        <v>74</v>
      </c>
      <c r="BA819" t="s">
        <v>74</v>
      </c>
      <c r="BB819" t="s">
        <v>74</v>
      </c>
      <c r="BC819" t="s">
        <v>74</v>
      </c>
      <c r="BD819" t="s">
        <v>74</v>
      </c>
      <c r="BE819" t="s">
        <v>15197</v>
      </c>
      <c r="BF819" t="str">
        <f>HYPERLINK("http://dx.doi.org/10.1007/s12285-023-00432-2","http://dx.doi.org/10.1007/s12285-023-00432-2")</f>
        <v>http://dx.doi.org/10.1007/s12285-023-00432-2</v>
      </c>
      <c r="BG819" t="s">
        <v>74</v>
      </c>
      <c r="BH819" t="s">
        <v>10650</v>
      </c>
      <c r="BI819">
        <v>8</v>
      </c>
      <c r="BJ819" t="s">
        <v>3486</v>
      </c>
      <c r="BK819" t="s">
        <v>97</v>
      </c>
      <c r="BL819" t="s">
        <v>3486</v>
      </c>
      <c r="BM819" t="s">
        <v>15198</v>
      </c>
      <c r="BN819" t="s">
        <v>74</v>
      </c>
      <c r="BO819" t="s">
        <v>74</v>
      </c>
      <c r="BP819" t="s">
        <v>74</v>
      </c>
      <c r="BQ819" t="s">
        <v>74</v>
      </c>
      <c r="BR819" t="s">
        <v>99</v>
      </c>
      <c r="BS819" t="s">
        <v>15199</v>
      </c>
      <c r="BT819" t="str">
        <f>HYPERLINK("https%3A%2F%2Fwww.webofscience.com%2Fwos%2Fwoscc%2Ffull-record%2FWOS:001052487400001","View Full Record in Web of Science")</f>
        <v>View Full Record in Web of Science</v>
      </c>
    </row>
    <row r="820" spans="1:72" x14ac:dyDescent="0.15">
      <c r="A820" t="s">
        <v>72</v>
      </c>
      <c r="B820" t="s">
        <v>15200</v>
      </c>
      <c r="C820" t="s">
        <v>74</v>
      </c>
      <c r="D820" t="s">
        <v>74</v>
      </c>
      <c r="E820" t="s">
        <v>74</v>
      </c>
      <c r="F820" t="s">
        <v>15201</v>
      </c>
      <c r="G820" t="s">
        <v>74</v>
      </c>
      <c r="H820" t="s">
        <v>74</v>
      </c>
      <c r="I820" t="s">
        <v>15202</v>
      </c>
      <c r="J820" t="s">
        <v>2415</v>
      </c>
      <c r="K820" t="s">
        <v>74</v>
      </c>
      <c r="L820" t="s">
        <v>74</v>
      </c>
      <c r="M820" t="s">
        <v>78</v>
      </c>
      <c r="N820" t="s">
        <v>79</v>
      </c>
      <c r="O820" t="s">
        <v>74</v>
      </c>
      <c r="P820" t="s">
        <v>74</v>
      </c>
      <c r="Q820" t="s">
        <v>74</v>
      </c>
      <c r="R820" t="s">
        <v>74</v>
      </c>
      <c r="S820" t="s">
        <v>74</v>
      </c>
      <c r="T820" t="s">
        <v>15203</v>
      </c>
      <c r="U820" t="s">
        <v>15204</v>
      </c>
      <c r="V820" t="s">
        <v>15205</v>
      </c>
      <c r="W820" t="s">
        <v>15206</v>
      </c>
      <c r="X820" t="s">
        <v>15207</v>
      </c>
      <c r="Y820" t="s">
        <v>15208</v>
      </c>
      <c r="Z820" t="s">
        <v>15209</v>
      </c>
      <c r="AA820" t="s">
        <v>74</v>
      </c>
      <c r="AB820" t="s">
        <v>74</v>
      </c>
      <c r="AC820" t="s">
        <v>74</v>
      </c>
      <c r="AD820" t="s">
        <v>74</v>
      </c>
      <c r="AE820" t="s">
        <v>74</v>
      </c>
      <c r="AF820" t="s">
        <v>74</v>
      </c>
      <c r="AG820">
        <v>56</v>
      </c>
      <c r="AH820">
        <v>0</v>
      </c>
      <c r="AI820">
        <v>0</v>
      </c>
      <c r="AJ820">
        <v>0</v>
      </c>
      <c r="AK820">
        <v>0</v>
      </c>
      <c r="AL820" t="s">
        <v>443</v>
      </c>
      <c r="AM820" t="s">
        <v>245</v>
      </c>
      <c r="AN820" t="s">
        <v>444</v>
      </c>
      <c r="AO820" t="s">
        <v>74</v>
      </c>
      <c r="AP820" t="s">
        <v>2425</v>
      </c>
      <c r="AQ820" t="s">
        <v>74</v>
      </c>
      <c r="AR820" t="s">
        <v>2426</v>
      </c>
      <c r="AS820" t="s">
        <v>2427</v>
      </c>
      <c r="AT820" t="s">
        <v>14692</v>
      </c>
      <c r="AU820">
        <v>2023</v>
      </c>
      <c r="AV820">
        <v>23</v>
      </c>
      <c r="AW820">
        <v>1</v>
      </c>
      <c r="AX820" t="s">
        <v>74</v>
      </c>
      <c r="AY820" t="s">
        <v>74</v>
      </c>
      <c r="AZ820" t="s">
        <v>74</v>
      </c>
      <c r="BA820" t="s">
        <v>74</v>
      </c>
      <c r="BB820" t="s">
        <v>74</v>
      </c>
      <c r="BC820" t="s">
        <v>74</v>
      </c>
      <c r="BD820">
        <v>501</v>
      </c>
      <c r="BE820" t="s">
        <v>15210</v>
      </c>
      <c r="BF820" t="str">
        <f>HYPERLINK("http://dx.doi.org/10.1186/s12877-023-04207-3","http://dx.doi.org/10.1186/s12877-023-04207-3")</f>
        <v>http://dx.doi.org/10.1186/s12877-023-04207-3</v>
      </c>
      <c r="BG820" t="s">
        <v>74</v>
      </c>
      <c r="BH820" t="s">
        <v>74</v>
      </c>
      <c r="BI820">
        <v>10</v>
      </c>
      <c r="BJ820" t="s">
        <v>2430</v>
      </c>
      <c r="BK820" t="s">
        <v>2431</v>
      </c>
      <c r="BL820" t="s">
        <v>672</v>
      </c>
      <c r="BM820" t="s">
        <v>15121</v>
      </c>
      <c r="BN820">
        <v>37605112</v>
      </c>
      <c r="BO820" t="s">
        <v>302</v>
      </c>
      <c r="BP820" t="s">
        <v>74</v>
      </c>
      <c r="BQ820" t="s">
        <v>74</v>
      </c>
      <c r="BR820" t="s">
        <v>99</v>
      </c>
      <c r="BS820" t="s">
        <v>15211</v>
      </c>
      <c r="BT820" t="str">
        <f>HYPERLINK("https%3A%2F%2Fwww.webofscience.com%2Fwos%2Fwoscc%2Ffull-record%2FWOS:001052141900007","View Full Record in Web of Science")</f>
        <v>View Full Record in Web of Science</v>
      </c>
    </row>
    <row r="821" spans="1:72" x14ac:dyDescent="0.15">
      <c r="A821" t="s">
        <v>72</v>
      </c>
      <c r="B821" t="s">
        <v>15212</v>
      </c>
      <c r="C821" t="s">
        <v>74</v>
      </c>
      <c r="D821" t="s">
        <v>74</v>
      </c>
      <c r="E821" t="s">
        <v>74</v>
      </c>
      <c r="F821" t="s">
        <v>15213</v>
      </c>
      <c r="G821" t="s">
        <v>74</v>
      </c>
      <c r="H821" t="s">
        <v>74</v>
      </c>
      <c r="I821" t="s">
        <v>15214</v>
      </c>
      <c r="J821" t="s">
        <v>11300</v>
      </c>
      <c r="K821" t="s">
        <v>74</v>
      </c>
      <c r="L821" t="s">
        <v>74</v>
      </c>
      <c r="M821" t="s">
        <v>78</v>
      </c>
      <c r="N821" t="s">
        <v>79</v>
      </c>
      <c r="O821" t="s">
        <v>74</v>
      </c>
      <c r="P821" t="s">
        <v>74</v>
      </c>
      <c r="Q821" t="s">
        <v>74</v>
      </c>
      <c r="R821" t="s">
        <v>74</v>
      </c>
      <c r="S821" t="s">
        <v>74</v>
      </c>
      <c r="T821" t="s">
        <v>15215</v>
      </c>
      <c r="U821" t="s">
        <v>15216</v>
      </c>
      <c r="V821" t="s">
        <v>15217</v>
      </c>
      <c r="W821" t="s">
        <v>15218</v>
      </c>
      <c r="X821" t="s">
        <v>2814</v>
      </c>
      <c r="Y821" t="s">
        <v>15219</v>
      </c>
      <c r="Z821" t="s">
        <v>15220</v>
      </c>
      <c r="AA821" t="s">
        <v>74</v>
      </c>
      <c r="AB821" t="s">
        <v>74</v>
      </c>
      <c r="AC821" t="s">
        <v>74</v>
      </c>
      <c r="AD821" t="s">
        <v>74</v>
      </c>
      <c r="AE821" t="s">
        <v>74</v>
      </c>
      <c r="AF821" t="s">
        <v>74</v>
      </c>
      <c r="AG821">
        <v>35</v>
      </c>
      <c r="AH821">
        <v>0</v>
      </c>
      <c r="AI821">
        <v>0</v>
      </c>
      <c r="AJ821">
        <v>2</v>
      </c>
      <c r="AK821">
        <v>2</v>
      </c>
      <c r="AL821" t="s">
        <v>117</v>
      </c>
      <c r="AM821" t="s">
        <v>627</v>
      </c>
      <c r="AN821" t="s">
        <v>628</v>
      </c>
      <c r="AO821" t="s">
        <v>11307</v>
      </c>
      <c r="AP821" t="s">
        <v>11308</v>
      </c>
      <c r="AQ821" t="s">
        <v>74</v>
      </c>
      <c r="AR821" t="s">
        <v>11309</v>
      </c>
      <c r="AS821" t="s">
        <v>11310</v>
      </c>
      <c r="AT821" t="s">
        <v>8614</v>
      </c>
      <c r="AU821">
        <v>2023</v>
      </c>
      <c r="AV821">
        <v>78</v>
      </c>
      <c r="AW821">
        <v>3</v>
      </c>
      <c r="AX821" t="s">
        <v>74</v>
      </c>
      <c r="AY821" t="s">
        <v>74</v>
      </c>
      <c r="AZ821" t="s">
        <v>74</v>
      </c>
      <c r="BA821" t="s">
        <v>74</v>
      </c>
      <c r="BB821">
        <v>584</v>
      </c>
      <c r="BC821">
        <v>589</v>
      </c>
      <c r="BD821" t="s">
        <v>74</v>
      </c>
      <c r="BE821" t="s">
        <v>15221</v>
      </c>
      <c r="BF821" t="str">
        <f>HYPERLINK("http://dx.doi.org/10.1007/s11130-023-01093-3","http://dx.doi.org/10.1007/s11130-023-01093-3")</f>
        <v>http://dx.doi.org/10.1007/s11130-023-01093-3</v>
      </c>
      <c r="BG821" t="s">
        <v>74</v>
      </c>
      <c r="BH821" t="s">
        <v>10650</v>
      </c>
      <c r="BI821">
        <v>6</v>
      </c>
      <c r="BJ821" t="s">
        <v>11312</v>
      </c>
      <c r="BK821" t="s">
        <v>126</v>
      </c>
      <c r="BL821" t="s">
        <v>11313</v>
      </c>
      <c r="BM821" t="s">
        <v>15222</v>
      </c>
      <c r="BN821">
        <v>37599342</v>
      </c>
      <c r="BO821" t="s">
        <v>74</v>
      </c>
      <c r="BP821" t="s">
        <v>74</v>
      </c>
      <c r="BQ821" t="s">
        <v>74</v>
      </c>
      <c r="BR821" t="s">
        <v>99</v>
      </c>
      <c r="BS821" t="s">
        <v>15223</v>
      </c>
      <c r="BT821" t="str">
        <f>HYPERLINK("https%3A%2F%2Fwww.webofscience.com%2Fwos%2Fwoscc%2Ffull-record%2FWOS:001051146900001","View Full Record in Web of Science")</f>
        <v>View Full Record in Web of Science</v>
      </c>
    </row>
    <row r="822" spans="1:72" x14ac:dyDescent="0.15">
      <c r="A822" t="s">
        <v>72</v>
      </c>
      <c r="B822" t="s">
        <v>15224</v>
      </c>
      <c r="C822" t="s">
        <v>74</v>
      </c>
      <c r="D822" t="s">
        <v>74</v>
      </c>
      <c r="E822" t="s">
        <v>74</v>
      </c>
      <c r="F822" t="s">
        <v>15225</v>
      </c>
      <c r="G822" t="s">
        <v>74</v>
      </c>
      <c r="H822" t="s">
        <v>74</v>
      </c>
      <c r="I822" t="s">
        <v>15226</v>
      </c>
      <c r="J822" t="s">
        <v>6629</v>
      </c>
      <c r="K822" t="s">
        <v>74</v>
      </c>
      <c r="L822" t="s">
        <v>74</v>
      </c>
      <c r="M822" t="s">
        <v>78</v>
      </c>
      <c r="N822" t="s">
        <v>1246</v>
      </c>
      <c r="O822" t="s">
        <v>74</v>
      </c>
      <c r="P822" t="s">
        <v>74</v>
      </c>
      <c r="Q822" t="s">
        <v>74</v>
      </c>
      <c r="R822" t="s">
        <v>74</v>
      </c>
      <c r="S822" t="s">
        <v>74</v>
      </c>
      <c r="T822" t="s">
        <v>15227</v>
      </c>
      <c r="U822" t="s">
        <v>74</v>
      </c>
      <c r="V822" t="s">
        <v>15228</v>
      </c>
      <c r="W822" t="s">
        <v>15229</v>
      </c>
      <c r="X822" t="s">
        <v>6634</v>
      </c>
      <c r="Y822" t="s">
        <v>15230</v>
      </c>
      <c r="Z822" t="s">
        <v>15231</v>
      </c>
      <c r="AA822" t="s">
        <v>74</v>
      </c>
      <c r="AB822" t="s">
        <v>74</v>
      </c>
      <c r="AC822" t="s">
        <v>74</v>
      </c>
      <c r="AD822" t="s">
        <v>74</v>
      </c>
      <c r="AE822" t="s">
        <v>74</v>
      </c>
      <c r="AF822" t="s">
        <v>74</v>
      </c>
      <c r="AG822">
        <v>20</v>
      </c>
      <c r="AH822">
        <v>0</v>
      </c>
      <c r="AI822">
        <v>0</v>
      </c>
      <c r="AJ822">
        <v>1</v>
      </c>
      <c r="AK822">
        <v>1</v>
      </c>
      <c r="AL822" t="s">
        <v>172</v>
      </c>
      <c r="AM822" t="s">
        <v>173</v>
      </c>
      <c r="AN822" t="s">
        <v>174</v>
      </c>
      <c r="AO822" t="s">
        <v>6637</v>
      </c>
      <c r="AP822" t="s">
        <v>6638</v>
      </c>
      <c r="AQ822" t="s">
        <v>74</v>
      </c>
      <c r="AR822" t="s">
        <v>6639</v>
      </c>
      <c r="AS822" t="s">
        <v>6640</v>
      </c>
      <c r="AT822" t="s">
        <v>14646</v>
      </c>
      <c r="AU822">
        <v>2023</v>
      </c>
      <c r="AV822" t="s">
        <v>74</v>
      </c>
      <c r="AW822" t="s">
        <v>74</v>
      </c>
      <c r="AX822" t="s">
        <v>74</v>
      </c>
      <c r="AY822" t="s">
        <v>74</v>
      </c>
      <c r="AZ822" t="s">
        <v>74</v>
      </c>
      <c r="BA822" t="s">
        <v>74</v>
      </c>
      <c r="BB822" t="s">
        <v>74</v>
      </c>
      <c r="BC822" t="s">
        <v>74</v>
      </c>
      <c r="BD822" t="s">
        <v>74</v>
      </c>
      <c r="BE822" t="s">
        <v>15232</v>
      </c>
      <c r="BF822" t="str">
        <f>HYPERLINK("http://dx.doi.org/10.1007/s00180-023-01392-y","http://dx.doi.org/10.1007/s00180-023-01392-y")</f>
        <v>http://dx.doi.org/10.1007/s00180-023-01392-y</v>
      </c>
      <c r="BG822" t="s">
        <v>74</v>
      </c>
      <c r="BH822" t="s">
        <v>10650</v>
      </c>
      <c r="BI822">
        <v>12</v>
      </c>
      <c r="BJ822" t="s">
        <v>4945</v>
      </c>
      <c r="BK822" t="s">
        <v>126</v>
      </c>
      <c r="BL822" t="s">
        <v>228</v>
      </c>
      <c r="BM822" t="s">
        <v>15233</v>
      </c>
      <c r="BN822" t="s">
        <v>74</v>
      </c>
      <c r="BO822" t="s">
        <v>74</v>
      </c>
      <c r="BP822" t="s">
        <v>74</v>
      </c>
      <c r="BQ822" t="s">
        <v>74</v>
      </c>
      <c r="BR822" t="s">
        <v>99</v>
      </c>
      <c r="BS822" t="s">
        <v>15234</v>
      </c>
      <c r="BT822" t="str">
        <f>HYPERLINK("https%3A%2F%2Fwww.webofscience.com%2Fwos%2Fwoscc%2Ffull-record%2FWOS:001052012800001","View Full Record in Web of Science")</f>
        <v>View Full Record in Web of Science</v>
      </c>
    </row>
    <row r="823" spans="1:72" x14ac:dyDescent="0.15">
      <c r="A823" t="s">
        <v>72</v>
      </c>
      <c r="B823" t="s">
        <v>15235</v>
      </c>
      <c r="C823" t="s">
        <v>74</v>
      </c>
      <c r="D823" t="s">
        <v>74</v>
      </c>
      <c r="E823" t="s">
        <v>74</v>
      </c>
      <c r="F823" t="s">
        <v>15236</v>
      </c>
      <c r="G823" t="s">
        <v>74</v>
      </c>
      <c r="H823" t="s">
        <v>74</v>
      </c>
      <c r="I823" t="s">
        <v>15237</v>
      </c>
      <c r="J823" t="s">
        <v>15238</v>
      </c>
      <c r="K823" t="s">
        <v>74</v>
      </c>
      <c r="L823" t="s">
        <v>74</v>
      </c>
      <c r="M823" t="s">
        <v>78</v>
      </c>
      <c r="N823" t="s">
        <v>1246</v>
      </c>
      <c r="O823" t="s">
        <v>74</v>
      </c>
      <c r="P823" t="s">
        <v>74</v>
      </c>
      <c r="Q823" t="s">
        <v>74</v>
      </c>
      <c r="R823" t="s">
        <v>74</v>
      </c>
      <c r="S823" t="s">
        <v>74</v>
      </c>
      <c r="T823" t="s">
        <v>15239</v>
      </c>
      <c r="U823" t="s">
        <v>15240</v>
      </c>
      <c r="V823" t="s">
        <v>15241</v>
      </c>
      <c r="W823" t="s">
        <v>15242</v>
      </c>
      <c r="X823" t="s">
        <v>15243</v>
      </c>
      <c r="Y823" t="s">
        <v>15244</v>
      </c>
      <c r="Z823" t="s">
        <v>15245</v>
      </c>
      <c r="AA823" t="s">
        <v>74</v>
      </c>
      <c r="AB823" t="s">
        <v>15246</v>
      </c>
      <c r="AC823" t="s">
        <v>15247</v>
      </c>
      <c r="AD823" t="s">
        <v>15248</v>
      </c>
      <c r="AE823" t="s">
        <v>15249</v>
      </c>
      <c r="AF823" t="s">
        <v>74</v>
      </c>
      <c r="AG823">
        <v>36</v>
      </c>
      <c r="AH823">
        <v>0</v>
      </c>
      <c r="AI823">
        <v>0</v>
      </c>
      <c r="AJ823">
        <v>14</v>
      </c>
      <c r="AK823">
        <v>14</v>
      </c>
      <c r="AL823" t="s">
        <v>172</v>
      </c>
      <c r="AM823" t="s">
        <v>173</v>
      </c>
      <c r="AN823" t="s">
        <v>174</v>
      </c>
      <c r="AO823" t="s">
        <v>15250</v>
      </c>
      <c r="AP823" t="s">
        <v>15251</v>
      </c>
      <c r="AQ823" t="s">
        <v>74</v>
      </c>
      <c r="AR823" t="s">
        <v>15252</v>
      </c>
      <c r="AS823" t="s">
        <v>15253</v>
      </c>
      <c r="AT823" t="s">
        <v>14646</v>
      </c>
      <c r="AU823">
        <v>2023</v>
      </c>
      <c r="AV823" t="s">
        <v>74</v>
      </c>
      <c r="AW823" t="s">
        <v>74</v>
      </c>
      <c r="AX823" t="s">
        <v>74</v>
      </c>
      <c r="AY823" t="s">
        <v>74</v>
      </c>
      <c r="AZ823" t="s">
        <v>74</v>
      </c>
      <c r="BA823" t="s">
        <v>74</v>
      </c>
      <c r="BB823" t="s">
        <v>74</v>
      </c>
      <c r="BC823" t="s">
        <v>74</v>
      </c>
      <c r="BD823" t="s">
        <v>74</v>
      </c>
      <c r="BE823" t="s">
        <v>15254</v>
      </c>
      <c r="BF823" t="str">
        <f>HYPERLINK("http://dx.doi.org/10.1007/s11440-023-02001-4","http://dx.doi.org/10.1007/s11440-023-02001-4")</f>
        <v>http://dx.doi.org/10.1007/s11440-023-02001-4</v>
      </c>
      <c r="BG823" t="s">
        <v>74</v>
      </c>
      <c r="BH823" t="s">
        <v>10650</v>
      </c>
      <c r="BI823">
        <v>20</v>
      </c>
      <c r="BJ823" t="s">
        <v>8227</v>
      </c>
      <c r="BK823" t="s">
        <v>126</v>
      </c>
      <c r="BL823" t="s">
        <v>277</v>
      </c>
      <c r="BM823" t="s">
        <v>15255</v>
      </c>
      <c r="BN823" t="s">
        <v>74</v>
      </c>
      <c r="BO823" t="s">
        <v>74</v>
      </c>
      <c r="BP823" t="s">
        <v>74</v>
      </c>
      <c r="BQ823" t="s">
        <v>74</v>
      </c>
      <c r="BR823" t="s">
        <v>99</v>
      </c>
      <c r="BS823" t="s">
        <v>15256</v>
      </c>
      <c r="BT823" t="str">
        <f>HYPERLINK("https%3A%2F%2Fwww.webofscience.com%2Fwos%2Fwoscc%2Ffull-record%2FWOS:001052004300002","View Full Record in Web of Science")</f>
        <v>View Full Record in Web of Science</v>
      </c>
    </row>
    <row r="824" spans="1:72" x14ac:dyDescent="0.15">
      <c r="A824" t="s">
        <v>72</v>
      </c>
      <c r="B824" t="s">
        <v>15257</v>
      </c>
      <c r="C824" t="s">
        <v>74</v>
      </c>
      <c r="D824" t="s">
        <v>74</v>
      </c>
      <c r="E824" t="s">
        <v>74</v>
      </c>
      <c r="F824" t="s">
        <v>15258</v>
      </c>
      <c r="G824" t="s">
        <v>74</v>
      </c>
      <c r="H824" t="s">
        <v>74</v>
      </c>
      <c r="I824" t="s">
        <v>15259</v>
      </c>
      <c r="J824" t="s">
        <v>15260</v>
      </c>
      <c r="K824" t="s">
        <v>74</v>
      </c>
      <c r="L824" t="s">
        <v>74</v>
      </c>
      <c r="M824" t="s">
        <v>78</v>
      </c>
      <c r="N824" t="s">
        <v>1246</v>
      </c>
      <c r="O824" t="s">
        <v>74</v>
      </c>
      <c r="P824" t="s">
        <v>74</v>
      </c>
      <c r="Q824" t="s">
        <v>74</v>
      </c>
      <c r="R824" t="s">
        <v>74</v>
      </c>
      <c r="S824" t="s">
        <v>74</v>
      </c>
      <c r="T824" t="s">
        <v>15261</v>
      </c>
      <c r="U824" t="s">
        <v>15262</v>
      </c>
      <c r="V824" t="s">
        <v>15263</v>
      </c>
      <c r="W824" t="s">
        <v>15264</v>
      </c>
      <c r="X824" t="s">
        <v>15265</v>
      </c>
      <c r="Y824" t="s">
        <v>15266</v>
      </c>
      <c r="Z824" t="s">
        <v>15267</v>
      </c>
      <c r="AA824" t="s">
        <v>74</v>
      </c>
      <c r="AB824" t="s">
        <v>74</v>
      </c>
      <c r="AC824" t="s">
        <v>15268</v>
      </c>
      <c r="AD824" t="s">
        <v>15269</v>
      </c>
      <c r="AE824" t="s">
        <v>15270</v>
      </c>
      <c r="AF824" t="s">
        <v>74</v>
      </c>
      <c r="AG824">
        <v>42</v>
      </c>
      <c r="AH824">
        <v>0</v>
      </c>
      <c r="AI824">
        <v>0</v>
      </c>
      <c r="AJ824">
        <v>4</v>
      </c>
      <c r="AK824">
        <v>4</v>
      </c>
      <c r="AL824" t="s">
        <v>1922</v>
      </c>
      <c r="AM824" t="s">
        <v>118</v>
      </c>
      <c r="AN824" t="s">
        <v>1923</v>
      </c>
      <c r="AO824" t="s">
        <v>15271</v>
      </c>
      <c r="AP824" t="s">
        <v>15272</v>
      </c>
      <c r="AQ824" t="s">
        <v>74</v>
      </c>
      <c r="AR824" t="s">
        <v>15273</v>
      </c>
      <c r="AS824" t="s">
        <v>15274</v>
      </c>
      <c r="AT824" t="s">
        <v>14646</v>
      </c>
      <c r="AU824">
        <v>2023</v>
      </c>
      <c r="AV824" t="s">
        <v>74</v>
      </c>
      <c r="AW824" t="s">
        <v>74</v>
      </c>
      <c r="AX824" t="s">
        <v>74</v>
      </c>
      <c r="AY824" t="s">
        <v>74</v>
      </c>
      <c r="AZ824" t="s">
        <v>74</v>
      </c>
      <c r="BA824" t="s">
        <v>74</v>
      </c>
      <c r="BB824" t="s">
        <v>74</v>
      </c>
      <c r="BC824" t="s">
        <v>74</v>
      </c>
      <c r="BD824" t="s">
        <v>74</v>
      </c>
      <c r="BE824" t="s">
        <v>15275</v>
      </c>
      <c r="BF824" t="str">
        <f>HYPERLINK("http://dx.doi.org/10.1007/s00034-023-02484-2","http://dx.doi.org/10.1007/s00034-023-02484-2")</f>
        <v>http://dx.doi.org/10.1007/s00034-023-02484-2</v>
      </c>
      <c r="BG824" t="s">
        <v>74</v>
      </c>
      <c r="BH824" t="s">
        <v>10650</v>
      </c>
      <c r="BI824">
        <v>20</v>
      </c>
      <c r="BJ824" t="s">
        <v>2333</v>
      </c>
      <c r="BK824" t="s">
        <v>126</v>
      </c>
      <c r="BL824" t="s">
        <v>277</v>
      </c>
      <c r="BM824" t="s">
        <v>15276</v>
      </c>
      <c r="BN824" t="s">
        <v>74</v>
      </c>
      <c r="BO824" t="s">
        <v>74</v>
      </c>
      <c r="BP824" t="s">
        <v>74</v>
      </c>
      <c r="BQ824" t="s">
        <v>74</v>
      </c>
      <c r="BR824" t="s">
        <v>99</v>
      </c>
      <c r="BS824" t="s">
        <v>15277</v>
      </c>
      <c r="BT824" t="str">
        <f>HYPERLINK("https%3A%2F%2Fwww.webofscience.com%2Fwos%2Fwoscc%2Ffull-record%2FWOS:001051859200001","View Full Record in Web of Science")</f>
        <v>View Full Record in Web of Science</v>
      </c>
    </row>
    <row r="825" spans="1:72" x14ac:dyDescent="0.15">
      <c r="A825" t="s">
        <v>72</v>
      </c>
      <c r="B825" t="s">
        <v>15278</v>
      </c>
      <c r="C825" t="s">
        <v>74</v>
      </c>
      <c r="D825" t="s">
        <v>74</v>
      </c>
      <c r="E825" t="s">
        <v>74</v>
      </c>
      <c r="F825" t="s">
        <v>15279</v>
      </c>
      <c r="G825" t="s">
        <v>74</v>
      </c>
      <c r="H825" t="s">
        <v>74</v>
      </c>
      <c r="I825" t="s">
        <v>15280</v>
      </c>
      <c r="J825" t="s">
        <v>12324</v>
      </c>
      <c r="K825" t="s">
        <v>74</v>
      </c>
      <c r="L825" t="s">
        <v>74</v>
      </c>
      <c r="M825" t="s">
        <v>78</v>
      </c>
      <c r="N825" t="s">
        <v>1246</v>
      </c>
      <c r="O825" t="s">
        <v>74</v>
      </c>
      <c r="P825" t="s">
        <v>74</v>
      </c>
      <c r="Q825" t="s">
        <v>74</v>
      </c>
      <c r="R825" t="s">
        <v>74</v>
      </c>
      <c r="S825" t="s">
        <v>74</v>
      </c>
      <c r="T825" t="s">
        <v>15281</v>
      </c>
      <c r="U825" t="s">
        <v>15282</v>
      </c>
      <c r="V825" t="s">
        <v>15283</v>
      </c>
      <c r="W825" t="s">
        <v>15284</v>
      </c>
      <c r="X825" t="s">
        <v>15285</v>
      </c>
      <c r="Y825" t="s">
        <v>15286</v>
      </c>
      <c r="Z825" t="s">
        <v>15287</v>
      </c>
      <c r="AA825" t="s">
        <v>15288</v>
      </c>
      <c r="AB825" t="s">
        <v>15289</v>
      </c>
      <c r="AC825" t="s">
        <v>15290</v>
      </c>
      <c r="AD825" t="s">
        <v>15291</v>
      </c>
      <c r="AE825" t="s">
        <v>15292</v>
      </c>
      <c r="AF825" t="s">
        <v>74</v>
      </c>
      <c r="AG825">
        <v>97</v>
      </c>
      <c r="AH825">
        <v>0</v>
      </c>
      <c r="AI825">
        <v>0</v>
      </c>
      <c r="AJ825">
        <v>8</v>
      </c>
      <c r="AK825">
        <v>8</v>
      </c>
      <c r="AL825" t="s">
        <v>117</v>
      </c>
      <c r="AM825" t="s">
        <v>627</v>
      </c>
      <c r="AN825" t="s">
        <v>628</v>
      </c>
      <c r="AO825" t="s">
        <v>12332</v>
      </c>
      <c r="AP825" t="s">
        <v>12333</v>
      </c>
      <c r="AQ825" t="s">
        <v>74</v>
      </c>
      <c r="AR825" t="s">
        <v>12334</v>
      </c>
      <c r="AS825" t="s">
        <v>12335</v>
      </c>
      <c r="AT825" t="s">
        <v>15293</v>
      </c>
      <c r="AU825">
        <v>2023</v>
      </c>
      <c r="AV825" t="s">
        <v>74</v>
      </c>
      <c r="AW825" t="s">
        <v>74</v>
      </c>
      <c r="AX825" t="s">
        <v>74</v>
      </c>
      <c r="AY825" t="s">
        <v>74</v>
      </c>
      <c r="AZ825" t="s">
        <v>74</v>
      </c>
      <c r="BA825" t="s">
        <v>74</v>
      </c>
      <c r="BB825" t="s">
        <v>74</v>
      </c>
      <c r="BC825" t="s">
        <v>74</v>
      </c>
      <c r="BD825" t="s">
        <v>74</v>
      </c>
      <c r="BE825" t="s">
        <v>15294</v>
      </c>
      <c r="BF825" t="str">
        <f>HYPERLINK("http://dx.doi.org/10.1007/s10668-023-03740-w","http://dx.doi.org/10.1007/s10668-023-03740-w")</f>
        <v>http://dx.doi.org/10.1007/s10668-023-03740-w</v>
      </c>
      <c r="BG825" t="s">
        <v>74</v>
      </c>
      <c r="BH825" t="s">
        <v>10650</v>
      </c>
      <c r="BI825">
        <v>22</v>
      </c>
      <c r="BJ825" t="s">
        <v>12337</v>
      </c>
      <c r="BK825" t="s">
        <v>126</v>
      </c>
      <c r="BL825" t="s">
        <v>12338</v>
      </c>
      <c r="BM825" t="s">
        <v>15295</v>
      </c>
      <c r="BN825" t="s">
        <v>74</v>
      </c>
      <c r="BO825" t="s">
        <v>74</v>
      </c>
      <c r="BP825" t="s">
        <v>74</v>
      </c>
      <c r="BQ825" t="s">
        <v>74</v>
      </c>
      <c r="BR825" t="s">
        <v>99</v>
      </c>
      <c r="BS825" t="s">
        <v>15296</v>
      </c>
      <c r="BT825" t="str">
        <f>HYPERLINK("https%3A%2F%2Fwww.webofscience.com%2Fwos%2Fwoscc%2Ffull-record%2FWOS:001051172300001","View Full Record in Web of Science")</f>
        <v>View Full Record in Web of Science</v>
      </c>
    </row>
    <row r="826" spans="1:72" x14ac:dyDescent="0.15">
      <c r="A826" t="s">
        <v>72</v>
      </c>
      <c r="B826" t="s">
        <v>15297</v>
      </c>
      <c r="C826" t="s">
        <v>74</v>
      </c>
      <c r="D826" t="s">
        <v>74</v>
      </c>
      <c r="E826" t="s">
        <v>74</v>
      </c>
      <c r="F826" t="s">
        <v>15298</v>
      </c>
      <c r="G826" t="s">
        <v>74</v>
      </c>
      <c r="H826" t="s">
        <v>74</v>
      </c>
      <c r="I826" t="s">
        <v>15299</v>
      </c>
      <c r="J826" t="s">
        <v>10071</v>
      </c>
      <c r="K826" t="s">
        <v>74</v>
      </c>
      <c r="L826" t="s">
        <v>74</v>
      </c>
      <c r="M826" t="s">
        <v>78</v>
      </c>
      <c r="N826" t="s">
        <v>1246</v>
      </c>
      <c r="O826" t="s">
        <v>74</v>
      </c>
      <c r="P826" t="s">
        <v>74</v>
      </c>
      <c r="Q826" t="s">
        <v>74</v>
      </c>
      <c r="R826" t="s">
        <v>74</v>
      </c>
      <c r="S826" t="s">
        <v>74</v>
      </c>
      <c r="T826" t="s">
        <v>15300</v>
      </c>
      <c r="U826" t="s">
        <v>15301</v>
      </c>
      <c r="V826" t="s">
        <v>15302</v>
      </c>
      <c r="W826" t="s">
        <v>15303</v>
      </c>
      <c r="X826" t="s">
        <v>15304</v>
      </c>
      <c r="Y826" t="s">
        <v>15305</v>
      </c>
      <c r="Z826" t="s">
        <v>15306</v>
      </c>
      <c r="AA826" t="s">
        <v>74</v>
      </c>
      <c r="AB826" t="s">
        <v>15307</v>
      </c>
      <c r="AC826" t="s">
        <v>15308</v>
      </c>
      <c r="AD826" t="s">
        <v>15309</v>
      </c>
      <c r="AE826" t="s">
        <v>15310</v>
      </c>
      <c r="AF826" t="s">
        <v>74</v>
      </c>
      <c r="AG826">
        <v>38</v>
      </c>
      <c r="AH826">
        <v>0</v>
      </c>
      <c r="AI826">
        <v>0</v>
      </c>
      <c r="AJ826">
        <v>5</v>
      </c>
      <c r="AK826">
        <v>5</v>
      </c>
      <c r="AL826" t="s">
        <v>117</v>
      </c>
      <c r="AM826" t="s">
        <v>118</v>
      </c>
      <c r="AN826" t="s">
        <v>119</v>
      </c>
      <c r="AO826" t="s">
        <v>10082</v>
      </c>
      <c r="AP826" t="s">
        <v>10083</v>
      </c>
      <c r="AQ826" t="s">
        <v>74</v>
      </c>
      <c r="AR826" t="s">
        <v>10084</v>
      </c>
      <c r="AS826" t="s">
        <v>10085</v>
      </c>
      <c r="AT826" t="s">
        <v>15293</v>
      </c>
      <c r="AU826">
        <v>2023</v>
      </c>
      <c r="AV826" t="s">
        <v>74</v>
      </c>
      <c r="AW826" t="s">
        <v>74</v>
      </c>
      <c r="AX826" t="s">
        <v>74</v>
      </c>
      <c r="AY826" t="s">
        <v>74</v>
      </c>
      <c r="AZ826" t="s">
        <v>74</v>
      </c>
      <c r="BA826" t="s">
        <v>74</v>
      </c>
      <c r="BB826" t="s">
        <v>74</v>
      </c>
      <c r="BC826" t="s">
        <v>74</v>
      </c>
      <c r="BD826" t="s">
        <v>74</v>
      </c>
      <c r="BE826" t="s">
        <v>15311</v>
      </c>
      <c r="BF826" t="str">
        <f>HYPERLINK("http://dx.doi.org/10.1007/s00500-023-09077-w","http://dx.doi.org/10.1007/s00500-023-09077-w")</f>
        <v>http://dx.doi.org/10.1007/s00500-023-09077-w</v>
      </c>
      <c r="BG826" t="s">
        <v>74</v>
      </c>
      <c r="BH826" t="s">
        <v>10650</v>
      </c>
      <c r="BI826">
        <v>24</v>
      </c>
      <c r="BJ826" t="s">
        <v>10087</v>
      </c>
      <c r="BK826" t="s">
        <v>126</v>
      </c>
      <c r="BL826" t="s">
        <v>1139</v>
      </c>
      <c r="BM826" t="s">
        <v>15312</v>
      </c>
      <c r="BN826" t="s">
        <v>74</v>
      </c>
      <c r="BO826" t="s">
        <v>74</v>
      </c>
      <c r="BP826" t="s">
        <v>74</v>
      </c>
      <c r="BQ826" t="s">
        <v>74</v>
      </c>
      <c r="BR826" t="s">
        <v>99</v>
      </c>
      <c r="BS826" t="s">
        <v>15313</v>
      </c>
      <c r="BT826" t="str">
        <f>HYPERLINK("https%3A%2F%2Fwww.webofscience.com%2Fwos%2Fwoscc%2Ffull-record%2FWOS:001051150600001","View Full Record in Web of Science")</f>
        <v>View Full Record in Web of Science</v>
      </c>
    </row>
    <row r="827" spans="1:72" x14ac:dyDescent="0.15">
      <c r="A827" t="s">
        <v>72</v>
      </c>
      <c r="B827" t="s">
        <v>15314</v>
      </c>
      <c r="C827" t="s">
        <v>74</v>
      </c>
      <c r="D827" t="s">
        <v>74</v>
      </c>
      <c r="E827" t="s">
        <v>74</v>
      </c>
      <c r="F827" t="s">
        <v>15315</v>
      </c>
      <c r="G827" t="s">
        <v>74</v>
      </c>
      <c r="H827" t="s">
        <v>74</v>
      </c>
      <c r="I827" t="s">
        <v>15316</v>
      </c>
      <c r="J827" t="s">
        <v>15317</v>
      </c>
      <c r="K827" t="s">
        <v>74</v>
      </c>
      <c r="L827" t="s">
        <v>74</v>
      </c>
      <c r="M827" t="s">
        <v>78</v>
      </c>
      <c r="N827" t="s">
        <v>79</v>
      </c>
      <c r="O827" t="s">
        <v>74</v>
      </c>
      <c r="P827" t="s">
        <v>74</v>
      </c>
      <c r="Q827" t="s">
        <v>74</v>
      </c>
      <c r="R827" t="s">
        <v>74</v>
      </c>
      <c r="S827" t="s">
        <v>74</v>
      </c>
      <c r="T827" t="s">
        <v>74</v>
      </c>
      <c r="U827" t="s">
        <v>15318</v>
      </c>
      <c r="V827" t="s">
        <v>15319</v>
      </c>
      <c r="W827" t="s">
        <v>15320</v>
      </c>
      <c r="X827" t="s">
        <v>15321</v>
      </c>
      <c r="Y827" t="s">
        <v>15322</v>
      </c>
      <c r="Z827" t="s">
        <v>15323</v>
      </c>
      <c r="AA827" t="s">
        <v>15324</v>
      </c>
      <c r="AB827" t="s">
        <v>15325</v>
      </c>
      <c r="AC827" t="s">
        <v>15326</v>
      </c>
      <c r="AD827" t="s">
        <v>15327</v>
      </c>
      <c r="AE827" t="s">
        <v>15328</v>
      </c>
      <c r="AF827" t="s">
        <v>74</v>
      </c>
      <c r="AG827">
        <v>54</v>
      </c>
      <c r="AH827">
        <v>0</v>
      </c>
      <c r="AI827">
        <v>0</v>
      </c>
      <c r="AJ827">
        <v>3</v>
      </c>
      <c r="AK827">
        <v>3</v>
      </c>
      <c r="AL827" t="s">
        <v>117</v>
      </c>
      <c r="AM827" t="s">
        <v>118</v>
      </c>
      <c r="AN827" t="s">
        <v>119</v>
      </c>
      <c r="AO827" t="s">
        <v>15329</v>
      </c>
      <c r="AP827" t="s">
        <v>15330</v>
      </c>
      <c r="AQ827" t="s">
        <v>74</v>
      </c>
      <c r="AR827" t="s">
        <v>15331</v>
      </c>
      <c r="AS827" t="s">
        <v>15332</v>
      </c>
      <c r="AT827" t="s">
        <v>15333</v>
      </c>
      <c r="AU827">
        <v>2023</v>
      </c>
      <c r="AV827">
        <v>83</v>
      </c>
      <c r="AW827">
        <v>8</v>
      </c>
      <c r="AX827" t="s">
        <v>74</v>
      </c>
      <c r="AY827" t="s">
        <v>74</v>
      </c>
      <c r="AZ827" t="s">
        <v>74</v>
      </c>
      <c r="BA827" t="s">
        <v>74</v>
      </c>
      <c r="BB827" t="s">
        <v>74</v>
      </c>
      <c r="BC827" t="s">
        <v>74</v>
      </c>
      <c r="BD827">
        <v>736</v>
      </c>
      <c r="BE827" t="s">
        <v>15334</v>
      </c>
      <c r="BF827" t="str">
        <f>HYPERLINK("http://dx.doi.org/10.1140/epjc/s10052-023-11867-3","http://dx.doi.org/10.1140/epjc/s10052-023-11867-3")</f>
        <v>http://dx.doi.org/10.1140/epjc/s10052-023-11867-3</v>
      </c>
      <c r="BG827" t="s">
        <v>74</v>
      </c>
      <c r="BH827" t="s">
        <v>74</v>
      </c>
      <c r="BI827">
        <v>13</v>
      </c>
      <c r="BJ827" t="s">
        <v>15335</v>
      </c>
      <c r="BK827" t="s">
        <v>126</v>
      </c>
      <c r="BL827" t="s">
        <v>387</v>
      </c>
      <c r="BM827" t="s">
        <v>15336</v>
      </c>
      <c r="BN827" t="s">
        <v>74</v>
      </c>
      <c r="BO827" t="s">
        <v>540</v>
      </c>
      <c r="BP827" t="s">
        <v>74</v>
      </c>
      <c r="BQ827" t="s">
        <v>74</v>
      </c>
      <c r="BR827" t="s">
        <v>99</v>
      </c>
      <c r="BS827" t="s">
        <v>15337</v>
      </c>
      <c r="BT827" t="str">
        <f>HYPERLINK("https%3A%2F%2Fwww.webofscience.com%2Fwos%2Fwoscc%2Ffull-record%2FWOS:001051501400001","View Full Record in Web of Science")</f>
        <v>View Full Record in Web of Science</v>
      </c>
    </row>
    <row r="828" spans="1:72" x14ac:dyDescent="0.15">
      <c r="A828" t="s">
        <v>72</v>
      </c>
      <c r="B828" t="s">
        <v>15338</v>
      </c>
      <c r="C828" t="s">
        <v>74</v>
      </c>
      <c r="D828" t="s">
        <v>74</v>
      </c>
      <c r="E828" t="s">
        <v>74</v>
      </c>
      <c r="F828" t="s">
        <v>15339</v>
      </c>
      <c r="G828" t="s">
        <v>74</v>
      </c>
      <c r="H828" t="s">
        <v>74</v>
      </c>
      <c r="I828" t="s">
        <v>15340</v>
      </c>
      <c r="J828" t="s">
        <v>5396</v>
      </c>
      <c r="K828" t="s">
        <v>74</v>
      </c>
      <c r="L828" t="s">
        <v>74</v>
      </c>
      <c r="M828" t="s">
        <v>78</v>
      </c>
      <c r="N828" t="s">
        <v>79</v>
      </c>
      <c r="O828" t="s">
        <v>74</v>
      </c>
      <c r="P828" t="s">
        <v>74</v>
      </c>
      <c r="Q828" t="s">
        <v>74</v>
      </c>
      <c r="R828" t="s">
        <v>74</v>
      </c>
      <c r="S828" t="s">
        <v>74</v>
      </c>
      <c r="T828" t="s">
        <v>74</v>
      </c>
      <c r="U828" t="s">
        <v>15341</v>
      </c>
      <c r="V828" t="s">
        <v>15342</v>
      </c>
      <c r="W828" t="s">
        <v>15343</v>
      </c>
      <c r="X828" t="s">
        <v>74</v>
      </c>
      <c r="Y828" t="s">
        <v>15344</v>
      </c>
      <c r="Z828" t="s">
        <v>15345</v>
      </c>
      <c r="AA828" t="s">
        <v>15346</v>
      </c>
      <c r="AB828" t="s">
        <v>15347</v>
      </c>
      <c r="AC828" t="s">
        <v>15348</v>
      </c>
      <c r="AD828" t="s">
        <v>15349</v>
      </c>
      <c r="AE828" t="s">
        <v>15350</v>
      </c>
      <c r="AF828" t="s">
        <v>74</v>
      </c>
      <c r="AG828">
        <v>55</v>
      </c>
      <c r="AH828">
        <v>0</v>
      </c>
      <c r="AI828">
        <v>0</v>
      </c>
      <c r="AJ828">
        <v>0</v>
      </c>
      <c r="AK828">
        <v>0</v>
      </c>
      <c r="AL828" t="s">
        <v>172</v>
      </c>
      <c r="AM828" t="s">
        <v>173</v>
      </c>
      <c r="AN828" t="s">
        <v>174</v>
      </c>
      <c r="AO828" t="s">
        <v>5404</v>
      </c>
      <c r="AP828" t="s">
        <v>74</v>
      </c>
      <c r="AQ828" t="s">
        <v>74</v>
      </c>
      <c r="AR828" t="s">
        <v>5405</v>
      </c>
      <c r="AS828" t="s">
        <v>5406</v>
      </c>
      <c r="AT828" t="s">
        <v>15333</v>
      </c>
      <c r="AU828">
        <v>2023</v>
      </c>
      <c r="AV828">
        <v>138</v>
      </c>
      <c r="AW828">
        <v>8</v>
      </c>
      <c r="AX828" t="s">
        <v>74</v>
      </c>
      <c r="AY828" t="s">
        <v>74</v>
      </c>
      <c r="AZ828" t="s">
        <v>74</v>
      </c>
      <c r="BA828" t="s">
        <v>74</v>
      </c>
      <c r="BB828" t="s">
        <v>74</v>
      </c>
      <c r="BC828" t="s">
        <v>74</v>
      </c>
      <c r="BD828">
        <v>729</v>
      </c>
      <c r="BE828" t="s">
        <v>15351</v>
      </c>
      <c r="BF828" t="str">
        <f>HYPERLINK("http://dx.doi.org/10.1140/epjp/s13360-023-04372-9","http://dx.doi.org/10.1140/epjp/s13360-023-04372-9")</f>
        <v>http://dx.doi.org/10.1140/epjp/s13360-023-04372-9</v>
      </c>
      <c r="BG828" t="s">
        <v>74</v>
      </c>
      <c r="BH828" t="s">
        <v>74</v>
      </c>
      <c r="BI828">
        <v>17</v>
      </c>
      <c r="BJ828" t="s">
        <v>386</v>
      </c>
      <c r="BK828" t="s">
        <v>126</v>
      </c>
      <c r="BL828" t="s">
        <v>387</v>
      </c>
      <c r="BM828" t="s">
        <v>15352</v>
      </c>
      <c r="BN828" t="s">
        <v>74</v>
      </c>
      <c r="BO828" t="s">
        <v>327</v>
      </c>
      <c r="BP828" t="s">
        <v>74</v>
      </c>
      <c r="BQ828" t="s">
        <v>74</v>
      </c>
      <c r="BR828" t="s">
        <v>99</v>
      </c>
      <c r="BS828" t="s">
        <v>15353</v>
      </c>
      <c r="BT828" t="str">
        <f>HYPERLINK("https%3A%2F%2Fwww.webofscience.com%2Fwos%2Fwoscc%2Ffull-record%2FWOS:001050705800001","View Full Record in Web of Science")</f>
        <v>View Full Record in Web of Science</v>
      </c>
    </row>
    <row r="829" spans="1:72" x14ac:dyDescent="0.15">
      <c r="A829" t="s">
        <v>72</v>
      </c>
      <c r="B829" t="s">
        <v>15354</v>
      </c>
      <c r="C829" t="s">
        <v>74</v>
      </c>
      <c r="D829" t="s">
        <v>74</v>
      </c>
      <c r="E829" t="s">
        <v>74</v>
      </c>
      <c r="F829" t="s">
        <v>15355</v>
      </c>
      <c r="G829" t="s">
        <v>74</v>
      </c>
      <c r="H829" t="s">
        <v>74</v>
      </c>
      <c r="I829" t="s">
        <v>15356</v>
      </c>
      <c r="J829" t="s">
        <v>6140</v>
      </c>
      <c r="K829" t="s">
        <v>74</v>
      </c>
      <c r="L829" t="s">
        <v>74</v>
      </c>
      <c r="M829" t="s">
        <v>78</v>
      </c>
      <c r="N829" t="s">
        <v>79</v>
      </c>
      <c r="O829" t="s">
        <v>74</v>
      </c>
      <c r="P829" t="s">
        <v>74</v>
      </c>
      <c r="Q829" t="s">
        <v>74</v>
      </c>
      <c r="R829" t="s">
        <v>74</v>
      </c>
      <c r="S829" t="s">
        <v>74</v>
      </c>
      <c r="T829" t="s">
        <v>15357</v>
      </c>
      <c r="U829" t="s">
        <v>74</v>
      </c>
      <c r="V829" t="s">
        <v>15358</v>
      </c>
      <c r="W829" t="s">
        <v>15359</v>
      </c>
      <c r="X829" t="s">
        <v>15360</v>
      </c>
      <c r="Y829" t="s">
        <v>15361</v>
      </c>
      <c r="Z829" t="s">
        <v>15362</v>
      </c>
      <c r="AA829" t="s">
        <v>74</v>
      </c>
      <c r="AB829" t="s">
        <v>74</v>
      </c>
      <c r="AC829" t="s">
        <v>74</v>
      </c>
      <c r="AD829" t="s">
        <v>74</v>
      </c>
      <c r="AE829" t="s">
        <v>74</v>
      </c>
      <c r="AF829" t="s">
        <v>74</v>
      </c>
      <c r="AG829">
        <v>12</v>
      </c>
      <c r="AH829">
        <v>0</v>
      </c>
      <c r="AI829">
        <v>0</v>
      </c>
      <c r="AJ829">
        <v>0</v>
      </c>
      <c r="AK829">
        <v>0</v>
      </c>
      <c r="AL829" t="s">
        <v>443</v>
      </c>
      <c r="AM829" t="s">
        <v>245</v>
      </c>
      <c r="AN829" t="s">
        <v>444</v>
      </c>
      <c r="AO829" t="s">
        <v>74</v>
      </c>
      <c r="AP829" t="s">
        <v>6147</v>
      </c>
      <c r="AQ829" t="s">
        <v>74</v>
      </c>
      <c r="AR829" t="s">
        <v>6148</v>
      </c>
      <c r="AS829" t="s">
        <v>6149</v>
      </c>
      <c r="AT829" t="s">
        <v>15333</v>
      </c>
      <c r="AU829">
        <v>2023</v>
      </c>
      <c r="AV829">
        <v>17</v>
      </c>
      <c r="AW829">
        <v>1</v>
      </c>
      <c r="AX829" t="s">
        <v>74</v>
      </c>
      <c r="AY829" t="s">
        <v>74</v>
      </c>
      <c r="AZ829" t="s">
        <v>74</v>
      </c>
      <c r="BA829" t="s">
        <v>74</v>
      </c>
      <c r="BB829" t="s">
        <v>74</v>
      </c>
      <c r="BC829" t="s">
        <v>74</v>
      </c>
      <c r="BD829">
        <v>353</v>
      </c>
      <c r="BE829" t="s">
        <v>15363</v>
      </c>
      <c r="BF829" t="str">
        <f>HYPERLINK("http://dx.doi.org/10.1186/s13256-023-04085-8","http://dx.doi.org/10.1186/s13256-023-04085-8")</f>
        <v>http://dx.doi.org/10.1186/s13256-023-04085-8</v>
      </c>
      <c r="BG829" t="s">
        <v>74</v>
      </c>
      <c r="BH829" t="s">
        <v>74</v>
      </c>
      <c r="BI829">
        <v>7</v>
      </c>
      <c r="BJ829" t="s">
        <v>1238</v>
      </c>
      <c r="BK829" t="s">
        <v>97</v>
      </c>
      <c r="BL829" t="s">
        <v>1239</v>
      </c>
      <c r="BM829" t="s">
        <v>15364</v>
      </c>
      <c r="BN829">
        <v>37596611</v>
      </c>
      <c r="BO829" t="s">
        <v>302</v>
      </c>
      <c r="BP829" t="s">
        <v>74</v>
      </c>
      <c r="BQ829" t="s">
        <v>74</v>
      </c>
      <c r="BR829" t="s">
        <v>99</v>
      </c>
      <c r="BS829" t="s">
        <v>15365</v>
      </c>
      <c r="BT829" t="str">
        <f>HYPERLINK("https%3A%2F%2Fwww.webofscience.com%2Fwos%2Fwoscc%2Ffull-record%2FWOS:001049905700001","View Full Record in Web of Science")</f>
        <v>View Full Record in Web of Science</v>
      </c>
    </row>
    <row r="830" spans="1:72" x14ac:dyDescent="0.15">
      <c r="A830" t="s">
        <v>72</v>
      </c>
      <c r="B830" t="s">
        <v>15366</v>
      </c>
      <c r="C830" t="s">
        <v>74</v>
      </c>
      <c r="D830" t="s">
        <v>74</v>
      </c>
      <c r="E830" t="s">
        <v>74</v>
      </c>
      <c r="F830" t="s">
        <v>15367</v>
      </c>
      <c r="G830" t="s">
        <v>74</v>
      </c>
      <c r="H830" t="s">
        <v>74</v>
      </c>
      <c r="I830" t="s">
        <v>15368</v>
      </c>
      <c r="J830" t="s">
        <v>15369</v>
      </c>
      <c r="K830" t="s">
        <v>74</v>
      </c>
      <c r="L830" t="s">
        <v>74</v>
      </c>
      <c r="M830" t="s">
        <v>78</v>
      </c>
      <c r="N830" t="s">
        <v>1246</v>
      </c>
      <c r="O830" t="s">
        <v>74</v>
      </c>
      <c r="P830" t="s">
        <v>74</v>
      </c>
      <c r="Q830" t="s">
        <v>74</v>
      </c>
      <c r="R830" t="s">
        <v>74</v>
      </c>
      <c r="S830" t="s">
        <v>74</v>
      </c>
      <c r="T830" t="s">
        <v>74</v>
      </c>
      <c r="U830" t="s">
        <v>15370</v>
      </c>
      <c r="V830" t="s">
        <v>15371</v>
      </c>
      <c r="W830" t="s">
        <v>15372</v>
      </c>
      <c r="X830" t="s">
        <v>15373</v>
      </c>
      <c r="Y830" t="s">
        <v>15374</v>
      </c>
      <c r="Z830" t="s">
        <v>15375</v>
      </c>
      <c r="AA830" t="s">
        <v>74</v>
      </c>
      <c r="AB830" t="s">
        <v>74</v>
      </c>
      <c r="AC830" t="s">
        <v>15376</v>
      </c>
      <c r="AD830" t="s">
        <v>15377</v>
      </c>
      <c r="AE830" t="s">
        <v>15378</v>
      </c>
      <c r="AF830" t="s">
        <v>74</v>
      </c>
      <c r="AG830">
        <v>75</v>
      </c>
      <c r="AH830">
        <v>0</v>
      </c>
      <c r="AI830">
        <v>0</v>
      </c>
      <c r="AJ830">
        <v>0</v>
      </c>
      <c r="AK830">
        <v>0</v>
      </c>
      <c r="AL830" t="s">
        <v>3023</v>
      </c>
      <c r="AM830" t="s">
        <v>3024</v>
      </c>
      <c r="AN830" t="s">
        <v>3025</v>
      </c>
      <c r="AO830" t="s">
        <v>15379</v>
      </c>
      <c r="AP830" t="s">
        <v>15380</v>
      </c>
      <c r="AQ830" t="s">
        <v>74</v>
      </c>
      <c r="AR830" t="s">
        <v>15369</v>
      </c>
      <c r="AS830" t="s">
        <v>15381</v>
      </c>
      <c r="AT830" t="s">
        <v>15382</v>
      </c>
      <c r="AU830">
        <v>2023</v>
      </c>
      <c r="AV830" t="s">
        <v>74</v>
      </c>
      <c r="AW830" t="s">
        <v>74</v>
      </c>
      <c r="AX830" t="s">
        <v>74</v>
      </c>
      <c r="AY830" t="s">
        <v>74</v>
      </c>
      <c r="AZ830" t="s">
        <v>74</v>
      </c>
      <c r="BA830" t="s">
        <v>74</v>
      </c>
      <c r="BB830" t="s">
        <v>74</v>
      </c>
      <c r="BC830" t="s">
        <v>74</v>
      </c>
      <c r="BD830" t="s">
        <v>74</v>
      </c>
      <c r="BE830" t="s">
        <v>15383</v>
      </c>
      <c r="BF830" t="str">
        <f>HYPERLINK("http://dx.doi.org/10.1007/s40273-023-01309-z","http://dx.doi.org/10.1007/s40273-023-01309-z")</f>
        <v>http://dx.doi.org/10.1007/s40273-023-01309-z</v>
      </c>
      <c r="BG830" t="s">
        <v>74</v>
      </c>
      <c r="BH830" t="s">
        <v>10650</v>
      </c>
      <c r="BI830">
        <v>22</v>
      </c>
      <c r="BJ830" t="s">
        <v>15384</v>
      </c>
      <c r="BK830" t="s">
        <v>2431</v>
      </c>
      <c r="BL830" t="s">
        <v>15385</v>
      </c>
      <c r="BM830" t="s">
        <v>15386</v>
      </c>
      <c r="BN830">
        <v>37596504</v>
      </c>
      <c r="BO830" t="s">
        <v>74</v>
      </c>
      <c r="BP830" t="s">
        <v>74</v>
      </c>
      <c r="BQ830" t="s">
        <v>74</v>
      </c>
      <c r="BR830" t="s">
        <v>99</v>
      </c>
      <c r="BS830" t="s">
        <v>15387</v>
      </c>
      <c r="BT830" t="str">
        <f>HYPERLINK("https%3A%2F%2Fwww.webofscience.com%2Fwos%2Fwoscc%2Ffull-record%2FWOS:001050511600001","View Full Record in Web of Science")</f>
        <v>View Full Record in Web of Science</v>
      </c>
    </row>
    <row r="831" spans="1:72" x14ac:dyDescent="0.15">
      <c r="A831" t="s">
        <v>72</v>
      </c>
      <c r="B831" t="s">
        <v>15388</v>
      </c>
      <c r="C831" t="s">
        <v>74</v>
      </c>
      <c r="D831" t="s">
        <v>74</v>
      </c>
      <c r="E831" t="s">
        <v>74</v>
      </c>
      <c r="F831" t="s">
        <v>15389</v>
      </c>
      <c r="G831" t="s">
        <v>74</v>
      </c>
      <c r="H831" t="s">
        <v>74</v>
      </c>
      <c r="I831" t="s">
        <v>15390</v>
      </c>
      <c r="J831" t="s">
        <v>15391</v>
      </c>
      <c r="K831" t="s">
        <v>74</v>
      </c>
      <c r="L831" t="s">
        <v>74</v>
      </c>
      <c r="M831" t="s">
        <v>78</v>
      </c>
      <c r="N831" t="s">
        <v>1246</v>
      </c>
      <c r="O831" t="s">
        <v>74</v>
      </c>
      <c r="P831" t="s">
        <v>74</v>
      </c>
      <c r="Q831" t="s">
        <v>74</v>
      </c>
      <c r="R831" t="s">
        <v>74</v>
      </c>
      <c r="S831" t="s">
        <v>74</v>
      </c>
      <c r="T831" t="s">
        <v>15392</v>
      </c>
      <c r="U831" t="s">
        <v>74</v>
      </c>
      <c r="V831" t="s">
        <v>15393</v>
      </c>
      <c r="W831" t="s">
        <v>15394</v>
      </c>
      <c r="X831" t="s">
        <v>15395</v>
      </c>
      <c r="Y831" t="s">
        <v>15396</v>
      </c>
      <c r="Z831" t="s">
        <v>15397</v>
      </c>
      <c r="AA831" t="s">
        <v>74</v>
      </c>
      <c r="AB831" t="s">
        <v>74</v>
      </c>
      <c r="AC831" t="s">
        <v>74</v>
      </c>
      <c r="AD831" t="s">
        <v>74</v>
      </c>
      <c r="AE831" t="s">
        <v>74</v>
      </c>
      <c r="AF831" t="s">
        <v>74</v>
      </c>
      <c r="AG831">
        <v>30</v>
      </c>
      <c r="AH831">
        <v>0</v>
      </c>
      <c r="AI831">
        <v>0</v>
      </c>
      <c r="AJ831">
        <v>2</v>
      </c>
      <c r="AK831">
        <v>2</v>
      </c>
      <c r="AL831" t="s">
        <v>117</v>
      </c>
      <c r="AM831" t="s">
        <v>118</v>
      </c>
      <c r="AN831" t="s">
        <v>119</v>
      </c>
      <c r="AO831" t="s">
        <v>15398</v>
      </c>
      <c r="AP831" t="s">
        <v>15399</v>
      </c>
      <c r="AQ831" t="s">
        <v>74</v>
      </c>
      <c r="AR831" t="s">
        <v>15400</v>
      </c>
      <c r="AS831" t="s">
        <v>15401</v>
      </c>
      <c r="AT831" t="s">
        <v>15382</v>
      </c>
      <c r="AU831">
        <v>2023</v>
      </c>
      <c r="AV831" t="s">
        <v>74</v>
      </c>
      <c r="AW831" t="s">
        <v>74</v>
      </c>
      <c r="AX831" t="s">
        <v>74</v>
      </c>
      <c r="AY831" t="s">
        <v>74</v>
      </c>
      <c r="AZ831" t="s">
        <v>74</v>
      </c>
      <c r="BA831" t="s">
        <v>74</v>
      </c>
      <c r="BB831" t="s">
        <v>74</v>
      </c>
      <c r="BC831" t="s">
        <v>74</v>
      </c>
      <c r="BD831" t="s">
        <v>74</v>
      </c>
      <c r="BE831" t="s">
        <v>15402</v>
      </c>
      <c r="BF831" t="str">
        <f>HYPERLINK("http://dx.doi.org/10.1007/s12559-023-10176-x","http://dx.doi.org/10.1007/s12559-023-10176-x")</f>
        <v>http://dx.doi.org/10.1007/s12559-023-10176-x</v>
      </c>
      <c r="BG831" t="s">
        <v>74</v>
      </c>
      <c r="BH831" t="s">
        <v>10650</v>
      </c>
      <c r="BI831">
        <v>23</v>
      </c>
      <c r="BJ831" t="s">
        <v>15403</v>
      </c>
      <c r="BK831" t="s">
        <v>126</v>
      </c>
      <c r="BL831" t="s">
        <v>15404</v>
      </c>
      <c r="BM831" t="s">
        <v>15405</v>
      </c>
      <c r="BN831" t="s">
        <v>74</v>
      </c>
      <c r="BO831" t="s">
        <v>74</v>
      </c>
      <c r="BP831" t="s">
        <v>74</v>
      </c>
      <c r="BQ831" t="s">
        <v>74</v>
      </c>
      <c r="BR831" t="s">
        <v>99</v>
      </c>
      <c r="BS831" t="s">
        <v>15406</v>
      </c>
      <c r="BT831" t="str">
        <f>HYPERLINK("https%3A%2F%2Fwww.webofscience.com%2Fwos%2Fwoscc%2Ffull-record%2FWOS:001050720400001","View Full Record in Web of Science")</f>
        <v>View Full Record in Web of Science</v>
      </c>
    </row>
    <row r="832" spans="1:72" x14ac:dyDescent="0.15">
      <c r="A832" t="s">
        <v>72</v>
      </c>
      <c r="B832" t="s">
        <v>15407</v>
      </c>
      <c r="C832" t="s">
        <v>74</v>
      </c>
      <c r="D832" t="s">
        <v>74</v>
      </c>
      <c r="E832" t="s">
        <v>74</v>
      </c>
      <c r="F832" t="s">
        <v>15408</v>
      </c>
      <c r="G832" t="s">
        <v>74</v>
      </c>
      <c r="H832" t="s">
        <v>74</v>
      </c>
      <c r="I832" t="s">
        <v>15409</v>
      </c>
      <c r="J832" t="s">
        <v>3914</v>
      </c>
      <c r="K832" t="s">
        <v>74</v>
      </c>
      <c r="L832" t="s">
        <v>74</v>
      </c>
      <c r="M832" t="s">
        <v>78</v>
      </c>
      <c r="N832" t="s">
        <v>1246</v>
      </c>
      <c r="O832" t="s">
        <v>74</v>
      </c>
      <c r="P832" t="s">
        <v>74</v>
      </c>
      <c r="Q832" t="s">
        <v>74</v>
      </c>
      <c r="R832" t="s">
        <v>74</v>
      </c>
      <c r="S832" t="s">
        <v>74</v>
      </c>
      <c r="T832" t="s">
        <v>15410</v>
      </c>
      <c r="U832" t="s">
        <v>15411</v>
      </c>
      <c r="V832" t="s">
        <v>15412</v>
      </c>
      <c r="W832" t="s">
        <v>15413</v>
      </c>
      <c r="X832" t="s">
        <v>15414</v>
      </c>
      <c r="Y832" t="s">
        <v>15415</v>
      </c>
      <c r="Z832" t="s">
        <v>15416</v>
      </c>
      <c r="AA832" t="s">
        <v>74</v>
      </c>
      <c r="AB832" t="s">
        <v>74</v>
      </c>
      <c r="AC832" t="s">
        <v>15417</v>
      </c>
      <c r="AD832" t="s">
        <v>4034</v>
      </c>
      <c r="AE832" t="s">
        <v>15418</v>
      </c>
      <c r="AF832" t="s">
        <v>74</v>
      </c>
      <c r="AG832">
        <v>68</v>
      </c>
      <c r="AH832">
        <v>0</v>
      </c>
      <c r="AI832">
        <v>0</v>
      </c>
      <c r="AJ832">
        <v>0</v>
      </c>
      <c r="AK832">
        <v>0</v>
      </c>
      <c r="AL832" t="s">
        <v>269</v>
      </c>
      <c r="AM832" t="s">
        <v>118</v>
      </c>
      <c r="AN832" t="s">
        <v>270</v>
      </c>
      <c r="AO832" t="s">
        <v>3925</v>
      </c>
      <c r="AP832" t="s">
        <v>3926</v>
      </c>
      <c r="AQ832" t="s">
        <v>74</v>
      </c>
      <c r="AR832" t="s">
        <v>3927</v>
      </c>
      <c r="AS832" t="s">
        <v>3928</v>
      </c>
      <c r="AT832" t="s">
        <v>15382</v>
      </c>
      <c r="AU832">
        <v>2023</v>
      </c>
      <c r="AV832" t="s">
        <v>74</v>
      </c>
      <c r="AW832" t="s">
        <v>74</v>
      </c>
      <c r="AX832" t="s">
        <v>74</v>
      </c>
      <c r="AY832" t="s">
        <v>74</v>
      </c>
      <c r="AZ832" t="s">
        <v>74</v>
      </c>
      <c r="BA832" t="s">
        <v>74</v>
      </c>
      <c r="BB832" t="s">
        <v>74</v>
      </c>
      <c r="BC832" t="s">
        <v>74</v>
      </c>
      <c r="BD832" t="s">
        <v>74</v>
      </c>
      <c r="BE832" t="s">
        <v>15419</v>
      </c>
      <c r="BF832" t="str">
        <f>HYPERLINK("http://dx.doi.org/10.1007/s11213-023-09657-9","http://dx.doi.org/10.1007/s11213-023-09657-9")</f>
        <v>http://dx.doi.org/10.1007/s11213-023-09657-9</v>
      </c>
      <c r="BG832" t="s">
        <v>74</v>
      </c>
      <c r="BH832" t="s">
        <v>10650</v>
      </c>
      <c r="BI832">
        <v>27</v>
      </c>
      <c r="BJ832" t="s">
        <v>2473</v>
      </c>
      <c r="BK832" t="s">
        <v>425</v>
      </c>
      <c r="BL832" t="s">
        <v>426</v>
      </c>
      <c r="BM832" t="s">
        <v>15420</v>
      </c>
      <c r="BN832" t="s">
        <v>74</v>
      </c>
      <c r="BO832" t="s">
        <v>74</v>
      </c>
      <c r="BP832" t="s">
        <v>74</v>
      </c>
      <c r="BQ832" t="s">
        <v>74</v>
      </c>
      <c r="BR832" t="s">
        <v>99</v>
      </c>
      <c r="BS832" t="s">
        <v>15421</v>
      </c>
      <c r="BT832" t="str">
        <f>HYPERLINK("https%3A%2F%2Fwww.webofscience.com%2Fwos%2Fwoscc%2Ffull-record%2FWOS:001051076600001","View Full Record in Web of Science")</f>
        <v>View Full Record in Web of Science</v>
      </c>
    </row>
    <row r="833" spans="1:72" x14ac:dyDescent="0.15">
      <c r="A833" t="s">
        <v>72</v>
      </c>
      <c r="B833" t="s">
        <v>15422</v>
      </c>
      <c r="C833" t="s">
        <v>74</v>
      </c>
      <c r="D833" t="s">
        <v>74</v>
      </c>
      <c r="E833" t="s">
        <v>74</v>
      </c>
      <c r="F833" t="s">
        <v>15423</v>
      </c>
      <c r="G833" t="s">
        <v>74</v>
      </c>
      <c r="H833" t="s">
        <v>74</v>
      </c>
      <c r="I833" t="s">
        <v>15424</v>
      </c>
      <c r="J833" t="s">
        <v>15425</v>
      </c>
      <c r="K833" t="s">
        <v>74</v>
      </c>
      <c r="L833" t="s">
        <v>74</v>
      </c>
      <c r="M833" t="s">
        <v>78</v>
      </c>
      <c r="N833" t="s">
        <v>1246</v>
      </c>
      <c r="O833" t="s">
        <v>74</v>
      </c>
      <c r="P833" t="s">
        <v>74</v>
      </c>
      <c r="Q833" t="s">
        <v>74</v>
      </c>
      <c r="R833" t="s">
        <v>74</v>
      </c>
      <c r="S833" t="s">
        <v>74</v>
      </c>
      <c r="T833" t="s">
        <v>15426</v>
      </c>
      <c r="U833" t="s">
        <v>15427</v>
      </c>
      <c r="V833" t="s">
        <v>15428</v>
      </c>
      <c r="W833" t="s">
        <v>15429</v>
      </c>
      <c r="X833" t="s">
        <v>15430</v>
      </c>
      <c r="Y833" t="s">
        <v>15431</v>
      </c>
      <c r="Z833" t="s">
        <v>15432</v>
      </c>
      <c r="AA833" t="s">
        <v>74</v>
      </c>
      <c r="AB833" t="s">
        <v>74</v>
      </c>
      <c r="AC833" t="s">
        <v>74</v>
      </c>
      <c r="AD833" t="s">
        <v>74</v>
      </c>
      <c r="AE833" t="s">
        <v>74</v>
      </c>
      <c r="AF833" t="s">
        <v>74</v>
      </c>
      <c r="AG833">
        <v>57</v>
      </c>
      <c r="AH833">
        <v>0</v>
      </c>
      <c r="AI833">
        <v>0</v>
      </c>
      <c r="AJ833">
        <v>0</v>
      </c>
      <c r="AK833">
        <v>0</v>
      </c>
      <c r="AL833" t="s">
        <v>117</v>
      </c>
      <c r="AM833" t="s">
        <v>627</v>
      </c>
      <c r="AN833" t="s">
        <v>628</v>
      </c>
      <c r="AO833" t="s">
        <v>15433</v>
      </c>
      <c r="AP833" t="s">
        <v>15434</v>
      </c>
      <c r="AQ833" t="s">
        <v>74</v>
      </c>
      <c r="AR833" t="s">
        <v>15435</v>
      </c>
      <c r="AS833" t="s">
        <v>15436</v>
      </c>
      <c r="AT833" t="s">
        <v>15382</v>
      </c>
      <c r="AU833">
        <v>2023</v>
      </c>
      <c r="AV833" t="s">
        <v>74</v>
      </c>
      <c r="AW833" t="s">
        <v>74</v>
      </c>
      <c r="AX833" t="s">
        <v>74</v>
      </c>
      <c r="AY833" t="s">
        <v>74</v>
      </c>
      <c r="AZ833" t="s">
        <v>74</v>
      </c>
      <c r="BA833" t="s">
        <v>74</v>
      </c>
      <c r="BB833" t="s">
        <v>74</v>
      </c>
      <c r="BC833" t="s">
        <v>74</v>
      </c>
      <c r="BD833" t="s">
        <v>74</v>
      </c>
      <c r="BE833" t="s">
        <v>15437</v>
      </c>
      <c r="BF833" t="str">
        <f>HYPERLINK("http://dx.doi.org/10.1007/s10552-023-01777-w","http://dx.doi.org/10.1007/s10552-023-01777-w")</f>
        <v>http://dx.doi.org/10.1007/s10552-023-01777-w</v>
      </c>
      <c r="BG833" t="s">
        <v>74</v>
      </c>
      <c r="BH833" t="s">
        <v>10650</v>
      </c>
      <c r="BI833">
        <v>12</v>
      </c>
      <c r="BJ833" t="s">
        <v>15438</v>
      </c>
      <c r="BK833" t="s">
        <v>126</v>
      </c>
      <c r="BL833" t="s">
        <v>15438</v>
      </c>
      <c r="BM833" t="s">
        <v>15439</v>
      </c>
      <c r="BN833">
        <v>37596424</v>
      </c>
      <c r="BO833" t="s">
        <v>74</v>
      </c>
      <c r="BP833" t="s">
        <v>74</v>
      </c>
      <c r="BQ833" t="s">
        <v>74</v>
      </c>
      <c r="BR833" t="s">
        <v>99</v>
      </c>
      <c r="BS833" t="s">
        <v>15440</v>
      </c>
      <c r="BT833" t="str">
        <f>HYPERLINK("https%3A%2F%2Fwww.webofscience.com%2Fwos%2Fwoscc%2Ffull-record%2FWOS:001050548500001","View Full Record in Web of Science")</f>
        <v>View Full Record in Web of Science</v>
      </c>
    </row>
    <row r="834" spans="1:72" x14ac:dyDescent="0.15">
      <c r="A834" t="s">
        <v>72</v>
      </c>
      <c r="B834" t="s">
        <v>15441</v>
      </c>
      <c r="C834" t="s">
        <v>74</v>
      </c>
      <c r="D834" t="s">
        <v>74</v>
      </c>
      <c r="E834" t="s">
        <v>74</v>
      </c>
      <c r="F834" t="s">
        <v>15442</v>
      </c>
      <c r="G834" t="s">
        <v>74</v>
      </c>
      <c r="H834" t="s">
        <v>74</v>
      </c>
      <c r="I834" t="s">
        <v>15443</v>
      </c>
      <c r="J834" t="s">
        <v>9598</v>
      </c>
      <c r="K834" t="s">
        <v>74</v>
      </c>
      <c r="L834" t="s">
        <v>74</v>
      </c>
      <c r="M834" t="s">
        <v>78</v>
      </c>
      <c r="N834" t="s">
        <v>1246</v>
      </c>
      <c r="O834" t="s">
        <v>74</v>
      </c>
      <c r="P834" t="s">
        <v>74</v>
      </c>
      <c r="Q834" t="s">
        <v>74</v>
      </c>
      <c r="R834" t="s">
        <v>74</v>
      </c>
      <c r="S834" t="s">
        <v>74</v>
      </c>
      <c r="T834" t="s">
        <v>15444</v>
      </c>
      <c r="U834" t="s">
        <v>15445</v>
      </c>
      <c r="V834" t="s">
        <v>15446</v>
      </c>
      <c r="W834" t="s">
        <v>15447</v>
      </c>
      <c r="X834" t="s">
        <v>15448</v>
      </c>
      <c r="Y834" t="s">
        <v>15449</v>
      </c>
      <c r="Z834" t="s">
        <v>15450</v>
      </c>
      <c r="AA834" t="s">
        <v>74</v>
      </c>
      <c r="AB834" t="s">
        <v>74</v>
      </c>
      <c r="AC834" t="s">
        <v>15451</v>
      </c>
      <c r="AD834" t="s">
        <v>15452</v>
      </c>
      <c r="AE834" t="s">
        <v>15453</v>
      </c>
      <c r="AF834" t="s">
        <v>74</v>
      </c>
      <c r="AG834">
        <v>41</v>
      </c>
      <c r="AH834">
        <v>0</v>
      </c>
      <c r="AI834">
        <v>0</v>
      </c>
      <c r="AJ834">
        <v>11</v>
      </c>
      <c r="AK834">
        <v>11</v>
      </c>
      <c r="AL834" t="s">
        <v>117</v>
      </c>
      <c r="AM834" t="s">
        <v>118</v>
      </c>
      <c r="AN834" t="s">
        <v>119</v>
      </c>
      <c r="AO834" t="s">
        <v>9606</v>
      </c>
      <c r="AP834" t="s">
        <v>9607</v>
      </c>
      <c r="AQ834" t="s">
        <v>74</v>
      </c>
      <c r="AR834" t="s">
        <v>9608</v>
      </c>
      <c r="AS834" t="s">
        <v>9609</v>
      </c>
      <c r="AT834" t="s">
        <v>15382</v>
      </c>
      <c r="AU834">
        <v>2023</v>
      </c>
      <c r="AV834" t="s">
        <v>74</v>
      </c>
      <c r="AW834" t="s">
        <v>74</v>
      </c>
      <c r="AX834" t="s">
        <v>74</v>
      </c>
      <c r="AY834" t="s">
        <v>74</v>
      </c>
      <c r="AZ834" t="s">
        <v>74</v>
      </c>
      <c r="BA834" t="s">
        <v>74</v>
      </c>
      <c r="BB834" t="s">
        <v>74</v>
      </c>
      <c r="BC834" t="s">
        <v>74</v>
      </c>
      <c r="BD834" t="s">
        <v>74</v>
      </c>
      <c r="BE834" t="s">
        <v>15454</v>
      </c>
      <c r="BF834" t="str">
        <f>HYPERLINK("http://dx.doi.org/10.1007/s10924-023-03028-0","http://dx.doi.org/10.1007/s10924-023-03028-0")</f>
        <v>http://dx.doi.org/10.1007/s10924-023-03028-0</v>
      </c>
      <c r="BG834" t="s">
        <v>74</v>
      </c>
      <c r="BH834" t="s">
        <v>10650</v>
      </c>
      <c r="BI834">
        <v>7</v>
      </c>
      <c r="BJ834" t="s">
        <v>9611</v>
      </c>
      <c r="BK834" t="s">
        <v>126</v>
      </c>
      <c r="BL834" t="s">
        <v>9612</v>
      </c>
      <c r="BM834" t="s">
        <v>15455</v>
      </c>
      <c r="BN834" t="s">
        <v>74</v>
      </c>
      <c r="BO834" t="s">
        <v>74</v>
      </c>
      <c r="BP834" t="s">
        <v>74</v>
      </c>
      <c r="BQ834" t="s">
        <v>74</v>
      </c>
      <c r="BR834" t="s">
        <v>99</v>
      </c>
      <c r="BS834" t="s">
        <v>15456</v>
      </c>
      <c r="BT834" t="str">
        <f>HYPERLINK("https%3A%2F%2Fwww.webofscience.com%2Fwos%2Fwoscc%2Ffull-record%2FWOS:001051625400002","View Full Record in Web of Science")</f>
        <v>View Full Record in Web of Science</v>
      </c>
    </row>
    <row r="835" spans="1:72" x14ac:dyDescent="0.15">
      <c r="A835" t="s">
        <v>72</v>
      </c>
      <c r="B835" t="s">
        <v>15457</v>
      </c>
      <c r="C835" t="s">
        <v>74</v>
      </c>
      <c r="D835" t="s">
        <v>74</v>
      </c>
      <c r="E835" t="s">
        <v>74</v>
      </c>
      <c r="F835" t="s">
        <v>15458</v>
      </c>
      <c r="G835" t="s">
        <v>74</v>
      </c>
      <c r="H835" t="s">
        <v>74</v>
      </c>
      <c r="I835" t="s">
        <v>15459</v>
      </c>
      <c r="J835" t="s">
        <v>12012</v>
      </c>
      <c r="K835" t="s">
        <v>74</v>
      </c>
      <c r="L835" t="s">
        <v>74</v>
      </c>
      <c r="M835" t="s">
        <v>78</v>
      </c>
      <c r="N835" t="s">
        <v>79</v>
      </c>
      <c r="O835" t="s">
        <v>74</v>
      </c>
      <c r="P835" t="s">
        <v>74</v>
      </c>
      <c r="Q835" t="s">
        <v>74</v>
      </c>
      <c r="R835" t="s">
        <v>74</v>
      </c>
      <c r="S835" t="s">
        <v>74</v>
      </c>
      <c r="T835" t="s">
        <v>15460</v>
      </c>
      <c r="U835" t="s">
        <v>15461</v>
      </c>
      <c r="V835" t="s">
        <v>15462</v>
      </c>
      <c r="W835" t="s">
        <v>15463</v>
      </c>
      <c r="X835" t="s">
        <v>15464</v>
      </c>
      <c r="Y835" t="s">
        <v>15465</v>
      </c>
      <c r="Z835" t="s">
        <v>15466</v>
      </c>
      <c r="AA835" t="s">
        <v>74</v>
      </c>
      <c r="AB835" t="s">
        <v>15467</v>
      </c>
      <c r="AC835" t="s">
        <v>15468</v>
      </c>
      <c r="AD835" t="s">
        <v>15469</v>
      </c>
      <c r="AE835" t="s">
        <v>15470</v>
      </c>
      <c r="AF835" t="s">
        <v>74</v>
      </c>
      <c r="AG835">
        <v>38</v>
      </c>
      <c r="AH835">
        <v>0</v>
      </c>
      <c r="AI835">
        <v>0</v>
      </c>
      <c r="AJ835">
        <v>4</v>
      </c>
      <c r="AK835">
        <v>4</v>
      </c>
      <c r="AL835" t="s">
        <v>117</v>
      </c>
      <c r="AM835" t="s">
        <v>118</v>
      </c>
      <c r="AN835" t="s">
        <v>119</v>
      </c>
      <c r="AO835" t="s">
        <v>12019</v>
      </c>
      <c r="AP835" t="s">
        <v>12020</v>
      </c>
      <c r="AQ835" t="s">
        <v>74</v>
      </c>
      <c r="AR835" t="s">
        <v>12021</v>
      </c>
      <c r="AS835" t="s">
        <v>12022</v>
      </c>
      <c r="AT835" t="s">
        <v>15333</v>
      </c>
      <c r="AU835">
        <v>2023</v>
      </c>
      <c r="AV835">
        <v>2023</v>
      </c>
      <c r="AW835">
        <v>1</v>
      </c>
      <c r="AX835" t="s">
        <v>74</v>
      </c>
      <c r="AY835" t="s">
        <v>74</v>
      </c>
      <c r="AZ835" t="s">
        <v>74</v>
      </c>
      <c r="BA835" t="s">
        <v>74</v>
      </c>
      <c r="BB835" t="s">
        <v>74</v>
      </c>
      <c r="BC835" t="s">
        <v>74</v>
      </c>
      <c r="BD835">
        <v>80</v>
      </c>
      <c r="BE835" t="s">
        <v>15471</v>
      </c>
      <c r="BF835" t="str">
        <f>HYPERLINK("http://dx.doi.org/10.1186/s13638-023-02284-x","http://dx.doi.org/10.1186/s13638-023-02284-x")</f>
        <v>http://dx.doi.org/10.1186/s13638-023-02284-x</v>
      </c>
      <c r="BG835" t="s">
        <v>74</v>
      </c>
      <c r="BH835" t="s">
        <v>74</v>
      </c>
      <c r="BI835">
        <v>23</v>
      </c>
      <c r="BJ835" t="s">
        <v>12024</v>
      </c>
      <c r="BK835" t="s">
        <v>126</v>
      </c>
      <c r="BL835" t="s">
        <v>12025</v>
      </c>
      <c r="BM835" t="s">
        <v>15472</v>
      </c>
      <c r="BN835" t="s">
        <v>74</v>
      </c>
      <c r="BO835" t="s">
        <v>302</v>
      </c>
      <c r="BP835" t="s">
        <v>74</v>
      </c>
      <c r="BQ835" t="s">
        <v>74</v>
      </c>
      <c r="BR835" t="s">
        <v>99</v>
      </c>
      <c r="BS835" t="s">
        <v>15473</v>
      </c>
      <c r="BT835" t="str">
        <f>HYPERLINK("https%3A%2F%2Fwww.webofscience.com%2Fwos%2Fwoscc%2Ffull-record%2FWOS:001050705400001","View Full Record in Web of Science")</f>
        <v>View Full Record in Web of Science</v>
      </c>
    </row>
    <row r="836" spans="1:72" x14ac:dyDescent="0.15">
      <c r="A836" t="s">
        <v>72</v>
      </c>
      <c r="B836" t="s">
        <v>15474</v>
      </c>
      <c r="C836" t="s">
        <v>74</v>
      </c>
      <c r="D836" t="s">
        <v>74</v>
      </c>
      <c r="E836" t="s">
        <v>74</v>
      </c>
      <c r="F836" t="s">
        <v>15475</v>
      </c>
      <c r="G836" t="s">
        <v>74</v>
      </c>
      <c r="H836" t="s">
        <v>74</v>
      </c>
      <c r="I836" t="s">
        <v>15476</v>
      </c>
      <c r="J836" t="s">
        <v>5802</v>
      </c>
      <c r="K836" t="s">
        <v>74</v>
      </c>
      <c r="L836" t="s">
        <v>74</v>
      </c>
      <c r="M836" t="s">
        <v>78</v>
      </c>
      <c r="N836" t="s">
        <v>872</v>
      </c>
      <c r="O836" t="s">
        <v>74</v>
      </c>
      <c r="P836" t="s">
        <v>74</v>
      </c>
      <c r="Q836" t="s">
        <v>74</v>
      </c>
      <c r="R836" t="s">
        <v>74</v>
      </c>
      <c r="S836" t="s">
        <v>74</v>
      </c>
      <c r="T836" t="s">
        <v>74</v>
      </c>
      <c r="U836" t="s">
        <v>74</v>
      </c>
      <c r="V836" t="s">
        <v>74</v>
      </c>
      <c r="W836" t="s">
        <v>15477</v>
      </c>
      <c r="X836" t="s">
        <v>15478</v>
      </c>
      <c r="Y836" t="s">
        <v>15479</v>
      </c>
      <c r="Z836" t="s">
        <v>15480</v>
      </c>
      <c r="AA836" t="s">
        <v>15481</v>
      </c>
      <c r="AB836" t="s">
        <v>15482</v>
      </c>
      <c r="AC836" t="s">
        <v>74</v>
      </c>
      <c r="AD836" t="s">
        <v>74</v>
      </c>
      <c r="AE836" t="s">
        <v>74</v>
      </c>
      <c r="AF836" t="s">
        <v>74</v>
      </c>
      <c r="AG836">
        <v>1</v>
      </c>
      <c r="AH836">
        <v>0</v>
      </c>
      <c r="AI836">
        <v>0</v>
      </c>
      <c r="AJ836">
        <v>0</v>
      </c>
      <c r="AK836">
        <v>0</v>
      </c>
      <c r="AL836" t="s">
        <v>443</v>
      </c>
      <c r="AM836" t="s">
        <v>245</v>
      </c>
      <c r="AN836" t="s">
        <v>444</v>
      </c>
      <c r="AO836" t="s">
        <v>74</v>
      </c>
      <c r="AP836" t="s">
        <v>5810</v>
      </c>
      <c r="AQ836" t="s">
        <v>74</v>
      </c>
      <c r="AR836" t="s">
        <v>5811</v>
      </c>
      <c r="AS836" t="s">
        <v>5812</v>
      </c>
      <c r="AT836" t="s">
        <v>15333</v>
      </c>
      <c r="AU836">
        <v>2023</v>
      </c>
      <c r="AV836">
        <v>42</v>
      </c>
      <c r="AW836">
        <v>1</v>
      </c>
      <c r="AX836" t="s">
        <v>74</v>
      </c>
      <c r="AY836" t="s">
        <v>74</v>
      </c>
      <c r="AZ836" t="s">
        <v>74</v>
      </c>
      <c r="BA836" t="s">
        <v>74</v>
      </c>
      <c r="BB836" t="s">
        <v>74</v>
      </c>
      <c r="BC836" t="s">
        <v>74</v>
      </c>
      <c r="BD836">
        <v>212</v>
      </c>
      <c r="BE836" t="s">
        <v>15483</v>
      </c>
      <c r="BF836" t="str">
        <f>HYPERLINK("http://dx.doi.org/10.1186/s13046-023-02796-w","http://dx.doi.org/10.1186/s13046-023-02796-w")</f>
        <v>http://dx.doi.org/10.1186/s13046-023-02796-w</v>
      </c>
      <c r="BG836" t="s">
        <v>74</v>
      </c>
      <c r="BH836" t="s">
        <v>74</v>
      </c>
      <c r="BI836">
        <v>3</v>
      </c>
      <c r="BJ836" t="s">
        <v>1951</v>
      </c>
      <c r="BK836" t="s">
        <v>126</v>
      </c>
      <c r="BL836" t="s">
        <v>1951</v>
      </c>
      <c r="BM836" t="s">
        <v>15484</v>
      </c>
      <c r="BN836">
        <v>37596626</v>
      </c>
      <c r="BO836" t="s">
        <v>302</v>
      </c>
      <c r="BP836" t="s">
        <v>74</v>
      </c>
      <c r="BQ836" t="s">
        <v>74</v>
      </c>
      <c r="BR836" t="s">
        <v>99</v>
      </c>
      <c r="BS836" t="s">
        <v>15485</v>
      </c>
      <c r="BT836" t="str">
        <f>HYPERLINK("https%3A%2F%2Fwww.webofscience.com%2Fwos%2Fwoscc%2Ffull-record%2FWOS:001051176500002","View Full Record in Web of Science")</f>
        <v>View Full Record in Web of Science</v>
      </c>
    </row>
    <row r="837" spans="1:72" x14ac:dyDescent="0.15">
      <c r="A837" t="s">
        <v>72</v>
      </c>
      <c r="B837" t="s">
        <v>15486</v>
      </c>
      <c r="C837" t="s">
        <v>74</v>
      </c>
      <c r="D837" t="s">
        <v>74</v>
      </c>
      <c r="E837" t="s">
        <v>74</v>
      </c>
      <c r="F837" t="s">
        <v>15487</v>
      </c>
      <c r="G837" t="s">
        <v>74</v>
      </c>
      <c r="H837" t="s">
        <v>74</v>
      </c>
      <c r="I837" t="s">
        <v>15488</v>
      </c>
      <c r="J837" t="s">
        <v>15489</v>
      </c>
      <c r="K837" t="s">
        <v>74</v>
      </c>
      <c r="L837" t="s">
        <v>74</v>
      </c>
      <c r="M837" t="s">
        <v>78</v>
      </c>
      <c r="N837" t="s">
        <v>79</v>
      </c>
      <c r="O837" t="s">
        <v>74</v>
      </c>
      <c r="P837" t="s">
        <v>74</v>
      </c>
      <c r="Q837" t="s">
        <v>74</v>
      </c>
      <c r="R837" t="s">
        <v>74</v>
      </c>
      <c r="S837" t="s">
        <v>74</v>
      </c>
      <c r="T837" t="s">
        <v>15490</v>
      </c>
      <c r="U837" t="s">
        <v>15491</v>
      </c>
      <c r="V837" t="s">
        <v>15492</v>
      </c>
      <c r="W837" t="s">
        <v>15493</v>
      </c>
      <c r="X837" t="s">
        <v>15494</v>
      </c>
      <c r="Y837" t="s">
        <v>15495</v>
      </c>
      <c r="Z837" t="s">
        <v>15496</v>
      </c>
      <c r="AA837" t="s">
        <v>15497</v>
      </c>
      <c r="AB837" t="s">
        <v>15498</v>
      </c>
      <c r="AC837" t="s">
        <v>74</v>
      </c>
      <c r="AD837" t="s">
        <v>74</v>
      </c>
      <c r="AE837" t="s">
        <v>74</v>
      </c>
      <c r="AF837" t="s">
        <v>74</v>
      </c>
      <c r="AG837">
        <v>22</v>
      </c>
      <c r="AH837">
        <v>0</v>
      </c>
      <c r="AI837">
        <v>0</v>
      </c>
      <c r="AJ837">
        <v>0</v>
      </c>
      <c r="AK837">
        <v>0</v>
      </c>
      <c r="AL837" t="s">
        <v>443</v>
      </c>
      <c r="AM837" t="s">
        <v>245</v>
      </c>
      <c r="AN837" t="s">
        <v>444</v>
      </c>
      <c r="AO837" t="s">
        <v>15499</v>
      </c>
      <c r="AP837" t="s">
        <v>74</v>
      </c>
      <c r="AQ837" t="s">
        <v>74</v>
      </c>
      <c r="AR837" t="s">
        <v>15500</v>
      </c>
      <c r="AS837" t="s">
        <v>15501</v>
      </c>
      <c r="AT837" t="s">
        <v>15333</v>
      </c>
      <c r="AU837">
        <v>2023</v>
      </c>
      <c r="AV837">
        <v>22</v>
      </c>
      <c r="AW837">
        <v>1</v>
      </c>
      <c r="AX837" t="s">
        <v>74</v>
      </c>
      <c r="AY837" t="s">
        <v>74</v>
      </c>
      <c r="AZ837" t="s">
        <v>74</v>
      </c>
      <c r="BA837" t="s">
        <v>74</v>
      </c>
      <c r="BB837" t="s">
        <v>74</v>
      </c>
      <c r="BC837" t="s">
        <v>74</v>
      </c>
      <c r="BD837">
        <v>118</v>
      </c>
      <c r="BE837" t="s">
        <v>15502</v>
      </c>
      <c r="BF837" t="str">
        <f>HYPERLINK("http://dx.doi.org/10.1186/s12904-023-01231-3","http://dx.doi.org/10.1186/s12904-023-01231-3")</f>
        <v>http://dx.doi.org/10.1186/s12904-023-01231-3</v>
      </c>
      <c r="BG837" t="s">
        <v>74</v>
      </c>
      <c r="BH837" t="s">
        <v>74</v>
      </c>
      <c r="BI837">
        <v>7</v>
      </c>
      <c r="BJ837" t="s">
        <v>15503</v>
      </c>
      <c r="BK837" t="s">
        <v>2431</v>
      </c>
      <c r="BL837" t="s">
        <v>11725</v>
      </c>
      <c r="BM837" t="s">
        <v>15504</v>
      </c>
      <c r="BN837">
        <v>37596590</v>
      </c>
      <c r="BO837" t="s">
        <v>302</v>
      </c>
      <c r="BP837" t="s">
        <v>74</v>
      </c>
      <c r="BQ837" t="s">
        <v>74</v>
      </c>
      <c r="BR837" t="s">
        <v>99</v>
      </c>
      <c r="BS837" t="s">
        <v>15505</v>
      </c>
      <c r="BT837" t="str">
        <f>HYPERLINK("https%3A%2F%2Fwww.webofscience.com%2Fwos%2Fwoscc%2Ffull-record%2FWOS:001049894100001","View Full Record in Web of Science")</f>
        <v>View Full Record in Web of Science</v>
      </c>
    </row>
    <row r="838" spans="1:72" x14ac:dyDescent="0.15">
      <c r="A838" t="s">
        <v>72</v>
      </c>
      <c r="B838" t="s">
        <v>15506</v>
      </c>
      <c r="C838" t="s">
        <v>74</v>
      </c>
      <c r="D838" t="s">
        <v>74</v>
      </c>
      <c r="E838" t="s">
        <v>74</v>
      </c>
      <c r="F838" t="s">
        <v>15507</v>
      </c>
      <c r="G838" t="s">
        <v>74</v>
      </c>
      <c r="H838" t="s">
        <v>74</v>
      </c>
      <c r="I838" t="s">
        <v>15508</v>
      </c>
      <c r="J838" t="s">
        <v>4132</v>
      </c>
      <c r="K838" t="s">
        <v>74</v>
      </c>
      <c r="L838" t="s">
        <v>74</v>
      </c>
      <c r="M838" t="s">
        <v>78</v>
      </c>
      <c r="N838" t="s">
        <v>79</v>
      </c>
      <c r="O838" t="s">
        <v>74</v>
      </c>
      <c r="P838" t="s">
        <v>74</v>
      </c>
      <c r="Q838" t="s">
        <v>74</v>
      </c>
      <c r="R838" t="s">
        <v>74</v>
      </c>
      <c r="S838" t="s">
        <v>74</v>
      </c>
      <c r="T838" t="s">
        <v>74</v>
      </c>
      <c r="U838" t="s">
        <v>15509</v>
      </c>
      <c r="V838" t="s">
        <v>15510</v>
      </c>
      <c r="W838" t="s">
        <v>15511</v>
      </c>
      <c r="X838" t="s">
        <v>15512</v>
      </c>
      <c r="Y838" t="s">
        <v>15513</v>
      </c>
      <c r="Z838" t="s">
        <v>15514</v>
      </c>
      <c r="AA838" t="s">
        <v>74</v>
      </c>
      <c r="AB838" t="s">
        <v>15515</v>
      </c>
      <c r="AC838" t="s">
        <v>74</v>
      </c>
      <c r="AD838" t="s">
        <v>74</v>
      </c>
      <c r="AE838" t="s">
        <v>74</v>
      </c>
      <c r="AF838" t="s">
        <v>74</v>
      </c>
      <c r="AG838">
        <v>39</v>
      </c>
      <c r="AH838">
        <v>0</v>
      </c>
      <c r="AI838">
        <v>0</v>
      </c>
      <c r="AJ838">
        <v>0</v>
      </c>
      <c r="AK838">
        <v>0</v>
      </c>
      <c r="AL838" t="s">
        <v>317</v>
      </c>
      <c r="AM838" t="s">
        <v>245</v>
      </c>
      <c r="AN838" t="s">
        <v>318</v>
      </c>
      <c r="AO838" t="s">
        <v>4142</v>
      </c>
      <c r="AP838" t="s">
        <v>4143</v>
      </c>
      <c r="AQ838" t="s">
        <v>74</v>
      </c>
      <c r="AR838" t="s">
        <v>4144</v>
      </c>
      <c r="AS838" t="s">
        <v>4145</v>
      </c>
      <c r="AT838" t="s">
        <v>15516</v>
      </c>
      <c r="AU838">
        <v>2023</v>
      </c>
      <c r="AV838">
        <v>129</v>
      </c>
      <c r="AW838">
        <v>6</v>
      </c>
      <c r="AX838" t="s">
        <v>74</v>
      </c>
      <c r="AY838" t="s">
        <v>74</v>
      </c>
      <c r="AZ838" t="s">
        <v>74</v>
      </c>
      <c r="BA838" t="s">
        <v>74</v>
      </c>
      <c r="BB838">
        <v>900</v>
      </c>
      <c r="BC838">
        <v>903</v>
      </c>
      <c r="BD838" t="s">
        <v>74</v>
      </c>
      <c r="BE838" t="s">
        <v>15517</v>
      </c>
      <c r="BF838" t="str">
        <f>HYPERLINK("http://dx.doi.org/10.1038/s41416-023-02398-5","http://dx.doi.org/10.1038/s41416-023-02398-5")</f>
        <v>http://dx.doi.org/10.1038/s41416-023-02398-5</v>
      </c>
      <c r="BG838" t="s">
        <v>74</v>
      </c>
      <c r="BH838" t="s">
        <v>10650</v>
      </c>
      <c r="BI838">
        <v>4</v>
      </c>
      <c r="BJ838" t="s">
        <v>1951</v>
      </c>
      <c r="BK838" t="s">
        <v>126</v>
      </c>
      <c r="BL838" t="s">
        <v>1951</v>
      </c>
      <c r="BM838" t="s">
        <v>15518</v>
      </c>
      <c r="BN838">
        <v>37598284</v>
      </c>
      <c r="BO838" t="s">
        <v>183</v>
      </c>
      <c r="BP838" t="s">
        <v>74</v>
      </c>
      <c r="BQ838" t="s">
        <v>74</v>
      </c>
      <c r="BR838" t="s">
        <v>99</v>
      </c>
      <c r="BS838" t="s">
        <v>15519</v>
      </c>
      <c r="BT838" t="str">
        <f>HYPERLINK("https%3A%2F%2Fwww.webofscience.com%2Fwos%2Fwoscc%2Ffull-record%2FWOS:001050722000001","View Full Record in Web of Science")</f>
        <v>View Full Record in Web of Science</v>
      </c>
    </row>
    <row r="839" spans="1:72" x14ac:dyDescent="0.15">
      <c r="A839" t="s">
        <v>72</v>
      </c>
      <c r="B839" t="s">
        <v>15520</v>
      </c>
      <c r="C839" t="s">
        <v>74</v>
      </c>
      <c r="D839" t="s">
        <v>74</v>
      </c>
      <c r="E839" t="s">
        <v>74</v>
      </c>
      <c r="F839" t="s">
        <v>15521</v>
      </c>
      <c r="G839" t="s">
        <v>74</v>
      </c>
      <c r="H839" t="s">
        <v>74</v>
      </c>
      <c r="I839" t="s">
        <v>15522</v>
      </c>
      <c r="J839" t="s">
        <v>3474</v>
      </c>
      <c r="K839" t="s">
        <v>74</v>
      </c>
      <c r="L839" t="s">
        <v>74</v>
      </c>
      <c r="M839" t="s">
        <v>78</v>
      </c>
      <c r="N839" t="s">
        <v>79</v>
      </c>
      <c r="O839" t="s">
        <v>74</v>
      </c>
      <c r="P839" t="s">
        <v>74</v>
      </c>
      <c r="Q839" t="s">
        <v>74</v>
      </c>
      <c r="R839" t="s">
        <v>74</v>
      </c>
      <c r="S839" t="s">
        <v>74</v>
      </c>
      <c r="T839" t="s">
        <v>15523</v>
      </c>
      <c r="U839" t="s">
        <v>15524</v>
      </c>
      <c r="V839" t="s">
        <v>15525</v>
      </c>
      <c r="W839" t="s">
        <v>15526</v>
      </c>
      <c r="X839" t="s">
        <v>15527</v>
      </c>
      <c r="Y839" t="s">
        <v>15528</v>
      </c>
      <c r="Z839" t="s">
        <v>15529</v>
      </c>
      <c r="AA839" t="s">
        <v>74</v>
      </c>
      <c r="AB839" t="s">
        <v>74</v>
      </c>
      <c r="AC839" t="s">
        <v>74</v>
      </c>
      <c r="AD839" t="s">
        <v>74</v>
      </c>
      <c r="AE839" t="s">
        <v>74</v>
      </c>
      <c r="AF839" t="s">
        <v>74</v>
      </c>
      <c r="AG839">
        <v>59</v>
      </c>
      <c r="AH839">
        <v>0</v>
      </c>
      <c r="AI839">
        <v>0</v>
      </c>
      <c r="AJ839">
        <v>1</v>
      </c>
      <c r="AK839">
        <v>1</v>
      </c>
      <c r="AL839" t="s">
        <v>443</v>
      </c>
      <c r="AM839" t="s">
        <v>245</v>
      </c>
      <c r="AN839" t="s">
        <v>444</v>
      </c>
      <c r="AO839" t="s">
        <v>3483</v>
      </c>
      <c r="AP839" t="s">
        <v>74</v>
      </c>
      <c r="AQ839" t="s">
        <v>74</v>
      </c>
      <c r="AR839" t="s">
        <v>3474</v>
      </c>
      <c r="AS839" t="s">
        <v>3484</v>
      </c>
      <c r="AT839" t="s">
        <v>15333</v>
      </c>
      <c r="AU839">
        <v>2023</v>
      </c>
      <c r="AV839">
        <v>23</v>
      </c>
      <c r="AW839">
        <v>1</v>
      </c>
      <c r="AX839" t="s">
        <v>74</v>
      </c>
      <c r="AY839" t="s">
        <v>74</v>
      </c>
      <c r="AZ839" t="s">
        <v>74</v>
      </c>
      <c r="BA839" t="s">
        <v>74</v>
      </c>
      <c r="BB839" t="s">
        <v>74</v>
      </c>
      <c r="BC839" t="s">
        <v>74</v>
      </c>
      <c r="BD839">
        <v>578</v>
      </c>
      <c r="BE839" t="s">
        <v>15530</v>
      </c>
      <c r="BF839" t="str">
        <f>HYPERLINK("http://dx.doi.org/10.1186/s12903-023-03264-9","http://dx.doi.org/10.1186/s12903-023-03264-9")</f>
        <v>http://dx.doi.org/10.1186/s12903-023-03264-9</v>
      </c>
      <c r="BG839" t="s">
        <v>74</v>
      </c>
      <c r="BH839" t="s">
        <v>74</v>
      </c>
      <c r="BI839">
        <v>15</v>
      </c>
      <c r="BJ839" t="s">
        <v>3486</v>
      </c>
      <c r="BK839" t="s">
        <v>126</v>
      </c>
      <c r="BL839" t="s">
        <v>3486</v>
      </c>
      <c r="BM839" t="s">
        <v>15531</v>
      </c>
      <c r="BN839">
        <v>37598191</v>
      </c>
      <c r="BO839" t="s">
        <v>302</v>
      </c>
      <c r="BP839" t="s">
        <v>74</v>
      </c>
      <c r="BQ839" t="s">
        <v>74</v>
      </c>
      <c r="BR839" t="s">
        <v>99</v>
      </c>
      <c r="BS839" t="s">
        <v>15532</v>
      </c>
      <c r="BT839" t="str">
        <f>HYPERLINK("https%3A%2F%2Fwww.webofscience.com%2Fwos%2Fwoscc%2Ffull-record%2FWOS:001050712200001","View Full Record in Web of Science")</f>
        <v>View Full Record in Web of Science</v>
      </c>
    </row>
    <row r="840" spans="1:72" x14ac:dyDescent="0.15">
      <c r="A840" t="s">
        <v>72</v>
      </c>
      <c r="B840" t="s">
        <v>15533</v>
      </c>
      <c r="C840" t="s">
        <v>74</v>
      </c>
      <c r="D840" t="s">
        <v>74</v>
      </c>
      <c r="E840" t="s">
        <v>74</v>
      </c>
      <c r="F840" t="s">
        <v>15534</v>
      </c>
      <c r="G840" t="s">
        <v>74</v>
      </c>
      <c r="H840" t="s">
        <v>74</v>
      </c>
      <c r="I840" t="s">
        <v>15535</v>
      </c>
      <c r="J840" t="s">
        <v>7267</v>
      </c>
      <c r="K840" t="s">
        <v>74</v>
      </c>
      <c r="L840" t="s">
        <v>74</v>
      </c>
      <c r="M840" t="s">
        <v>78</v>
      </c>
      <c r="N840" t="s">
        <v>1246</v>
      </c>
      <c r="O840" t="s">
        <v>74</v>
      </c>
      <c r="P840" t="s">
        <v>74</v>
      </c>
      <c r="Q840" t="s">
        <v>74</v>
      </c>
      <c r="R840" t="s">
        <v>74</v>
      </c>
      <c r="S840" t="s">
        <v>74</v>
      </c>
      <c r="T840" t="s">
        <v>15536</v>
      </c>
      <c r="U840" t="s">
        <v>15537</v>
      </c>
      <c r="V840" t="s">
        <v>15538</v>
      </c>
      <c r="W840" t="s">
        <v>15539</v>
      </c>
      <c r="X840" t="s">
        <v>15540</v>
      </c>
      <c r="Y840" t="s">
        <v>15541</v>
      </c>
      <c r="Z840" t="s">
        <v>15542</v>
      </c>
      <c r="AA840" t="s">
        <v>74</v>
      </c>
      <c r="AB840" t="s">
        <v>74</v>
      </c>
      <c r="AC840" t="s">
        <v>15543</v>
      </c>
      <c r="AD840" t="s">
        <v>15544</v>
      </c>
      <c r="AE840" t="s">
        <v>15545</v>
      </c>
      <c r="AF840" t="s">
        <v>74</v>
      </c>
      <c r="AG840">
        <v>28</v>
      </c>
      <c r="AH840">
        <v>0</v>
      </c>
      <c r="AI840">
        <v>0</v>
      </c>
      <c r="AJ840">
        <v>2</v>
      </c>
      <c r="AK840">
        <v>2</v>
      </c>
      <c r="AL840" t="s">
        <v>117</v>
      </c>
      <c r="AM840" t="s">
        <v>627</v>
      </c>
      <c r="AN840" t="s">
        <v>628</v>
      </c>
      <c r="AO840" t="s">
        <v>7278</v>
      </c>
      <c r="AP840" t="s">
        <v>7279</v>
      </c>
      <c r="AQ840" t="s">
        <v>74</v>
      </c>
      <c r="AR840" t="s">
        <v>7280</v>
      </c>
      <c r="AS840" t="s">
        <v>7281</v>
      </c>
      <c r="AT840" t="s">
        <v>15382</v>
      </c>
      <c r="AU840">
        <v>2023</v>
      </c>
      <c r="AV840" t="s">
        <v>74</v>
      </c>
      <c r="AW840" t="s">
        <v>74</v>
      </c>
      <c r="AX840" t="s">
        <v>74</v>
      </c>
      <c r="AY840" t="s">
        <v>74</v>
      </c>
      <c r="AZ840" t="s">
        <v>74</v>
      </c>
      <c r="BA840" t="s">
        <v>74</v>
      </c>
      <c r="BB840" t="s">
        <v>74</v>
      </c>
      <c r="BC840" t="s">
        <v>74</v>
      </c>
      <c r="BD840" t="s">
        <v>74</v>
      </c>
      <c r="BE840" t="s">
        <v>15546</v>
      </c>
      <c r="BF840" t="str">
        <f>HYPERLINK("http://dx.doi.org/10.1007/s10494-023-00465-8","http://dx.doi.org/10.1007/s10494-023-00465-8")</f>
        <v>http://dx.doi.org/10.1007/s10494-023-00465-8</v>
      </c>
      <c r="BG840" t="s">
        <v>74</v>
      </c>
      <c r="BH840" t="s">
        <v>10650</v>
      </c>
      <c r="BI840">
        <v>24</v>
      </c>
      <c r="BJ840" t="s">
        <v>4818</v>
      </c>
      <c r="BK840" t="s">
        <v>126</v>
      </c>
      <c r="BL840" t="s">
        <v>4818</v>
      </c>
      <c r="BM840" t="s">
        <v>15547</v>
      </c>
      <c r="BN840" t="s">
        <v>74</v>
      </c>
      <c r="BO840" t="s">
        <v>74</v>
      </c>
      <c r="BP840" t="s">
        <v>74</v>
      </c>
      <c r="BQ840" t="s">
        <v>74</v>
      </c>
      <c r="BR840" t="s">
        <v>99</v>
      </c>
      <c r="BS840" t="s">
        <v>15548</v>
      </c>
      <c r="BT840" t="str">
        <f>HYPERLINK("https%3A%2F%2Fwww.webofscience.com%2Fwos%2Fwoscc%2Ffull-record%2FWOS:001050721100001","View Full Record in Web of Science")</f>
        <v>View Full Record in Web of Science</v>
      </c>
    </row>
    <row r="841" spans="1:72" x14ac:dyDescent="0.15">
      <c r="A841" t="s">
        <v>72</v>
      </c>
      <c r="B841" t="s">
        <v>15549</v>
      </c>
      <c r="C841" t="s">
        <v>74</v>
      </c>
      <c r="D841" t="s">
        <v>74</v>
      </c>
      <c r="E841" t="s">
        <v>74</v>
      </c>
      <c r="F841" t="s">
        <v>15550</v>
      </c>
      <c r="G841" t="s">
        <v>74</v>
      </c>
      <c r="H841" t="s">
        <v>74</v>
      </c>
      <c r="I841" t="s">
        <v>15551</v>
      </c>
      <c r="J841" t="s">
        <v>15552</v>
      </c>
      <c r="K841" t="s">
        <v>74</v>
      </c>
      <c r="L841" t="s">
        <v>74</v>
      </c>
      <c r="M841" t="s">
        <v>78</v>
      </c>
      <c r="N841" t="s">
        <v>79</v>
      </c>
      <c r="O841" t="s">
        <v>74</v>
      </c>
      <c r="P841" t="s">
        <v>74</v>
      </c>
      <c r="Q841" t="s">
        <v>74</v>
      </c>
      <c r="R841" t="s">
        <v>74</v>
      </c>
      <c r="S841" t="s">
        <v>74</v>
      </c>
      <c r="T841" t="s">
        <v>15553</v>
      </c>
      <c r="U841" t="s">
        <v>15554</v>
      </c>
      <c r="V841" t="s">
        <v>15555</v>
      </c>
      <c r="W841" t="s">
        <v>15556</v>
      </c>
      <c r="X841" t="s">
        <v>15557</v>
      </c>
      <c r="Y841" t="s">
        <v>15558</v>
      </c>
      <c r="Z841" t="s">
        <v>15559</v>
      </c>
      <c r="AA841" t="s">
        <v>74</v>
      </c>
      <c r="AB841" t="s">
        <v>74</v>
      </c>
      <c r="AC841" t="s">
        <v>74</v>
      </c>
      <c r="AD841" t="s">
        <v>74</v>
      </c>
      <c r="AE841" t="s">
        <v>74</v>
      </c>
      <c r="AF841" t="s">
        <v>74</v>
      </c>
      <c r="AG841">
        <v>12</v>
      </c>
      <c r="AH841">
        <v>0</v>
      </c>
      <c r="AI841">
        <v>0</v>
      </c>
      <c r="AJ841">
        <v>0</v>
      </c>
      <c r="AK841">
        <v>0</v>
      </c>
      <c r="AL841" t="s">
        <v>443</v>
      </c>
      <c r="AM841" t="s">
        <v>245</v>
      </c>
      <c r="AN841" t="s">
        <v>444</v>
      </c>
      <c r="AO841" t="s">
        <v>15560</v>
      </c>
      <c r="AP841" t="s">
        <v>74</v>
      </c>
      <c r="AQ841" t="s">
        <v>74</v>
      </c>
      <c r="AR841" t="s">
        <v>15561</v>
      </c>
      <c r="AS841" t="s">
        <v>15562</v>
      </c>
      <c r="AT841" t="s">
        <v>15333</v>
      </c>
      <c r="AU841">
        <v>2023</v>
      </c>
      <c r="AV841">
        <v>19</v>
      </c>
      <c r="AW841">
        <v>1</v>
      </c>
      <c r="AX841" t="s">
        <v>74</v>
      </c>
      <c r="AY841" t="s">
        <v>74</v>
      </c>
      <c r="AZ841" t="s">
        <v>74</v>
      </c>
      <c r="BA841" t="s">
        <v>74</v>
      </c>
      <c r="BB841" t="s">
        <v>74</v>
      </c>
      <c r="BC841" t="s">
        <v>74</v>
      </c>
      <c r="BD841">
        <v>72</v>
      </c>
      <c r="BE841" t="s">
        <v>15563</v>
      </c>
      <c r="BF841" t="str">
        <f>HYPERLINK("http://dx.doi.org/10.1186/s13223-023-00817-z","http://dx.doi.org/10.1186/s13223-023-00817-z")</f>
        <v>http://dx.doi.org/10.1186/s13223-023-00817-z</v>
      </c>
      <c r="BG841" t="s">
        <v>74</v>
      </c>
      <c r="BH841" t="s">
        <v>74</v>
      </c>
      <c r="BI841">
        <v>4</v>
      </c>
      <c r="BJ841" t="s">
        <v>15564</v>
      </c>
      <c r="BK841" t="s">
        <v>126</v>
      </c>
      <c r="BL841" t="s">
        <v>15564</v>
      </c>
      <c r="BM841" t="s">
        <v>15565</v>
      </c>
      <c r="BN841">
        <v>37598216</v>
      </c>
      <c r="BO841" t="s">
        <v>302</v>
      </c>
      <c r="BP841" t="s">
        <v>74</v>
      </c>
      <c r="BQ841" t="s">
        <v>74</v>
      </c>
      <c r="BR841" t="s">
        <v>99</v>
      </c>
      <c r="BS841" t="s">
        <v>15566</v>
      </c>
      <c r="BT841" t="str">
        <f>HYPERLINK("https%3A%2F%2Fwww.webofscience.com%2Fwos%2Fwoscc%2Ffull-record%2FWOS:001050708100001","View Full Record in Web of Science")</f>
        <v>View Full Record in Web of Science</v>
      </c>
    </row>
    <row r="842" spans="1:72" x14ac:dyDescent="0.15">
      <c r="A842" t="s">
        <v>72</v>
      </c>
      <c r="B842" t="s">
        <v>15567</v>
      </c>
      <c r="C842" t="s">
        <v>74</v>
      </c>
      <c r="D842" t="s">
        <v>74</v>
      </c>
      <c r="E842" t="s">
        <v>74</v>
      </c>
      <c r="F842" t="s">
        <v>15568</v>
      </c>
      <c r="G842" t="s">
        <v>74</v>
      </c>
      <c r="H842" t="s">
        <v>74</v>
      </c>
      <c r="I842" t="s">
        <v>15569</v>
      </c>
      <c r="J842" t="s">
        <v>13200</v>
      </c>
      <c r="K842" t="s">
        <v>74</v>
      </c>
      <c r="L842" t="s">
        <v>74</v>
      </c>
      <c r="M842" t="s">
        <v>78</v>
      </c>
      <c r="N842" t="s">
        <v>79</v>
      </c>
      <c r="O842" t="s">
        <v>74</v>
      </c>
      <c r="P842" t="s">
        <v>74</v>
      </c>
      <c r="Q842" t="s">
        <v>74</v>
      </c>
      <c r="R842" t="s">
        <v>74</v>
      </c>
      <c r="S842" t="s">
        <v>74</v>
      </c>
      <c r="T842" t="s">
        <v>15570</v>
      </c>
      <c r="U842" t="s">
        <v>15571</v>
      </c>
      <c r="V842" t="s">
        <v>15572</v>
      </c>
      <c r="W842" t="s">
        <v>15573</v>
      </c>
      <c r="X842" t="s">
        <v>15574</v>
      </c>
      <c r="Y842" t="s">
        <v>15575</v>
      </c>
      <c r="Z842" t="s">
        <v>15576</v>
      </c>
      <c r="AA842" t="s">
        <v>74</v>
      </c>
      <c r="AB842" t="s">
        <v>15577</v>
      </c>
      <c r="AC842" t="s">
        <v>74</v>
      </c>
      <c r="AD842" t="s">
        <v>74</v>
      </c>
      <c r="AE842" t="s">
        <v>74</v>
      </c>
      <c r="AF842" t="s">
        <v>74</v>
      </c>
      <c r="AG842">
        <v>82</v>
      </c>
      <c r="AH842">
        <v>0</v>
      </c>
      <c r="AI842">
        <v>0</v>
      </c>
      <c r="AJ842">
        <v>1</v>
      </c>
      <c r="AK842">
        <v>1</v>
      </c>
      <c r="AL842" t="s">
        <v>117</v>
      </c>
      <c r="AM842" t="s">
        <v>627</v>
      </c>
      <c r="AN842" t="s">
        <v>628</v>
      </c>
      <c r="AO842" t="s">
        <v>13206</v>
      </c>
      <c r="AP842" t="s">
        <v>13207</v>
      </c>
      <c r="AQ842" t="s">
        <v>74</v>
      </c>
      <c r="AR842" t="s">
        <v>13208</v>
      </c>
      <c r="AS842" t="s">
        <v>13209</v>
      </c>
      <c r="AT842" t="s">
        <v>1275</v>
      </c>
      <c r="AU842">
        <v>2023</v>
      </c>
      <c r="AV842">
        <v>169</v>
      </c>
      <c r="AW842">
        <v>3</v>
      </c>
      <c r="AX842" t="s">
        <v>74</v>
      </c>
      <c r="AY842" t="s">
        <v>74</v>
      </c>
      <c r="AZ842" t="s">
        <v>74</v>
      </c>
      <c r="BA842" t="s">
        <v>74</v>
      </c>
      <c r="BB842">
        <v>943</v>
      </c>
      <c r="BC842">
        <v>972</v>
      </c>
      <c r="BD842" t="s">
        <v>74</v>
      </c>
      <c r="BE842" t="s">
        <v>15578</v>
      </c>
      <c r="BF842" t="str">
        <f>HYPERLINK("http://dx.doi.org/10.1007/s11205-023-03188-5","http://dx.doi.org/10.1007/s11205-023-03188-5")</f>
        <v>http://dx.doi.org/10.1007/s11205-023-03188-5</v>
      </c>
      <c r="BG842" t="s">
        <v>74</v>
      </c>
      <c r="BH842" t="s">
        <v>10650</v>
      </c>
      <c r="BI842">
        <v>30</v>
      </c>
      <c r="BJ842" t="s">
        <v>13211</v>
      </c>
      <c r="BK842" t="s">
        <v>425</v>
      </c>
      <c r="BL842" t="s">
        <v>13212</v>
      </c>
      <c r="BM842" t="s">
        <v>15579</v>
      </c>
      <c r="BN842" t="s">
        <v>74</v>
      </c>
      <c r="BO842" t="s">
        <v>74</v>
      </c>
      <c r="BP842" t="s">
        <v>74</v>
      </c>
      <c r="BQ842" t="s">
        <v>74</v>
      </c>
      <c r="BR842" t="s">
        <v>99</v>
      </c>
      <c r="BS842" t="s">
        <v>15580</v>
      </c>
      <c r="BT842" t="str">
        <f>HYPERLINK("https%3A%2F%2Fwww.webofscience.com%2Fwos%2Fwoscc%2Ffull-record%2FWOS:001050734500001","View Full Record in Web of Science")</f>
        <v>View Full Record in Web of Science</v>
      </c>
    </row>
    <row r="843" spans="1:72" x14ac:dyDescent="0.15">
      <c r="A843" t="s">
        <v>72</v>
      </c>
      <c r="B843" t="s">
        <v>15581</v>
      </c>
      <c r="C843" t="s">
        <v>74</v>
      </c>
      <c r="D843" t="s">
        <v>74</v>
      </c>
      <c r="E843" t="s">
        <v>74</v>
      </c>
      <c r="F843" t="s">
        <v>15582</v>
      </c>
      <c r="G843" t="s">
        <v>74</v>
      </c>
      <c r="H843" t="s">
        <v>74</v>
      </c>
      <c r="I843" t="s">
        <v>15583</v>
      </c>
      <c r="J843" t="s">
        <v>15584</v>
      </c>
      <c r="K843" t="s">
        <v>74</v>
      </c>
      <c r="L843" t="s">
        <v>74</v>
      </c>
      <c r="M843" t="s">
        <v>78</v>
      </c>
      <c r="N843" t="s">
        <v>1246</v>
      </c>
      <c r="O843" t="s">
        <v>74</v>
      </c>
      <c r="P843" t="s">
        <v>74</v>
      </c>
      <c r="Q843" t="s">
        <v>74</v>
      </c>
      <c r="R843" t="s">
        <v>74</v>
      </c>
      <c r="S843" t="s">
        <v>74</v>
      </c>
      <c r="T843" t="s">
        <v>15585</v>
      </c>
      <c r="U843" t="s">
        <v>15586</v>
      </c>
      <c r="V843" t="s">
        <v>15587</v>
      </c>
      <c r="W843" t="s">
        <v>15588</v>
      </c>
      <c r="X843" t="s">
        <v>15589</v>
      </c>
      <c r="Y843" t="s">
        <v>15590</v>
      </c>
      <c r="Z843" t="s">
        <v>15591</v>
      </c>
      <c r="AA843" t="s">
        <v>74</v>
      </c>
      <c r="AB843" t="s">
        <v>74</v>
      </c>
      <c r="AC843" t="s">
        <v>74</v>
      </c>
      <c r="AD843" t="s">
        <v>74</v>
      </c>
      <c r="AE843" t="s">
        <v>74</v>
      </c>
      <c r="AF843" t="s">
        <v>74</v>
      </c>
      <c r="AG843">
        <v>59</v>
      </c>
      <c r="AH843">
        <v>0</v>
      </c>
      <c r="AI843">
        <v>0</v>
      </c>
      <c r="AJ843">
        <v>1</v>
      </c>
      <c r="AK843">
        <v>1</v>
      </c>
      <c r="AL843" t="s">
        <v>844</v>
      </c>
      <c r="AM843" t="s">
        <v>845</v>
      </c>
      <c r="AN843" t="s">
        <v>933</v>
      </c>
      <c r="AO843" t="s">
        <v>15592</v>
      </c>
      <c r="AP843" t="s">
        <v>15593</v>
      </c>
      <c r="AQ843" t="s">
        <v>74</v>
      </c>
      <c r="AR843" t="s">
        <v>15594</v>
      </c>
      <c r="AS843" t="s">
        <v>15595</v>
      </c>
      <c r="AT843" t="s">
        <v>15382</v>
      </c>
      <c r="AU843">
        <v>2023</v>
      </c>
      <c r="AV843" t="s">
        <v>74</v>
      </c>
      <c r="AW843" t="s">
        <v>74</v>
      </c>
      <c r="AX843" t="s">
        <v>74</v>
      </c>
      <c r="AY843" t="s">
        <v>74</v>
      </c>
      <c r="AZ843" t="s">
        <v>74</v>
      </c>
      <c r="BA843" t="s">
        <v>74</v>
      </c>
      <c r="BB843" t="s">
        <v>74</v>
      </c>
      <c r="BC843" t="s">
        <v>74</v>
      </c>
      <c r="BD843" t="s">
        <v>74</v>
      </c>
      <c r="BE843" t="s">
        <v>15596</v>
      </c>
      <c r="BF843" t="str">
        <f>HYPERLINK("http://dx.doi.org/10.1007/s41315-023-00296-w","http://dx.doi.org/10.1007/s41315-023-00296-w")</f>
        <v>http://dx.doi.org/10.1007/s41315-023-00296-w</v>
      </c>
      <c r="BG843" t="s">
        <v>74</v>
      </c>
      <c r="BH843" t="s">
        <v>10650</v>
      </c>
      <c r="BI843">
        <v>11</v>
      </c>
      <c r="BJ843" t="s">
        <v>2658</v>
      </c>
      <c r="BK843" t="s">
        <v>97</v>
      </c>
      <c r="BL843" t="s">
        <v>2658</v>
      </c>
      <c r="BM843" t="s">
        <v>15597</v>
      </c>
      <c r="BN843" t="s">
        <v>74</v>
      </c>
      <c r="BO843" t="s">
        <v>74</v>
      </c>
      <c r="BP843" t="s">
        <v>74</v>
      </c>
      <c r="BQ843" t="s">
        <v>74</v>
      </c>
      <c r="BR843" t="s">
        <v>99</v>
      </c>
      <c r="BS843" t="s">
        <v>15598</v>
      </c>
      <c r="BT843" t="str">
        <f>HYPERLINK("https%3A%2F%2Fwww.webofscience.com%2Fwos%2Fwoscc%2Ffull-record%2FWOS:001050717300001","View Full Record in Web of Science")</f>
        <v>View Full Record in Web of Science</v>
      </c>
    </row>
    <row r="844" spans="1:72" x14ac:dyDescent="0.15">
      <c r="A844" t="s">
        <v>72</v>
      </c>
      <c r="B844" t="s">
        <v>15599</v>
      </c>
      <c r="C844" t="s">
        <v>74</v>
      </c>
      <c r="D844" t="s">
        <v>74</v>
      </c>
      <c r="E844" t="s">
        <v>74</v>
      </c>
      <c r="F844" t="s">
        <v>15600</v>
      </c>
      <c r="G844" t="s">
        <v>74</v>
      </c>
      <c r="H844" t="s">
        <v>74</v>
      </c>
      <c r="I844" t="s">
        <v>15601</v>
      </c>
      <c r="J844" t="s">
        <v>6927</v>
      </c>
      <c r="K844" t="s">
        <v>74</v>
      </c>
      <c r="L844" t="s">
        <v>74</v>
      </c>
      <c r="M844" t="s">
        <v>78</v>
      </c>
      <c r="N844" t="s">
        <v>3139</v>
      </c>
      <c r="O844" t="s">
        <v>74</v>
      </c>
      <c r="P844" t="s">
        <v>74</v>
      </c>
      <c r="Q844" t="s">
        <v>74</v>
      </c>
      <c r="R844" t="s">
        <v>74</v>
      </c>
      <c r="S844" t="s">
        <v>74</v>
      </c>
      <c r="T844" t="s">
        <v>74</v>
      </c>
      <c r="U844" t="s">
        <v>74</v>
      </c>
      <c r="V844" t="s">
        <v>74</v>
      </c>
      <c r="W844" t="s">
        <v>15602</v>
      </c>
      <c r="X844" t="s">
        <v>15603</v>
      </c>
      <c r="Y844" t="s">
        <v>15604</v>
      </c>
      <c r="Z844" t="s">
        <v>15605</v>
      </c>
      <c r="AA844" t="s">
        <v>74</v>
      </c>
      <c r="AB844" t="s">
        <v>74</v>
      </c>
      <c r="AC844" t="s">
        <v>74</v>
      </c>
      <c r="AD844" t="s">
        <v>74</v>
      </c>
      <c r="AE844" t="s">
        <v>74</v>
      </c>
      <c r="AF844" t="s">
        <v>74</v>
      </c>
      <c r="AG844">
        <v>0</v>
      </c>
      <c r="AH844">
        <v>0</v>
      </c>
      <c r="AI844">
        <v>0</v>
      </c>
      <c r="AJ844">
        <v>0</v>
      </c>
      <c r="AK844">
        <v>0</v>
      </c>
      <c r="AL844" t="s">
        <v>117</v>
      </c>
      <c r="AM844" t="s">
        <v>118</v>
      </c>
      <c r="AN844" t="s">
        <v>119</v>
      </c>
      <c r="AO844" t="s">
        <v>6933</v>
      </c>
      <c r="AP844" t="s">
        <v>6934</v>
      </c>
      <c r="AQ844" t="s">
        <v>74</v>
      </c>
      <c r="AR844" t="s">
        <v>6935</v>
      </c>
      <c r="AS844" t="s">
        <v>6936</v>
      </c>
      <c r="AT844" t="s">
        <v>15382</v>
      </c>
      <c r="AU844">
        <v>2023</v>
      </c>
      <c r="AV844" t="s">
        <v>74</v>
      </c>
      <c r="AW844" t="s">
        <v>74</v>
      </c>
      <c r="AX844" t="s">
        <v>74</v>
      </c>
      <c r="AY844" t="s">
        <v>74</v>
      </c>
      <c r="AZ844" t="s">
        <v>74</v>
      </c>
      <c r="BA844" t="s">
        <v>74</v>
      </c>
      <c r="BB844" t="s">
        <v>74</v>
      </c>
      <c r="BC844" t="s">
        <v>74</v>
      </c>
      <c r="BD844" t="s">
        <v>74</v>
      </c>
      <c r="BE844" t="s">
        <v>15606</v>
      </c>
      <c r="BF844" t="str">
        <f>HYPERLINK("http://dx.doi.org/10.1245/s10434-023-14125-8","http://dx.doi.org/10.1245/s10434-023-14125-8")</f>
        <v>http://dx.doi.org/10.1245/s10434-023-14125-8</v>
      </c>
      <c r="BG844" t="s">
        <v>74</v>
      </c>
      <c r="BH844" t="s">
        <v>10650</v>
      </c>
      <c r="BI844">
        <v>2</v>
      </c>
      <c r="BJ844" t="s">
        <v>6938</v>
      </c>
      <c r="BK844" t="s">
        <v>126</v>
      </c>
      <c r="BL844" t="s">
        <v>6938</v>
      </c>
      <c r="BM844" t="s">
        <v>15607</v>
      </c>
      <c r="BN844">
        <v>37596453</v>
      </c>
      <c r="BO844" t="s">
        <v>74</v>
      </c>
      <c r="BP844" t="s">
        <v>74</v>
      </c>
      <c r="BQ844" t="s">
        <v>74</v>
      </c>
      <c r="BR844" t="s">
        <v>99</v>
      </c>
      <c r="BS844" t="s">
        <v>15608</v>
      </c>
      <c r="BT844" t="str">
        <f>HYPERLINK("https%3A%2F%2Fwww.webofscience.com%2Fwos%2Fwoscc%2Ffull-record%2FWOS:001051211800003","View Full Record in Web of Science")</f>
        <v>View Full Record in Web of Science</v>
      </c>
    </row>
    <row r="845" spans="1:72" x14ac:dyDescent="0.15">
      <c r="A845" t="s">
        <v>72</v>
      </c>
      <c r="B845" t="s">
        <v>15609</v>
      </c>
      <c r="C845" t="s">
        <v>74</v>
      </c>
      <c r="D845" t="s">
        <v>74</v>
      </c>
      <c r="E845" t="s">
        <v>74</v>
      </c>
      <c r="F845" t="s">
        <v>15610</v>
      </c>
      <c r="G845" t="s">
        <v>74</v>
      </c>
      <c r="H845" t="s">
        <v>74</v>
      </c>
      <c r="I845" t="s">
        <v>15611</v>
      </c>
      <c r="J845" t="s">
        <v>15612</v>
      </c>
      <c r="K845" t="s">
        <v>74</v>
      </c>
      <c r="L845" t="s">
        <v>74</v>
      </c>
      <c r="M845" t="s">
        <v>78</v>
      </c>
      <c r="N845" t="s">
        <v>1246</v>
      </c>
      <c r="O845" t="s">
        <v>74</v>
      </c>
      <c r="P845" t="s">
        <v>74</v>
      </c>
      <c r="Q845" t="s">
        <v>74</v>
      </c>
      <c r="R845" t="s">
        <v>74</v>
      </c>
      <c r="S845" t="s">
        <v>74</v>
      </c>
      <c r="T845" t="s">
        <v>15613</v>
      </c>
      <c r="U845" t="s">
        <v>15614</v>
      </c>
      <c r="V845" t="s">
        <v>15615</v>
      </c>
      <c r="W845" t="s">
        <v>15616</v>
      </c>
      <c r="X845" t="s">
        <v>15617</v>
      </c>
      <c r="Y845" t="s">
        <v>15618</v>
      </c>
      <c r="Z845" t="s">
        <v>15619</v>
      </c>
      <c r="AA845" t="s">
        <v>74</v>
      </c>
      <c r="AB845" t="s">
        <v>74</v>
      </c>
      <c r="AC845" t="s">
        <v>15620</v>
      </c>
      <c r="AD845" t="s">
        <v>15620</v>
      </c>
      <c r="AE845" t="s">
        <v>15621</v>
      </c>
      <c r="AF845" t="s">
        <v>74</v>
      </c>
      <c r="AG845">
        <v>75</v>
      </c>
      <c r="AH845">
        <v>0</v>
      </c>
      <c r="AI845">
        <v>0</v>
      </c>
      <c r="AJ845">
        <v>0</v>
      </c>
      <c r="AK845">
        <v>0</v>
      </c>
      <c r="AL845" t="s">
        <v>172</v>
      </c>
      <c r="AM845" t="s">
        <v>173</v>
      </c>
      <c r="AN845" t="s">
        <v>174</v>
      </c>
      <c r="AO845" t="s">
        <v>15622</v>
      </c>
      <c r="AP845" t="s">
        <v>15623</v>
      </c>
      <c r="AQ845" t="s">
        <v>74</v>
      </c>
      <c r="AR845" t="s">
        <v>15624</v>
      </c>
      <c r="AS845" t="s">
        <v>15625</v>
      </c>
      <c r="AT845" t="s">
        <v>15382</v>
      </c>
      <c r="AU845">
        <v>2023</v>
      </c>
      <c r="AV845" t="s">
        <v>74</v>
      </c>
      <c r="AW845" t="s">
        <v>74</v>
      </c>
      <c r="AX845" t="s">
        <v>74</v>
      </c>
      <c r="AY845" t="s">
        <v>74</v>
      </c>
      <c r="AZ845" t="s">
        <v>74</v>
      </c>
      <c r="BA845" t="s">
        <v>74</v>
      </c>
      <c r="BB845" t="s">
        <v>74</v>
      </c>
      <c r="BC845" t="s">
        <v>74</v>
      </c>
      <c r="BD845" t="s">
        <v>74</v>
      </c>
      <c r="BE845" t="s">
        <v>15626</v>
      </c>
      <c r="BF845" t="str">
        <f>HYPERLINK("http://dx.doi.org/10.1007/s00406-023-01655-1","http://dx.doi.org/10.1007/s00406-023-01655-1")</f>
        <v>http://dx.doi.org/10.1007/s00406-023-01655-1</v>
      </c>
      <c r="BG845" t="s">
        <v>74</v>
      </c>
      <c r="BH845" t="s">
        <v>10650</v>
      </c>
      <c r="BI845">
        <v>11</v>
      </c>
      <c r="BJ845" t="s">
        <v>15627</v>
      </c>
      <c r="BK845" t="s">
        <v>126</v>
      </c>
      <c r="BL845" t="s">
        <v>15628</v>
      </c>
      <c r="BM845" t="s">
        <v>15629</v>
      </c>
      <c r="BN845">
        <v>37598131</v>
      </c>
      <c r="BO845" t="s">
        <v>183</v>
      </c>
      <c r="BP845" t="s">
        <v>74</v>
      </c>
      <c r="BQ845" t="s">
        <v>74</v>
      </c>
      <c r="BR845" t="s">
        <v>99</v>
      </c>
      <c r="BS845" t="s">
        <v>15630</v>
      </c>
      <c r="BT845" t="str">
        <f>HYPERLINK("https%3A%2F%2Fwww.webofscience.com%2Fwos%2Fwoscc%2Ffull-record%2FWOS:001051627400003","View Full Record in Web of Science")</f>
        <v>View Full Record in Web of Science</v>
      </c>
    </row>
    <row r="846" spans="1:72" x14ac:dyDescent="0.15">
      <c r="A846" t="s">
        <v>72</v>
      </c>
      <c r="B846" t="s">
        <v>15631</v>
      </c>
      <c r="C846" t="s">
        <v>74</v>
      </c>
      <c r="D846" t="s">
        <v>74</v>
      </c>
      <c r="E846" t="s">
        <v>74</v>
      </c>
      <c r="F846" t="s">
        <v>15632</v>
      </c>
      <c r="G846" t="s">
        <v>74</v>
      </c>
      <c r="H846" t="s">
        <v>74</v>
      </c>
      <c r="I846" t="s">
        <v>15633</v>
      </c>
      <c r="J846" t="s">
        <v>6927</v>
      </c>
      <c r="K846" t="s">
        <v>74</v>
      </c>
      <c r="L846" t="s">
        <v>74</v>
      </c>
      <c r="M846" t="s">
        <v>78</v>
      </c>
      <c r="N846" t="s">
        <v>1246</v>
      </c>
      <c r="O846" t="s">
        <v>74</v>
      </c>
      <c r="P846" t="s">
        <v>74</v>
      </c>
      <c r="Q846" t="s">
        <v>74</v>
      </c>
      <c r="R846" t="s">
        <v>74</v>
      </c>
      <c r="S846" t="s">
        <v>74</v>
      </c>
      <c r="T846" t="s">
        <v>15634</v>
      </c>
      <c r="U846" t="s">
        <v>15635</v>
      </c>
      <c r="V846" t="s">
        <v>15636</v>
      </c>
      <c r="W846" t="s">
        <v>15637</v>
      </c>
      <c r="X846" t="s">
        <v>15638</v>
      </c>
      <c r="Y846" t="s">
        <v>15639</v>
      </c>
      <c r="Z846" t="s">
        <v>15640</v>
      </c>
      <c r="AA846" t="s">
        <v>74</v>
      </c>
      <c r="AB846" t="s">
        <v>74</v>
      </c>
      <c r="AC846" t="s">
        <v>74</v>
      </c>
      <c r="AD846" t="s">
        <v>74</v>
      </c>
      <c r="AE846" t="s">
        <v>74</v>
      </c>
      <c r="AF846" t="s">
        <v>74</v>
      </c>
      <c r="AG846">
        <v>41</v>
      </c>
      <c r="AH846">
        <v>0</v>
      </c>
      <c r="AI846">
        <v>0</v>
      </c>
      <c r="AJ846">
        <v>0</v>
      </c>
      <c r="AK846">
        <v>0</v>
      </c>
      <c r="AL846" t="s">
        <v>117</v>
      </c>
      <c r="AM846" t="s">
        <v>118</v>
      </c>
      <c r="AN846" t="s">
        <v>119</v>
      </c>
      <c r="AO846" t="s">
        <v>6933</v>
      </c>
      <c r="AP846" t="s">
        <v>6934</v>
      </c>
      <c r="AQ846" t="s">
        <v>74</v>
      </c>
      <c r="AR846" t="s">
        <v>6935</v>
      </c>
      <c r="AS846" t="s">
        <v>6936</v>
      </c>
      <c r="AT846" t="s">
        <v>15382</v>
      </c>
      <c r="AU846">
        <v>2023</v>
      </c>
      <c r="AV846" t="s">
        <v>74</v>
      </c>
      <c r="AW846" t="s">
        <v>74</v>
      </c>
      <c r="AX846" t="s">
        <v>74</v>
      </c>
      <c r="AY846" t="s">
        <v>74</v>
      </c>
      <c r="AZ846" t="s">
        <v>74</v>
      </c>
      <c r="BA846" t="s">
        <v>74</v>
      </c>
      <c r="BB846" t="s">
        <v>74</v>
      </c>
      <c r="BC846" t="s">
        <v>74</v>
      </c>
      <c r="BD846" t="s">
        <v>74</v>
      </c>
      <c r="BE846" t="s">
        <v>15641</v>
      </c>
      <c r="BF846" t="str">
        <f>HYPERLINK("http://dx.doi.org/10.1245/s10434-023-14032-y","http://dx.doi.org/10.1245/s10434-023-14032-y")</f>
        <v>http://dx.doi.org/10.1245/s10434-023-14032-y</v>
      </c>
      <c r="BG846" t="s">
        <v>74</v>
      </c>
      <c r="BH846" t="s">
        <v>10650</v>
      </c>
      <c r="BI846">
        <v>14</v>
      </c>
      <c r="BJ846" t="s">
        <v>6938</v>
      </c>
      <c r="BK846" t="s">
        <v>126</v>
      </c>
      <c r="BL846" t="s">
        <v>6938</v>
      </c>
      <c r="BM846" t="s">
        <v>15642</v>
      </c>
      <c r="BN846">
        <v>37598115</v>
      </c>
      <c r="BO846" t="s">
        <v>183</v>
      </c>
      <c r="BP846" t="s">
        <v>74</v>
      </c>
      <c r="BQ846" t="s">
        <v>74</v>
      </c>
      <c r="BR846" t="s">
        <v>99</v>
      </c>
      <c r="BS846" t="s">
        <v>15643</v>
      </c>
      <c r="BT846" t="str">
        <f>HYPERLINK("https%3A%2F%2Fwww.webofscience.com%2Fwos%2Fwoscc%2Ffull-record%2FWOS:001052360100003","View Full Record in Web of Science")</f>
        <v>View Full Record in Web of Science</v>
      </c>
    </row>
    <row r="847" spans="1:72" x14ac:dyDescent="0.15">
      <c r="A847" t="s">
        <v>72</v>
      </c>
      <c r="B847" t="s">
        <v>15644</v>
      </c>
      <c r="C847" t="s">
        <v>74</v>
      </c>
      <c r="D847" t="s">
        <v>74</v>
      </c>
      <c r="E847" t="s">
        <v>74</v>
      </c>
      <c r="F847" t="s">
        <v>15645</v>
      </c>
      <c r="G847" t="s">
        <v>74</v>
      </c>
      <c r="H847" t="s">
        <v>74</v>
      </c>
      <c r="I847" t="s">
        <v>15646</v>
      </c>
      <c r="J847" t="s">
        <v>5802</v>
      </c>
      <c r="K847" t="s">
        <v>74</v>
      </c>
      <c r="L847" t="s">
        <v>74</v>
      </c>
      <c r="M847" t="s">
        <v>78</v>
      </c>
      <c r="N847" t="s">
        <v>79</v>
      </c>
      <c r="O847" t="s">
        <v>74</v>
      </c>
      <c r="P847" t="s">
        <v>74</v>
      </c>
      <c r="Q847" t="s">
        <v>74</v>
      </c>
      <c r="R847" t="s">
        <v>74</v>
      </c>
      <c r="S847" t="s">
        <v>74</v>
      </c>
      <c r="T847" t="s">
        <v>15647</v>
      </c>
      <c r="U847" t="s">
        <v>15648</v>
      </c>
      <c r="V847" t="s">
        <v>15649</v>
      </c>
      <c r="W847" t="s">
        <v>15650</v>
      </c>
      <c r="X847" t="s">
        <v>15651</v>
      </c>
      <c r="Y847" t="s">
        <v>15652</v>
      </c>
      <c r="Z847" t="s">
        <v>15653</v>
      </c>
      <c r="AA847" t="s">
        <v>74</v>
      </c>
      <c r="AB847" t="s">
        <v>15654</v>
      </c>
      <c r="AC847" t="s">
        <v>15655</v>
      </c>
      <c r="AD847" t="s">
        <v>15656</v>
      </c>
      <c r="AE847" t="s">
        <v>15657</v>
      </c>
      <c r="AF847" t="s">
        <v>74</v>
      </c>
      <c r="AG847">
        <v>136</v>
      </c>
      <c r="AH847">
        <v>0</v>
      </c>
      <c r="AI847">
        <v>0</v>
      </c>
      <c r="AJ847">
        <v>0</v>
      </c>
      <c r="AK847">
        <v>0</v>
      </c>
      <c r="AL847" t="s">
        <v>443</v>
      </c>
      <c r="AM847" t="s">
        <v>245</v>
      </c>
      <c r="AN847" t="s">
        <v>444</v>
      </c>
      <c r="AO847" t="s">
        <v>74</v>
      </c>
      <c r="AP847" t="s">
        <v>5810</v>
      </c>
      <c r="AQ847" t="s">
        <v>74</v>
      </c>
      <c r="AR847" t="s">
        <v>5811</v>
      </c>
      <c r="AS847" t="s">
        <v>5812</v>
      </c>
      <c r="AT847" t="s">
        <v>15658</v>
      </c>
      <c r="AU847">
        <v>2023</v>
      </c>
      <c r="AV847">
        <v>42</v>
      </c>
      <c r="AW847">
        <v>1</v>
      </c>
      <c r="AX847" t="s">
        <v>74</v>
      </c>
      <c r="AY847" t="s">
        <v>74</v>
      </c>
      <c r="AZ847" t="s">
        <v>74</v>
      </c>
      <c r="BA847" t="s">
        <v>74</v>
      </c>
      <c r="BB847" t="s">
        <v>74</v>
      </c>
      <c r="BC847" t="s">
        <v>74</v>
      </c>
      <c r="BD847">
        <v>210</v>
      </c>
      <c r="BE847" t="s">
        <v>15659</v>
      </c>
      <c r="BF847" t="str">
        <f>HYPERLINK("http://dx.doi.org/10.1186/s13046-023-02782-2","http://dx.doi.org/10.1186/s13046-023-02782-2")</f>
        <v>http://dx.doi.org/10.1186/s13046-023-02782-2</v>
      </c>
      <c r="BG847" t="s">
        <v>74</v>
      </c>
      <c r="BH847" t="s">
        <v>74</v>
      </c>
      <c r="BI847">
        <v>25</v>
      </c>
      <c r="BJ847" t="s">
        <v>1951</v>
      </c>
      <c r="BK847" t="s">
        <v>126</v>
      </c>
      <c r="BL847" t="s">
        <v>1951</v>
      </c>
      <c r="BM847" t="s">
        <v>15660</v>
      </c>
      <c r="BN847">
        <v>37596623</v>
      </c>
      <c r="BO847" t="s">
        <v>540</v>
      </c>
      <c r="BP847" t="s">
        <v>74</v>
      </c>
      <c r="BQ847" t="s">
        <v>74</v>
      </c>
      <c r="BR847" t="s">
        <v>99</v>
      </c>
      <c r="BS847" t="s">
        <v>15661</v>
      </c>
      <c r="BT847" t="str">
        <f>HYPERLINK("https%3A%2F%2Fwww.webofscience.com%2Fwos%2Fwoscc%2Ffull-record%2FWOS:001051178500001","View Full Record in Web of Science")</f>
        <v>View Full Record in Web of Science</v>
      </c>
    </row>
    <row r="848" spans="1:72" x14ac:dyDescent="0.15">
      <c r="A848" t="s">
        <v>72</v>
      </c>
      <c r="B848" t="s">
        <v>15662</v>
      </c>
      <c r="C848" t="s">
        <v>74</v>
      </c>
      <c r="D848" t="s">
        <v>74</v>
      </c>
      <c r="E848" t="s">
        <v>74</v>
      </c>
      <c r="F848" t="s">
        <v>15663</v>
      </c>
      <c r="G848" t="s">
        <v>74</v>
      </c>
      <c r="H848" t="s">
        <v>74</v>
      </c>
      <c r="I848" t="s">
        <v>15664</v>
      </c>
      <c r="J848" t="s">
        <v>3978</v>
      </c>
      <c r="K848" t="s">
        <v>74</v>
      </c>
      <c r="L848" t="s">
        <v>74</v>
      </c>
      <c r="M848" t="s">
        <v>78</v>
      </c>
      <c r="N848" t="s">
        <v>1246</v>
      </c>
      <c r="O848" t="s">
        <v>74</v>
      </c>
      <c r="P848" t="s">
        <v>74</v>
      </c>
      <c r="Q848" t="s">
        <v>74</v>
      </c>
      <c r="R848" t="s">
        <v>74</v>
      </c>
      <c r="S848" t="s">
        <v>74</v>
      </c>
      <c r="T848" t="s">
        <v>74</v>
      </c>
      <c r="U848" t="s">
        <v>15665</v>
      </c>
      <c r="V848" t="s">
        <v>15666</v>
      </c>
      <c r="W848" t="s">
        <v>15667</v>
      </c>
      <c r="X848" t="s">
        <v>15668</v>
      </c>
      <c r="Y848" t="s">
        <v>15669</v>
      </c>
      <c r="Z848" t="s">
        <v>15670</v>
      </c>
      <c r="AA848" t="s">
        <v>74</v>
      </c>
      <c r="AB848" t="s">
        <v>15671</v>
      </c>
      <c r="AC848" t="s">
        <v>15672</v>
      </c>
      <c r="AD848" t="s">
        <v>15673</v>
      </c>
      <c r="AE848" t="s">
        <v>15674</v>
      </c>
      <c r="AF848" t="s">
        <v>74</v>
      </c>
      <c r="AG848">
        <v>101</v>
      </c>
      <c r="AH848">
        <v>0</v>
      </c>
      <c r="AI848">
        <v>0</v>
      </c>
      <c r="AJ848">
        <v>2</v>
      </c>
      <c r="AK848">
        <v>2</v>
      </c>
      <c r="AL848" t="s">
        <v>317</v>
      </c>
      <c r="AM848" t="s">
        <v>245</v>
      </c>
      <c r="AN848" t="s">
        <v>318</v>
      </c>
      <c r="AO848" t="s">
        <v>3990</v>
      </c>
      <c r="AP848" t="s">
        <v>3991</v>
      </c>
      <c r="AQ848" t="s">
        <v>74</v>
      </c>
      <c r="AR848" t="s">
        <v>3992</v>
      </c>
      <c r="AS848" t="s">
        <v>3993</v>
      </c>
      <c r="AT848" t="s">
        <v>15675</v>
      </c>
      <c r="AU848">
        <v>2023</v>
      </c>
      <c r="AV848" t="s">
        <v>74</v>
      </c>
      <c r="AW848" t="s">
        <v>74</v>
      </c>
      <c r="AX848" t="s">
        <v>74</v>
      </c>
      <c r="AY848" t="s">
        <v>74</v>
      </c>
      <c r="AZ848" t="s">
        <v>74</v>
      </c>
      <c r="BA848" t="s">
        <v>74</v>
      </c>
      <c r="BB848" t="s">
        <v>74</v>
      </c>
      <c r="BC848" t="s">
        <v>74</v>
      </c>
      <c r="BD848" t="s">
        <v>74</v>
      </c>
      <c r="BE848" t="s">
        <v>15676</v>
      </c>
      <c r="BF848" t="str">
        <f>HYPERLINK("http://dx.doi.org/10.1038/s41396-023-01485-y","http://dx.doi.org/10.1038/s41396-023-01485-y")</f>
        <v>http://dx.doi.org/10.1038/s41396-023-01485-y</v>
      </c>
      <c r="BG848" t="s">
        <v>74</v>
      </c>
      <c r="BH848" t="s">
        <v>10650</v>
      </c>
      <c r="BI848">
        <v>11</v>
      </c>
      <c r="BJ848" t="s">
        <v>3996</v>
      </c>
      <c r="BK848" t="s">
        <v>126</v>
      </c>
      <c r="BL848" t="s">
        <v>3997</v>
      </c>
      <c r="BM848" t="s">
        <v>15677</v>
      </c>
      <c r="BN848">
        <v>37596411</v>
      </c>
      <c r="BO848" t="s">
        <v>183</v>
      </c>
      <c r="BP848" t="s">
        <v>74</v>
      </c>
      <c r="BQ848" t="s">
        <v>74</v>
      </c>
      <c r="BR848" t="s">
        <v>99</v>
      </c>
      <c r="BS848" t="s">
        <v>15678</v>
      </c>
      <c r="BT848" t="str">
        <f>HYPERLINK("https%3A%2F%2Fwww.webofscience.com%2Fwos%2Fwoscc%2Ffull-record%2FWOS:001051237900001","View Full Record in Web of Science")</f>
        <v>View Full Record in Web of Science</v>
      </c>
    </row>
    <row r="849" spans="1:72" x14ac:dyDescent="0.15">
      <c r="A849" t="s">
        <v>72</v>
      </c>
      <c r="B849" t="s">
        <v>15679</v>
      </c>
      <c r="C849" t="s">
        <v>74</v>
      </c>
      <c r="D849" t="s">
        <v>74</v>
      </c>
      <c r="E849" t="s">
        <v>74</v>
      </c>
      <c r="F849" t="s">
        <v>15680</v>
      </c>
      <c r="G849" t="s">
        <v>74</v>
      </c>
      <c r="H849" t="s">
        <v>74</v>
      </c>
      <c r="I849" t="s">
        <v>15681</v>
      </c>
      <c r="J849" t="s">
        <v>15682</v>
      </c>
      <c r="K849" t="s">
        <v>74</v>
      </c>
      <c r="L849" t="s">
        <v>74</v>
      </c>
      <c r="M849" t="s">
        <v>78</v>
      </c>
      <c r="N849" t="s">
        <v>79</v>
      </c>
      <c r="O849" t="s">
        <v>74</v>
      </c>
      <c r="P849" t="s">
        <v>74</v>
      </c>
      <c r="Q849" t="s">
        <v>74</v>
      </c>
      <c r="R849" t="s">
        <v>74</v>
      </c>
      <c r="S849" t="s">
        <v>74</v>
      </c>
      <c r="T849" t="s">
        <v>15683</v>
      </c>
      <c r="U849" t="s">
        <v>15684</v>
      </c>
      <c r="V849" t="s">
        <v>15685</v>
      </c>
      <c r="W849" t="s">
        <v>15686</v>
      </c>
      <c r="X849" t="s">
        <v>15687</v>
      </c>
      <c r="Y849" t="s">
        <v>15688</v>
      </c>
      <c r="Z849" t="s">
        <v>15689</v>
      </c>
      <c r="AA849" t="s">
        <v>74</v>
      </c>
      <c r="AB849" t="s">
        <v>15690</v>
      </c>
      <c r="AC849" t="s">
        <v>15691</v>
      </c>
      <c r="AD849" t="s">
        <v>15692</v>
      </c>
      <c r="AE849" t="s">
        <v>15693</v>
      </c>
      <c r="AF849" t="s">
        <v>74</v>
      </c>
      <c r="AG849">
        <v>32</v>
      </c>
      <c r="AH849">
        <v>0</v>
      </c>
      <c r="AI849">
        <v>0</v>
      </c>
      <c r="AJ849">
        <v>4</v>
      </c>
      <c r="AK849">
        <v>4</v>
      </c>
      <c r="AL849" t="s">
        <v>117</v>
      </c>
      <c r="AM849" t="s">
        <v>118</v>
      </c>
      <c r="AN849" t="s">
        <v>119</v>
      </c>
      <c r="AO849" t="s">
        <v>15694</v>
      </c>
      <c r="AP849" t="s">
        <v>15695</v>
      </c>
      <c r="AQ849" t="s">
        <v>74</v>
      </c>
      <c r="AR849" t="s">
        <v>15696</v>
      </c>
      <c r="AS849" t="s">
        <v>15697</v>
      </c>
      <c r="AT849" t="s">
        <v>8614</v>
      </c>
      <c r="AU849">
        <v>2023</v>
      </c>
      <c r="AV849">
        <v>17</v>
      </c>
      <c r="AW849">
        <v>3</v>
      </c>
      <c r="AX849" t="s">
        <v>74</v>
      </c>
      <c r="AY849" t="s">
        <v>74</v>
      </c>
      <c r="AZ849" t="s">
        <v>74</v>
      </c>
      <c r="BA849" t="s">
        <v>74</v>
      </c>
      <c r="BB849">
        <v>203</v>
      </c>
      <c r="BC849">
        <v>211</v>
      </c>
      <c r="BD849" t="s">
        <v>74</v>
      </c>
      <c r="BE849" t="s">
        <v>15698</v>
      </c>
      <c r="BF849" t="str">
        <f>HYPERLINK("http://dx.doi.org/10.1007/s12193-023-00409-6","http://dx.doi.org/10.1007/s12193-023-00409-6")</f>
        <v>http://dx.doi.org/10.1007/s12193-023-00409-6</v>
      </c>
      <c r="BG849" t="s">
        <v>74</v>
      </c>
      <c r="BH849" t="s">
        <v>10650</v>
      </c>
      <c r="BI849">
        <v>9</v>
      </c>
      <c r="BJ849" t="s">
        <v>15699</v>
      </c>
      <c r="BK849" t="s">
        <v>126</v>
      </c>
      <c r="BL849" t="s">
        <v>1139</v>
      </c>
      <c r="BM849" t="s">
        <v>15700</v>
      </c>
      <c r="BN849" t="s">
        <v>74</v>
      </c>
      <c r="BO849" t="s">
        <v>74</v>
      </c>
      <c r="BP849" t="s">
        <v>74</v>
      </c>
      <c r="BQ849" t="s">
        <v>74</v>
      </c>
      <c r="BR849" t="s">
        <v>99</v>
      </c>
      <c r="BS849" t="s">
        <v>15701</v>
      </c>
      <c r="BT849" t="str">
        <f>HYPERLINK("https%3A%2F%2Fwww.webofscience.com%2Fwos%2Fwoscc%2Ffull-record%2FWOS:001050503700001","View Full Record in Web of Science")</f>
        <v>View Full Record in Web of Science</v>
      </c>
    </row>
    <row r="850" spans="1:72" x14ac:dyDescent="0.15">
      <c r="A850" t="s">
        <v>72</v>
      </c>
      <c r="B850" t="s">
        <v>15702</v>
      </c>
      <c r="C850" t="s">
        <v>74</v>
      </c>
      <c r="D850" t="s">
        <v>74</v>
      </c>
      <c r="E850" t="s">
        <v>74</v>
      </c>
      <c r="F850" t="s">
        <v>15703</v>
      </c>
      <c r="G850" t="s">
        <v>74</v>
      </c>
      <c r="H850" t="s">
        <v>74</v>
      </c>
      <c r="I850" t="s">
        <v>15704</v>
      </c>
      <c r="J850" t="s">
        <v>4132</v>
      </c>
      <c r="K850" t="s">
        <v>74</v>
      </c>
      <c r="L850" t="s">
        <v>74</v>
      </c>
      <c r="M850" t="s">
        <v>78</v>
      </c>
      <c r="N850" t="s">
        <v>1246</v>
      </c>
      <c r="O850" t="s">
        <v>74</v>
      </c>
      <c r="P850" t="s">
        <v>74</v>
      </c>
      <c r="Q850" t="s">
        <v>74</v>
      </c>
      <c r="R850" t="s">
        <v>74</v>
      </c>
      <c r="S850" t="s">
        <v>74</v>
      </c>
      <c r="T850" t="s">
        <v>74</v>
      </c>
      <c r="U850" t="s">
        <v>15705</v>
      </c>
      <c r="V850" t="s">
        <v>15706</v>
      </c>
      <c r="W850" t="s">
        <v>15707</v>
      </c>
      <c r="X850" t="s">
        <v>15708</v>
      </c>
      <c r="Y850" t="s">
        <v>15709</v>
      </c>
      <c r="Z850" t="s">
        <v>15710</v>
      </c>
      <c r="AA850" t="s">
        <v>15711</v>
      </c>
      <c r="AB850" t="s">
        <v>15712</v>
      </c>
      <c r="AC850" t="s">
        <v>15713</v>
      </c>
      <c r="AD850" t="s">
        <v>15714</v>
      </c>
      <c r="AE850" t="s">
        <v>15715</v>
      </c>
      <c r="AF850" t="s">
        <v>74</v>
      </c>
      <c r="AG850">
        <v>54</v>
      </c>
      <c r="AH850">
        <v>0</v>
      </c>
      <c r="AI850">
        <v>0</v>
      </c>
      <c r="AJ850">
        <v>1</v>
      </c>
      <c r="AK850">
        <v>1</v>
      </c>
      <c r="AL850" t="s">
        <v>317</v>
      </c>
      <c r="AM850" t="s">
        <v>245</v>
      </c>
      <c r="AN850" t="s">
        <v>318</v>
      </c>
      <c r="AO850" t="s">
        <v>4142</v>
      </c>
      <c r="AP850" t="s">
        <v>4143</v>
      </c>
      <c r="AQ850" t="s">
        <v>74</v>
      </c>
      <c r="AR850" t="s">
        <v>4144</v>
      </c>
      <c r="AS850" t="s">
        <v>4145</v>
      </c>
      <c r="AT850" t="s">
        <v>15675</v>
      </c>
      <c r="AU850">
        <v>2023</v>
      </c>
      <c r="AV850" t="s">
        <v>74</v>
      </c>
      <c r="AW850" t="s">
        <v>74</v>
      </c>
      <c r="AX850" t="s">
        <v>74</v>
      </c>
      <c r="AY850" t="s">
        <v>74</v>
      </c>
      <c r="AZ850" t="s">
        <v>74</v>
      </c>
      <c r="BA850" t="s">
        <v>74</v>
      </c>
      <c r="BB850" t="s">
        <v>74</v>
      </c>
      <c r="BC850" t="s">
        <v>74</v>
      </c>
      <c r="BD850" t="s">
        <v>74</v>
      </c>
      <c r="BE850" t="s">
        <v>15716</v>
      </c>
      <c r="BF850" t="str">
        <f>HYPERLINK("http://dx.doi.org/10.1038/s41416-023-02355-2","http://dx.doi.org/10.1038/s41416-023-02355-2")</f>
        <v>http://dx.doi.org/10.1038/s41416-023-02355-2</v>
      </c>
      <c r="BG850" t="s">
        <v>74</v>
      </c>
      <c r="BH850" t="s">
        <v>10650</v>
      </c>
      <c r="BI850">
        <v>11</v>
      </c>
      <c r="BJ850" t="s">
        <v>1951</v>
      </c>
      <c r="BK850" t="s">
        <v>126</v>
      </c>
      <c r="BL850" t="s">
        <v>1951</v>
      </c>
      <c r="BM850" t="s">
        <v>15717</v>
      </c>
      <c r="BN850">
        <v>37596406</v>
      </c>
      <c r="BO850" t="s">
        <v>183</v>
      </c>
      <c r="BP850" t="s">
        <v>74</v>
      </c>
      <c r="BQ850" t="s">
        <v>74</v>
      </c>
      <c r="BR850" t="s">
        <v>99</v>
      </c>
      <c r="BS850" t="s">
        <v>15718</v>
      </c>
      <c r="BT850" t="str">
        <f>HYPERLINK("https%3A%2F%2Fwww.webofscience.com%2Fwos%2Fwoscc%2Ffull-record%2FWOS:001051826800003","View Full Record in Web of Science")</f>
        <v>View Full Record in Web of Science</v>
      </c>
    </row>
    <row r="851" spans="1:72" x14ac:dyDescent="0.15">
      <c r="A851" t="s">
        <v>72</v>
      </c>
      <c r="B851" t="s">
        <v>15719</v>
      </c>
      <c r="C851" t="s">
        <v>74</v>
      </c>
      <c r="D851" t="s">
        <v>74</v>
      </c>
      <c r="E851" t="s">
        <v>74</v>
      </c>
      <c r="F851" t="s">
        <v>15720</v>
      </c>
      <c r="G851" t="s">
        <v>74</v>
      </c>
      <c r="H851" t="s">
        <v>74</v>
      </c>
      <c r="I851" t="s">
        <v>15721</v>
      </c>
      <c r="J851" t="s">
        <v>10971</v>
      </c>
      <c r="K851" t="s">
        <v>74</v>
      </c>
      <c r="L851" t="s">
        <v>74</v>
      </c>
      <c r="M851" t="s">
        <v>78</v>
      </c>
      <c r="N851" t="s">
        <v>1246</v>
      </c>
      <c r="O851" t="s">
        <v>74</v>
      </c>
      <c r="P851" t="s">
        <v>74</v>
      </c>
      <c r="Q851" t="s">
        <v>74</v>
      </c>
      <c r="R851" t="s">
        <v>74</v>
      </c>
      <c r="S851" t="s">
        <v>74</v>
      </c>
      <c r="T851" t="s">
        <v>15722</v>
      </c>
      <c r="U851" t="s">
        <v>15723</v>
      </c>
      <c r="V851" t="s">
        <v>15724</v>
      </c>
      <c r="W851" t="s">
        <v>15725</v>
      </c>
      <c r="X851" t="s">
        <v>15726</v>
      </c>
      <c r="Y851" t="s">
        <v>15727</v>
      </c>
      <c r="Z851" t="s">
        <v>15728</v>
      </c>
      <c r="AA851" t="s">
        <v>15729</v>
      </c>
      <c r="AB851" t="s">
        <v>15730</v>
      </c>
      <c r="AC851" t="s">
        <v>74</v>
      </c>
      <c r="AD851" t="s">
        <v>74</v>
      </c>
      <c r="AE851" t="s">
        <v>74</v>
      </c>
      <c r="AF851" t="s">
        <v>74</v>
      </c>
      <c r="AG851">
        <v>50</v>
      </c>
      <c r="AH851">
        <v>0</v>
      </c>
      <c r="AI851">
        <v>0</v>
      </c>
      <c r="AJ851">
        <v>2</v>
      </c>
      <c r="AK851">
        <v>2</v>
      </c>
      <c r="AL851" t="s">
        <v>117</v>
      </c>
      <c r="AM851" t="s">
        <v>118</v>
      </c>
      <c r="AN851" t="s">
        <v>119</v>
      </c>
      <c r="AO851" t="s">
        <v>10982</v>
      </c>
      <c r="AP851" t="s">
        <v>10983</v>
      </c>
      <c r="AQ851" t="s">
        <v>74</v>
      </c>
      <c r="AR851" t="s">
        <v>10984</v>
      </c>
      <c r="AS851" t="s">
        <v>10985</v>
      </c>
      <c r="AT851" t="s">
        <v>15675</v>
      </c>
      <c r="AU851">
        <v>2023</v>
      </c>
      <c r="AV851" t="s">
        <v>74</v>
      </c>
      <c r="AW851" t="s">
        <v>74</v>
      </c>
      <c r="AX851" t="s">
        <v>74</v>
      </c>
      <c r="AY851" t="s">
        <v>74</v>
      </c>
      <c r="AZ851" t="s">
        <v>74</v>
      </c>
      <c r="BA851" t="s">
        <v>74</v>
      </c>
      <c r="BB851" t="s">
        <v>74</v>
      </c>
      <c r="BC851" t="s">
        <v>74</v>
      </c>
      <c r="BD851" t="s">
        <v>74</v>
      </c>
      <c r="BE851" t="s">
        <v>15731</v>
      </c>
      <c r="BF851" t="str">
        <f>HYPERLINK("http://dx.doi.org/10.1007/s12155-023-10647-x","http://dx.doi.org/10.1007/s12155-023-10647-x")</f>
        <v>http://dx.doi.org/10.1007/s12155-023-10647-x</v>
      </c>
      <c r="BG851" t="s">
        <v>74</v>
      </c>
      <c r="BH851" t="s">
        <v>10650</v>
      </c>
      <c r="BI851">
        <v>15</v>
      </c>
      <c r="BJ851" t="s">
        <v>10987</v>
      </c>
      <c r="BK851" t="s">
        <v>126</v>
      </c>
      <c r="BL851" t="s">
        <v>10988</v>
      </c>
      <c r="BM851" t="s">
        <v>15732</v>
      </c>
      <c r="BN851" t="s">
        <v>74</v>
      </c>
      <c r="BO851" t="s">
        <v>183</v>
      </c>
      <c r="BP851" t="s">
        <v>74</v>
      </c>
      <c r="BQ851" t="s">
        <v>74</v>
      </c>
      <c r="BR851" t="s">
        <v>99</v>
      </c>
      <c r="BS851" t="s">
        <v>15733</v>
      </c>
      <c r="BT851" t="str">
        <f>HYPERLINK("https%3A%2F%2Fwww.webofscience.com%2Fwos%2Fwoscc%2Ffull-record%2FWOS:001051212700001","View Full Record in Web of Science")</f>
        <v>View Full Record in Web of Science</v>
      </c>
    </row>
    <row r="852" spans="1:72" x14ac:dyDescent="0.15">
      <c r="A852" t="s">
        <v>72</v>
      </c>
      <c r="B852" t="s">
        <v>15734</v>
      </c>
      <c r="C852" t="s">
        <v>74</v>
      </c>
      <c r="D852" t="s">
        <v>74</v>
      </c>
      <c r="E852" t="s">
        <v>74</v>
      </c>
      <c r="F852" t="s">
        <v>15735</v>
      </c>
      <c r="G852" t="s">
        <v>74</v>
      </c>
      <c r="H852" t="s">
        <v>15736</v>
      </c>
      <c r="I852" t="s">
        <v>15737</v>
      </c>
      <c r="J852" t="s">
        <v>7201</v>
      </c>
      <c r="K852" t="s">
        <v>74</v>
      </c>
      <c r="L852" t="s">
        <v>74</v>
      </c>
      <c r="M852" t="s">
        <v>78</v>
      </c>
      <c r="N852" t="s">
        <v>79</v>
      </c>
      <c r="O852" t="s">
        <v>74</v>
      </c>
      <c r="P852" t="s">
        <v>74</v>
      </c>
      <c r="Q852" t="s">
        <v>74</v>
      </c>
      <c r="R852" t="s">
        <v>74</v>
      </c>
      <c r="S852" t="s">
        <v>74</v>
      </c>
      <c r="T852" t="s">
        <v>15738</v>
      </c>
      <c r="U852" t="s">
        <v>15739</v>
      </c>
      <c r="V852" t="s">
        <v>15740</v>
      </c>
      <c r="W852" t="s">
        <v>15741</v>
      </c>
      <c r="X852" t="s">
        <v>15742</v>
      </c>
      <c r="Y852" t="s">
        <v>15743</v>
      </c>
      <c r="Z852" t="s">
        <v>15744</v>
      </c>
      <c r="AA852" t="s">
        <v>74</v>
      </c>
      <c r="AB852" t="s">
        <v>15745</v>
      </c>
      <c r="AC852" t="s">
        <v>15746</v>
      </c>
      <c r="AD852" t="s">
        <v>15747</v>
      </c>
      <c r="AE852" t="s">
        <v>15748</v>
      </c>
      <c r="AF852" t="s">
        <v>74</v>
      </c>
      <c r="AG852">
        <v>68</v>
      </c>
      <c r="AH852">
        <v>0</v>
      </c>
      <c r="AI852">
        <v>0</v>
      </c>
      <c r="AJ852">
        <v>1</v>
      </c>
      <c r="AK852">
        <v>1</v>
      </c>
      <c r="AL852" t="s">
        <v>443</v>
      </c>
      <c r="AM852" t="s">
        <v>245</v>
      </c>
      <c r="AN852" t="s">
        <v>444</v>
      </c>
      <c r="AO852" t="s">
        <v>74</v>
      </c>
      <c r="AP852" t="s">
        <v>7212</v>
      </c>
      <c r="AQ852" t="s">
        <v>74</v>
      </c>
      <c r="AR852" t="s">
        <v>7213</v>
      </c>
      <c r="AS852" t="s">
        <v>7214</v>
      </c>
      <c r="AT852" t="s">
        <v>15658</v>
      </c>
      <c r="AU852">
        <v>2023</v>
      </c>
      <c r="AV852">
        <v>21</v>
      </c>
      <c r="AW852">
        <v>1</v>
      </c>
      <c r="AX852" t="s">
        <v>74</v>
      </c>
      <c r="AY852" t="s">
        <v>74</v>
      </c>
      <c r="AZ852" t="s">
        <v>74</v>
      </c>
      <c r="BA852" t="s">
        <v>74</v>
      </c>
      <c r="BB852" t="s">
        <v>74</v>
      </c>
      <c r="BC852" t="s">
        <v>74</v>
      </c>
      <c r="BD852">
        <v>66</v>
      </c>
      <c r="BE852" t="s">
        <v>15749</v>
      </c>
      <c r="BF852" t="str">
        <f>HYPERLINK("http://dx.doi.org/10.1186/s12960-023-00853-1","http://dx.doi.org/10.1186/s12960-023-00853-1")</f>
        <v>http://dx.doi.org/10.1186/s12960-023-00853-1</v>
      </c>
      <c r="BG852" t="s">
        <v>74</v>
      </c>
      <c r="BH852" t="s">
        <v>74</v>
      </c>
      <c r="BI852">
        <v>21</v>
      </c>
      <c r="BJ852" t="s">
        <v>7216</v>
      </c>
      <c r="BK852" t="s">
        <v>425</v>
      </c>
      <c r="BL852" t="s">
        <v>7217</v>
      </c>
      <c r="BM852" t="s">
        <v>15750</v>
      </c>
      <c r="BN852">
        <v>37596628</v>
      </c>
      <c r="BO852" t="s">
        <v>302</v>
      </c>
      <c r="BP852" t="s">
        <v>74</v>
      </c>
      <c r="BQ852" t="s">
        <v>74</v>
      </c>
      <c r="BR852" t="s">
        <v>99</v>
      </c>
      <c r="BS852" t="s">
        <v>15751</v>
      </c>
      <c r="BT852" t="str">
        <f>HYPERLINK("https%3A%2F%2Fwww.webofscience.com%2Fwos%2Fwoscc%2Ffull-record%2FWOS:001050363300001","View Full Record in Web of Science")</f>
        <v>View Full Record in Web of Science</v>
      </c>
    </row>
    <row r="853" spans="1:72" x14ac:dyDescent="0.15">
      <c r="A853" t="s">
        <v>72</v>
      </c>
      <c r="B853" t="s">
        <v>15752</v>
      </c>
      <c r="C853" t="s">
        <v>74</v>
      </c>
      <c r="D853" t="s">
        <v>74</v>
      </c>
      <c r="E853" t="s">
        <v>74</v>
      </c>
      <c r="F853" t="s">
        <v>15753</v>
      </c>
      <c r="G853" t="s">
        <v>74</v>
      </c>
      <c r="H853" t="s">
        <v>74</v>
      </c>
      <c r="I853" t="s">
        <v>15754</v>
      </c>
      <c r="J853" t="s">
        <v>12840</v>
      </c>
      <c r="K853" t="s">
        <v>74</v>
      </c>
      <c r="L853" t="s">
        <v>74</v>
      </c>
      <c r="M853" t="s">
        <v>78</v>
      </c>
      <c r="N853" t="s">
        <v>1246</v>
      </c>
      <c r="O853" t="s">
        <v>74</v>
      </c>
      <c r="P853" t="s">
        <v>74</v>
      </c>
      <c r="Q853" t="s">
        <v>74</v>
      </c>
      <c r="R853" t="s">
        <v>74</v>
      </c>
      <c r="S853" t="s">
        <v>74</v>
      </c>
      <c r="T853" t="s">
        <v>74</v>
      </c>
      <c r="U853" t="s">
        <v>15755</v>
      </c>
      <c r="V853" t="s">
        <v>15756</v>
      </c>
      <c r="W853" t="s">
        <v>15757</v>
      </c>
      <c r="X853" t="s">
        <v>15758</v>
      </c>
      <c r="Y853" t="s">
        <v>15759</v>
      </c>
      <c r="Z853" t="s">
        <v>15760</v>
      </c>
      <c r="AA853" t="s">
        <v>74</v>
      </c>
      <c r="AB853" t="s">
        <v>15761</v>
      </c>
      <c r="AC853" t="s">
        <v>15762</v>
      </c>
      <c r="AD853" t="s">
        <v>15763</v>
      </c>
      <c r="AE853" t="s">
        <v>15764</v>
      </c>
      <c r="AF853" t="s">
        <v>74</v>
      </c>
      <c r="AG853">
        <v>41</v>
      </c>
      <c r="AH853">
        <v>0</v>
      </c>
      <c r="AI853">
        <v>0</v>
      </c>
      <c r="AJ853">
        <v>1</v>
      </c>
      <c r="AK853">
        <v>1</v>
      </c>
      <c r="AL853" t="s">
        <v>317</v>
      </c>
      <c r="AM853" t="s">
        <v>245</v>
      </c>
      <c r="AN853" t="s">
        <v>318</v>
      </c>
      <c r="AO853" t="s">
        <v>12848</v>
      </c>
      <c r="AP853" t="s">
        <v>12849</v>
      </c>
      <c r="AQ853" t="s">
        <v>74</v>
      </c>
      <c r="AR853" t="s">
        <v>12840</v>
      </c>
      <c r="AS853" t="s">
        <v>12850</v>
      </c>
      <c r="AT853" t="s">
        <v>15675</v>
      </c>
      <c r="AU853">
        <v>2023</v>
      </c>
      <c r="AV853" t="s">
        <v>74</v>
      </c>
      <c r="AW853" t="s">
        <v>74</v>
      </c>
      <c r="AX853" t="s">
        <v>74</v>
      </c>
      <c r="AY853" t="s">
        <v>74</v>
      </c>
      <c r="AZ853" t="s">
        <v>74</v>
      </c>
      <c r="BA853" t="s">
        <v>74</v>
      </c>
      <c r="BB853" t="s">
        <v>74</v>
      </c>
      <c r="BC853" t="s">
        <v>74</v>
      </c>
      <c r="BD853" t="s">
        <v>74</v>
      </c>
      <c r="BE853" t="s">
        <v>15765</v>
      </c>
      <c r="BF853" t="str">
        <f>HYPERLINK("http://dx.doi.org/10.1038/s41433-023-02705-7","http://dx.doi.org/10.1038/s41433-023-02705-7")</f>
        <v>http://dx.doi.org/10.1038/s41433-023-02705-7</v>
      </c>
      <c r="BG853" t="s">
        <v>74</v>
      </c>
      <c r="BH853" t="s">
        <v>10650</v>
      </c>
      <c r="BI853">
        <v>6</v>
      </c>
      <c r="BJ853" t="s">
        <v>7038</v>
      </c>
      <c r="BK853" t="s">
        <v>126</v>
      </c>
      <c r="BL853" t="s">
        <v>7038</v>
      </c>
      <c r="BM853" t="s">
        <v>15766</v>
      </c>
      <c r="BN853">
        <v>37596401</v>
      </c>
      <c r="BO853" t="s">
        <v>74</v>
      </c>
      <c r="BP853" t="s">
        <v>74</v>
      </c>
      <c r="BQ853" t="s">
        <v>74</v>
      </c>
      <c r="BR853" t="s">
        <v>99</v>
      </c>
      <c r="BS853" t="s">
        <v>15767</v>
      </c>
      <c r="BT853" t="str">
        <f>HYPERLINK("https%3A%2F%2Fwww.webofscience.com%2Fwos%2Fwoscc%2Ffull-record%2FWOS:001051247200002","View Full Record in Web of Science")</f>
        <v>View Full Record in Web of Science</v>
      </c>
    </row>
    <row r="854" spans="1:72" x14ac:dyDescent="0.15">
      <c r="A854" t="s">
        <v>72</v>
      </c>
      <c r="B854" t="s">
        <v>15768</v>
      </c>
      <c r="C854" t="s">
        <v>74</v>
      </c>
      <c r="D854" t="s">
        <v>74</v>
      </c>
      <c r="E854" t="s">
        <v>74</v>
      </c>
      <c r="F854" t="s">
        <v>15769</v>
      </c>
      <c r="G854" t="s">
        <v>74</v>
      </c>
      <c r="H854" t="s">
        <v>74</v>
      </c>
      <c r="I854" t="s">
        <v>15770</v>
      </c>
      <c r="J854" t="s">
        <v>6122</v>
      </c>
      <c r="K854" t="s">
        <v>74</v>
      </c>
      <c r="L854" t="s">
        <v>74</v>
      </c>
      <c r="M854" t="s">
        <v>78</v>
      </c>
      <c r="N854" t="s">
        <v>1246</v>
      </c>
      <c r="O854" t="s">
        <v>74</v>
      </c>
      <c r="P854" t="s">
        <v>74</v>
      </c>
      <c r="Q854" t="s">
        <v>74</v>
      </c>
      <c r="R854" t="s">
        <v>74</v>
      </c>
      <c r="S854" t="s">
        <v>74</v>
      </c>
      <c r="T854" t="s">
        <v>15771</v>
      </c>
      <c r="U854" t="s">
        <v>15772</v>
      </c>
      <c r="V854" t="s">
        <v>15773</v>
      </c>
      <c r="W854" t="s">
        <v>15774</v>
      </c>
      <c r="X854" t="s">
        <v>15775</v>
      </c>
      <c r="Y854" t="s">
        <v>15776</v>
      </c>
      <c r="Z854" t="s">
        <v>15777</v>
      </c>
      <c r="AA854" t="s">
        <v>74</v>
      </c>
      <c r="AB854" t="s">
        <v>74</v>
      </c>
      <c r="AC854" t="s">
        <v>15778</v>
      </c>
      <c r="AD854" t="s">
        <v>4976</v>
      </c>
      <c r="AE854" t="s">
        <v>15779</v>
      </c>
      <c r="AF854" t="s">
        <v>74</v>
      </c>
      <c r="AG854">
        <v>26</v>
      </c>
      <c r="AH854">
        <v>0</v>
      </c>
      <c r="AI854">
        <v>0</v>
      </c>
      <c r="AJ854">
        <v>2</v>
      </c>
      <c r="AK854">
        <v>2</v>
      </c>
      <c r="AL854" t="s">
        <v>87</v>
      </c>
      <c r="AM854" t="s">
        <v>88</v>
      </c>
      <c r="AN854" t="s">
        <v>89</v>
      </c>
      <c r="AO854" t="s">
        <v>6129</v>
      </c>
      <c r="AP854" t="s">
        <v>6130</v>
      </c>
      <c r="AQ854" t="s">
        <v>74</v>
      </c>
      <c r="AR854" t="s">
        <v>6131</v>
      </c>
      <c r="AS854" t="s">
        <v>6132</v>
      </c>
      <c r="AT854" t="s">
        <v>15675</v>
      </c>
      <c r="AU854">
        <v>2023</v>
      </c>
      <c r="AV854" t="s">
        <v>74</v>
      </c>
      <c r="AW854" t="s">
        <v>74</v>
      </c>
      <c r="AX854" t="s">
        <v>74</v>
      </c>
      <c r="AY854" t="s">
        <v>74</v>
      </c>
      <c r="AZ854" t="s">
        <v>74</v>
      </c>
      <c r="BA854" t="s">
        <v>74</v>
      </c>
      <c r="BB854" t="s">
        <v>74</v>
      </c>
      <c r="BC854" t="s">
        <v>74</v>
      </c>
      <c r="BD854" t="s">
        <v>74</v>
      </c>
      <c r="BE854" t="s">
        <v>15780</v>
      </c>
      <c r="BF854" t="str">
        <f>HYPERLINK("http://dx.doi.org/10.1007/s12666-023-03069-y","http://dx.doi.org/10.1007/s12666-023-03069-y")</f>
        <v>http://dx.doi.org/10.1007/s12666-023-03069-y</v>
      </c>
      <c r="BG854" t="s">
        <v>74</v>
      </c>
      <c r="BH854" t="s">
        <v>10650</v>
      </c>
      <c r="BI854">
        <v>5</v>
      </c>
      <c r="BJ854" t="s">
        <v>6134</v>
      </c>
      <c r="BK854" t="s">
        <v>126</v>
      </c>
      <c r="BL854" t="s">
        <v>6134</v>
      </c>
      <c r="BM854" t="s">
        <v>15781</v>
      </c>
      <c r="BN854" t="s">
        <v>74</v>
      </c>
      <c r="BO854" t="s">
        <v>74</v>
      </c>
      <c r="BP854" t="s">
        <v>74</v>
      </c>
      <c r="BQ854" t="s">
        <v>74</v>
      </c>
      <c r="BR854" t="s">
        <v>99</v>
      </c>
      <c r="BS854" t="s">
        <v>15782</v>
      </c>
      <c r="BT854" t="str">
        <f>HYPERLINK("https%3A%2F%2Fwww.webofscience.com%2Fwos%2Fwoscc%2Ffull-record%2FWOS:001050525700001","View Full Record in Web of Science")</f>
        <v>View Full Record in Web of Science</v>
      </c>
    </row>
    <row r="855" spans="1:72" x14ac:dyDescent="0.15">
      <c r="A855" t="s">
        <v>72</v>
      </c>
      <c r="B855" t="s">
        <v>15783</v>
      </c>
      <c r="C855" t="s">
        <v>74</v>
      </c>
      <c r="D855" t="s">
        <v>74</v>
      </c>
      <c r="E855" t="s">
        <v>74</v>
      </c>
      <c r="F855" t="s">
        <v>15784</v>
      </c>
      <c r="G855" t="s">
        <v>74</v>
      </c>
      <c r="H855" t="s">
        <v>74</v>
      </c>
      <c r="I855" t="s">
        <v>15785</v>
      </c>
      <c r="J855" t="s">
        <v>15786</v>
      </c>
      <c r="K855" t="s">
        <v>74</v>
      </c>
      <c r="L855" t="s">
        <v>74</v>
      </c>
      <c r="M855" t="s">
        <v>78</v>
      </c>
      <c r="N855" t="s">
        <v>1246</v>
      </c>
      <c r="O855" t="s">
        <v>74</v>
      </c>
      <c r="P855" t="s">
        <v>74</v>
      </c>
      <c r="Q855" t="s">
        <v>74</v>
      </c>
      <c r="R855" t="s">
        <v>74</v>
      </c>
      <c r="S855" t="s">
        <v>74</v>
      </c>
      <c r="T855" t="s">
        <v>15787</v>
      </c>
      <c r="U855" t="s">
        <v>15788</v>
      </c>
      <c r="V855" t="s">
        <v>15789</v>
      </c>
      <c r="W855" t="s">
        <v>15790</v>
      </c>
      <c r="X855" t="s">
        <v>15791</v>
      </c>
      <c r="Y855" t="s">
        <v>15792</v>
      </c>
      <c r="Z855" t="s">
        <v>15793</v>
      </c>
      <c r="AA855" t="s">
        <v>74</v>
      </c>
      <c r="AB855" t="s">
        <v>15794</v>
      </c>
      <c r="AC855" t="s">
        <v>74</v>
      </c>
      <c r="AD855" t="s">
        <v>74</v>
      </c>
      <c r="AE855" t="s">
        <v>74</v>
      </c>
      <c r="AF855" t="s">
        <v>74</v>
      </c>
      <c r="AG855">
        <v>39</v>
      </c>
      <c r="AH855">
        <v>0</v>
      </c>
      <c r="AI855">
        <v>0</v>
      </c>
      <c r="AJ855">
        <v>0</v>
      </c>
      <c r="AK855">
        <v>0</v>
      </c>
      <c r="AL855" t="s">
        <v>117</v>
      </c>
      <c r="AM855" t="s">
        <v>118</v>
      </c>
      <c r="AN855" t="s">
        <v>119</v>
      </c>
      <c r="AO855" t="s">
        <v>15795</v>
      </c>
      <c r="AP855" t="s">
        <v>15796</v>
      </c>
      <c r="AQ855" t="s">
        <v>74</v>
      </c>
      <c r="AR855" t="s">
        <v>15797</v>
      </c>
      <c r="AS855" t="s">
        <v>15798</v>
      </c>
      <c r="AT855" t="s">
        <v>15675</v>
      </c>
      <c r="AU855">
        <v>2023</v>
      </c>
      <c r="AV855" t="s">
        <v>74</v>
      </c>
      <c r="AW855" t="s">
        <v>74</v>
      </c>
      <c r="AX855" t="s">
        <v>74</v>
      </c>
      <c r="AY855" t="s">
        <v>74</v>
      </c>
      <c r="AZ855" t="s">
        <v>74</v>
      </c>
      <c r="BA855" t="s">
        <v>74</v>
      </c>
      <c r="BB855" t="s">
        <v>74</v>
      </c>
      <c r="BC855" t="s">
        <v>74</v>
      </c>
      <c r="BD855" t="s">
        <v>74</v>
      </c>
      <c r="BE855" t="s">
        <v>15799</v>
      </c>
      <c r="BF855" t="str">
        <f>HYPERLINK("http://dx.doi.org/10.1007/s13187-023-02356-y","http://dx.doi.org/10.1007/s13187-023-02356-y")</f>
        <v>http://dx.doi.org/10.1007/s13187-023-02356-y</v>
      </c>
      <c r="BG855" t="s">
        <v>74</v>
      </c>
      <c r="BH855" t="s">
        <v>10650</v>
      </c>
      <c r="BI855">
        <v>9</v>
      </c>
      <c r="BJ855" t="s">
        <v>15800</v>
      </c>
      <c r="BK855" t="s">
        <v>126</v>
      </c>
      <c r="BL855" t="s">
        <v>15801</v>
      </c>
      <c r="BM855" t="s">
        <v>15802</v>
      </c>
      <c r="BN855">
        <v>37594623</v>
      </c>
      <c r="BO855" t="s">
        <v>183</v>
      </c>
      <c r="BP855" t="s">
        <v>74</v>
      </c>
      <c r="BQ855" t="s">
        <v>74</v>
      </c>
      <c r="BR855" t="s">
        <v>99</v>
      </c>
      <c r="BS855" t="s">
        <v>15803</v>
      </c>
      <c r="BT855" t="str">
        <f>HYPERLINK("https%3A%2F%2Fwww.webofscience.com%2Fwos%2Fwoscc%2Ffull-record%2FWOS:001050499300001","View Full Record in Web of Science")</f>
        <v>View Full Record in Web of Science</v>
      </c>
    </row>
    <row r="856" spans="1:72" x14ac:dyDescent="0.15">
      <c r="A856" t="s">
        <v>72</v>
      </c>
      <c r="B856" t="s">
        <v>15804</v>
      </c>
      <c r="C856" t="s">
        <v>74</v>
      </c>
      <c r="D856" t="s">
        <v>74</v>
      </c>
      <c r="E856" t="s">
        <v>74</v>
      </c>
      <c r="F856" t="s">
        <v>15805</v>
      </c>
      <c r="G856" t="s">
        <v>74</v>
      </c>
      <c r="H856" t="s">
        <v>74</v>
      </c>
      <c r="I856" t="s">
        <v>15806</v>
      </c>
      <c r="J856" t="s">
        <v>15807</v>
      </c>
      <c r="K856" t="s">
        <v>74</v>
      </c>
      <c r="L856" t="s">
        <v>74</v>
      </c>
      <c r="M856" t="s">
        <v>78</v>
      </c>
      <c r="N856" t="s">
        <v>2174</v>
      </c>
      <c r="O856" t="s">
        <v>74</v>
      </c>
      <c r="P856" t="s">
        <v>74</v>
      </c>
      <c r="Q856" t="s">
        <v>74</v>
      </c>
      <c r="R856" t="s">
        <v>74</v>
      </c>
      <c r="S856" t="s">
        <v>74</v>
      </c>
      <c r="T856" t="s">
        <v>15808</v>
      </c>
      <c r="U856" t="s">
        <v>15809</v>
      </c>
      <c r="V856" t="s">
        <v>15810</v>
      </c>
      <c r="W856" t="s">
        <v>15811</v>
      </c>
      <c r="X856" t="s">
        <v>15812</v>
      </c>
      <c r="Y856" t="s">
        <v>15813</v>
      </c>
      <c r="Z856" t="s">
        <v>15814</v>
      </c>
      <c r="AA856" t="s">
        <v>74</v>
      </c>
      <c r="AB856" t="s">
        <v>15815</v>
      </c>
      <c r="AC856" t="s">
        <v>74</v>
      </c>
      <c r="AD856" t="s">
        <v>74</v>
      </c>
      <c r="AE856" t="s">
        <v>74</v>
      </c>
      <c r="AF856" t="s">
        <v>74</v>
      </c>
      <c r="AG856">
        <v>53</v>
      </c>
      <c r="AH856">
        <v>0</v>
      </c>
      <c r="AI856">
        <v>0</v>
      </c>
      <c r="AJ856">
        <v>0</v>
      </c>
      <c r="AK856">
        <v>0</v>
      </c>
      <c r="AL856" t="s">
        <v>1922</v>
      </c>
      <c r="AM856" t="s">
        <v>118</v>
      </c>
      <c r="AN856" t="s">
        <v>1923</v>
      </c>
      <c r="AO856" t="s">
        <v>15816</v>
      </c>
      <c r="AP856" t="s">
        <v>15817</v>
      </c>
      <c r="AQ856" t="s">
        <v>74</v>
      </c>
      <c r="AR856" t="s">
        <v>15818</v>
      </c>
      <c r="AS856" t="s">
        <v>15819</v>
      </c>
      <c r="AT856" t="s">
        <v>15675</v>
      </c>
      <c r="AU856">
        <v>2023</v>
      </c>
      <c r="AV856" t="s">
        <v>74</v>
      </c>
      <c r="AW856" t="s">
        <v>74</v>
      </c>
      <c r="AX856" t="s">
        <v>74</v>
      </c>
      <c r="AY856" t="s">
        <v>74</v>
      </c>
      <c r="AZ856" t="s">
        <v>74</v>
      </c>
      <c r="BA856" t="s">
        <v>74</v>
      </c>
      <c r="BB856" t="s">
        <v>74</v>
      </c>
      <c r="BC856" t="s">
        <v>74</v>
      </c>
      <c r="BD856" t="s">
        <v>74</v>
      </c>
      <c r="BE856" t="s">
        <v>15820</v>
      </c>
      <c r="BF856" t="str">
        <f>HYPERLINK("http://dx.doi.org/10.1007/s00044-023-03128-5","http://dx.doi.org/10.1007/s00044-023-03128-5")</f>
        <v>http://dx.doi.org/10.1007/s00044-023-03128-5</v>
      </c>
      <c r="BG856" t="s">
        <v>74</v>
      </c>
      <c r="BH856" t="s">
        <v>10650</v>
      </c>
      <c r="BI856">
        <v>18</v>
      </c>
      <c r="BJ856" t="s">
        <v>1037</v>
      </c>
      <c r="BK856" t="s">
        <v>126</v>
      </c>
      <c r="BL856" t="s">
        <v>1038</v>
      </c>
      <c r="BM856" t="s">
        <v>15821</v>
      </c>
      <c r="BN856" t="s">
        <v>74</v>
      </c>
      <c r="BO856" t="s">
        <v>74</v>
      </c>
      <c r="BP856" t="s">
        <v>74</v>
      </c>
      <c r="BQ856" t="s">
        <v>74</v>
      </c>
      <c r="BR856" t="s">
        <v>99</v>
      </c>
      <c r="BS856" t="s">
        <v>15822</v>
      </c>
      <c r="BT856" t="str">
        <f>HYPERLINK("https%3A%2F%2Fwww.webofscience.com%2Fwos%2Fwoscc%2Ffull-record%2FWOS:001051217500002","View Full Record in Web of Science")</f>
        <v>View Full Record in Web of Science</v>
      </c>
    </row>
    <row r="857" spans="1:72" x14ac:dyDescent="0.15">
      <c r="A857" t="s">
        <v>72</v>
      </c>
      <c r="B857" t="s">
        <v>15823</v>
      </c>
      <c r="C857" t="s">
        <v>74</v>
      </c>
      <c r="D857" t="s">
        <v>74</v>
      </c>
      <c r="E857" t="s">
        <v>74</v>
      </c>
      <c r="F857" t="s">
        <v>15824</v>
      </c>
      <c r="G857" t="s">
        <v>74</v>
      </c>
      <c r="H857" t="s">
        <v>74</v>
      </c>
      <c r="I857" t="s">
        <v>15825</v>
      </c>
      <c r="J857" t="s">
        <v>3212</v>
      </c>
      <c r="K857" t="s">
        <v>74</v>
      </c>
      <c r="L857" t="s">
        <v>74</v>
      </c>
      <c r="M857" t="s">
        <v>78</v>
      </c>
      <c r="N857" t="s">
        <v>79</v>
      </c>
      <c r="O857" t="s">
        <v>74</v>
      </c>
      <c r="P857" t="s">
        <v>74</v>
      </c>
      <c r="Q857" t="s">
        <v>74</v>
      </c>
      <c r="R857" t="s">
        <v>74</v>
      </c>
      <c r="S857" t="s">
        <v>74</v>
      </c>
      <c r="T857" t="s">
        <v>15826</v>
      </c>
      <c r="U857" t="s">
        <v>15827</v>
      </c>
      <c r="V857" t="s">
        <v>15828</v>
      </c>
      <c r="W857" t="s">
        <v>15829</v>
      </c>
      <c r="X857" t="s">
        <v>15830</v>
      </c>
      <c r="Y857" t="s">
        <v>15831</v>
      </c>
      <c r="Z857" t="s">
        <v>15832</v>
      </c>
      <c r="AA857" t="s">
        <v>15833</v>
      </c>
      <c r="AB857" t="s">
        <v>15834</v>
      </c>
      <c r="AC857" t="s">
        <v>74</v>
      </c>
      <c r="AD857" t="s">
        <v>74</v>
      </c>
      <c r="AE857" t="s">
        <v>74</v>
      </c>
      <c r="AF857" t="s">
        <v>74</v>
      </c>
      <c r="AG857">
        <v>24</v>
      </c>
      <c r="AH857">
        <v>0</v>
      </c>
      <c r="AI857">
        <v>0</v>
      </c>
      <c r="AJ857">
        <v>0</v>
      </c>
      <c r="AK857">
        <v>0</v>
      </c>
      <c r="AL857" t="s">
        <v>443</v>
      </c>
      <c r="AM857" t="s">
        <v>245</v>
      </c>
      <c r="AN857" t="s">
        <v>444</v>
      </c>
      <c r="AO857" t="s">
        <v>74</v>
      </c>
      <c r="AP857" t="s">
        <v>3220</v>
      </c>
      <c r="AQ857" t="s">
        <v>74</v>
      </c>
      <c r="AR857" t="s">
        <v>3221</v>
      </c>
      <c r="AS857" t="s">
        <v>3222</v>
      </c>
      <c r="AT857" t="s">
        <v>15658</v>
      </c>
      <c r="AU857">
        <v>2023</v>
      </c>
      <c r="AV857">
        <v>23</v>
      </c>
      <c r="AW857">
        <v>1</v>
      </c>
      <c r="AX857" t="s">
        <v>74</v>
      </c>
      <c r="AY857" t="s">
        <v>74</v>
      </c>
      <c r="AZ857" t="s">
        <v>74</v>
      </c>
      <c r="BA857" t="s">
        <v>74</v>
      </c>
      <c r="BB857" t="s">
        <v>74</v>
      </c>
      <c r="BC857" t="s">
        <v>74</v>
      </c>
      <c r="BD857">
        <v>582</v>
      </c>
      <c r="BE857" t="s">
        <v>15835</v>
      </c>
      <c r="BF857" t="str">
        <f>HYPERLINK("http://dx.doi.org/10.1186/s12909-023-04575-9","http://dx.doi.org/10.1186/s12909-023-04575-9")</f>
        <v>http://dx.doi.org/10.1186/s12909-023-04575-9</v>
      </c>
      <c r="BG857" t="s">
        <v>74</v>
      </c>
      <c r="BH857" t="s">
        <v>74</v>
      </c>
      <c r="BI857">
        <v>13</v>
      </c>
      <c r="BJ857" t="s">
        <v>3225</v>
      </c>
      <c r="BK857" t="s">
        <v>2431</v>
      </c>
      <c r="BL857" t="s">
        <v>3226</v>
      </c>
      <c r="BM857" t="s">
        <v>15836</v>
      </c>
      <c r="BN857">
        <v>37596574</v>
      </c>
      <c r="BO857" t="s">
        <v>302</v>
      </c>
      <c r="BP857" t="s">
        <v>74</v>
      </c>
      <c r="BQ857" t="s">
        <v>74</v>
      </c>
      <c r="BR857" t="s">
        <v>99</v>
      </c>
      <c r="BS857" t="s">
        <v>15837</v>
      </c>
      <c r="BT857" t="str">
        <f>HYPERLINK("https%3A%2F%2Fwww.webofscience.com%2Fwos%2Fwoscc%2Ffull-record%2FWOS:001050374600006","View Full Record in Web of Science")</f>
        <v>View Full Record in Web of Science</v>
      </c>
    </row>
    <row r="858" spans="1:72" x14ac:dyDescent="0.15">
      <c r="A858" t="s">
        <v>72</v>
      </c>
      <c r="B858" t="s">
        <v>15838</v>
      </c>
      <c r="C858" t="s">
        <v>74</v>
      </c>
      <c r="D858" t="s">
        <v>74</v>
      </c>
      <c r="E858" t="s">
        <v>74</v>
      </c>
      <c r="F858" t="s">
        <v>15839</v>
      </c>
      <c r="G858" t="s">
        <v>74</v>
      </c>
      <c r="H858" t="s">
        <v>74</v>
      </c>
      <c r="I858" t="s">
        <v>15840</v>
      </c>
      <c r="J858" t="s">
        <v>2913</v>
      </c>
      <c r="K858" t="s">
        <v>74</v>
      </c>
      <c r="L858" t="s">
        <v>74</v>
      </c>
      <c r="M858" t="s">
        <v>78</v>
      </c>
      <c r="N858" t="s">
        <v>1246</v>
      </c>
      <c r="O858" t="s">
        <v>74</v>
      </c>
      <c r="P858" t="s">
        <v>74</v>
      </c>
      <c r="Q858" t="s">
        <v>74</v>
      </c>
      <c r="R858" t="s">
        <v>74</v>
      </c>
      <c r="S858" t="s">
        <v>74</v>
      </c>
      <c r="T858" t="s">
        <v>15841</v>
      </c>
      <c r="U858" t="s">
        <v>15842</v>
      </c>
      <c r="V858" t="s">
        <v>15843</v>
      </c>
      <c r="W858" t="s">
        <v>15844</v>
      </c>
      <c r="X858" t="s">
        <v>15845</v>
      </c>
      <c r="Y858" t="s">
        <v>15846</v>
      </c>
      <c r="Z858" t="s">
        <v>15847</v>
      </c>
      <c r="AA858" t="s">
        <v>74</v>
      </c>
      <c r="AB858" t="s">
        <v>74</v>
      </c>
      <c r="AC858" t="s">
        <v>74</v>
      </c>
      <c r="AD858" t="s">
        <v>74</v>
      </c>
      <c r="AE858" t="s">
        <v>74</v>
      </c>
      <c r="AF858" t="s">
        <v>74</v>
      </c>
      <c r="AG858">
        <v>28</v>
      </c>
      <c r="AH858">
        <v>0</v>
      </c>
      <c r="AI858">
        <v>0</v>
      </c>
      <c r="AJ858">
        <v>0</v>
      </c>
      <c r="AK858">
        <v>0</v>
      </c>
      <c r="AL858" t="s">
        <v>117</v>
      </c>
      <c r="AM858" t="s">
        <v>627</v>
      </c>
      <c r="AN858" t="s">
        <v>628</v>
      </c>
      <c r="AO858" t="s">
        <v>2921</v>
      </c>
      <c r="AP858" t="s">
        <v>2922</v>
      </c>
      <c r="AQ858" t="s">
        <v>74</v>
      </c>
      <c r="AR858" t="s">
        <v>2923</v>
      </c>
      <c r="AS858" t="s">
        <v>2924</v>
      </c>
      <c r="AT858" t="s">
        <v>15675</v>
      </c>
      <c r="AU858">
        <v>2023</v>
      </c>
      <c r="AV858" t="s">
        <v>74</v>
      </c>
      <c r="AW858" t="s">
        <v>74</v>
      </c>
      <c r="AX858" t="s">
        <v>74</v>
      </c>
      <c r="AY858" t="s">
        <v>74</v>
      </c>
      <c r="AZ858" t="s">
        <v>74</v>
      </c>
      <c r="BA858" t="s">
        <v>74</v>
      </c>
      <c r="BB858" t="s">
        <v>74</v>
      </c>
      <c r="BC858" t="s">
        <v>74</v>
      </c>
      <c r="BD858" t="s">
        <v>74</v>
      </c>
      <c r="BE858" t="s">
        <v>15848</v>
      </c>
      <c r="BF858" t="str">
        <f>HYPERLINK("http://dx.doi.org/10.1007/s11042-023-16501-8","http://dx.doi.org/10.1007/s11042-023-16501-8")</f>
        <v>http://dx.doi.org/10.1007/s11042-023-16501-8</v>
      </c>
      <c r="BG858" t="s">
        <v>74</v>
      </c>
      <c r="BH858" t="s">
        <v>10650</v>
      </c>
      <c r="BI858">
        <v>20</v>
      </c>
      <c r="BJ858" t="s">
        <v>2926</v>
      </c>
      <c r="BK858" t="s">
        <v>126</v>
      </c>
      <c r="BL858" t="s">
        <v>2493</v>
      </c>
      <c r="BM858" t="s">
        <v>15849</v>
      </c>
      <c r="BN858" t="s">
        <v>74</v>
      </c>
      <c r="BO858" t="s">
        <v>74</v>
      </c>
      <c r="BP858" t="s">
        <v>74</v>
      </c>
      <c r="BQ858" t="s">
        <v>74</v>
      </c>
      <c r="BR858" t="s">
        <v>99</v>
      </c>
      <c r="BS858" t="s">
        <v>15850</v>
      </c>
      <c r="BT858" t="str">
        <f>HYPERLINK("https%3A%2F%2Fwww.webofscience.com%2Fwos%2Fwoscc%2Ffull-record%2FWOS:001050545900005","View Full Record in Web of Science")</f>
        <v>View Full Record in Web of Science</v>
      </c>
    </row>
    <row r="859" spans="1:72" x14ac:dyDescent="0.15">
      <c r="A859" t="s">
        <v>72</v>
      </c>
      <c r="B859" t="s">
        <v>15851</v>
      </c>
      <c r="C859" t="s">
        <v>74</v>
      </c>
      <c r="D859" t="s">
        <v>74</v>
      </c>
      <c r="E859" t="s">
        <v>74</v>
      </c>
      <c r="F859" t="s">
        <v>15852</v>
      </c>
      <c r="G859" t="s">
        <v>74</v>
      </c>
      <c r="H859" t="s">
        <v>74</v>
      </c>
      <c r="I859" t="s">
        <v>15853</v>
      </c>
      <c r="J859" t="s">
        <v>10071</v>
      </c>
      <c r="K859" t="s">
        <v>74</v>
      </c>
      <c r="L859" t="s">
        <v>74</v>
      </c>
      <c r="M859" t="s">
        <v>78</v>
      </c>
      <c r="N859" t="s">
        <v>1246</v>
      </c>
      <c r="O859" t="s">
        <v>74</v>
      </c>
      <c r="P859" t="s">
        <v>74</v>
      </c>
      <c r="Q859" t="s">
        <v>74</v>
      </c>
      <c r="R859" t="s">
        <v>74</v>
      </c>
      <c r="S859" t="s">
        <v>74</v>
      </c>
      <c r="T859" t="s">
        <v>15854</v>
      </c>
      <c r="U859" t="s">
        <v>15855</v>
      </c>
      <c r="V859" t="s">
        <v>15856</v>
      </c>
      <c r="W859" t="s">
        <v>15857</v>
      </c>
      <c r="X859" t="s">
        <v>15858</v>
      </c>
      <c r="Y859" t="s">
        <v>15859</v>
      </c>
      <c r="Z859" t="s">
        <v>15860</v>
      </c>
      <c r="AA859" t="s">
        <v>74</v>
      </c>
      <c r="AB859" t="s">
        <v>15861</v>
      </c>
      <c r="AC859" t="s">
        <v>15862</v>
      </c>
      <c r="AD859" t="s">
        <v>15863</v>
      </c>
      <c r="AE859" t="s">
        <v>15864</v>
      </c>
      <c r="AF859" t="s">
        <v>74</v>
      </c>
      <c r="AG859">
        <v>75</v>
      </c>
      <c r="AH859">
        <v>0</v>
      </c>
      <c r="AI859">
        <v>0</v>
      </c>
      <c r="AJ859">
        <v>1</v>
      </c>
      <c r="AK859">
        <v>1</v>
      </c>
      <c r="AL859" t="s">
        <v>117</v>
      </c>
      <c r="AM859" t="s">
        <v>118</v>
      </c>
      <c r="AN859" t="s">
        <v>119</v>
      </c>
      <c r="AO859" t="s">
        <v>10082</v>
      </c>
      <c r="AP859" t="s">
        <v>10083</v>
      </c>
      <c r="AQ859" t="s">
        <v>74</v>
      </c>
      <c r="AR859" t="s">
        <v>10084</v>
      </c>
      <c r="AS859" t="s">
        <v>10085</v>
      </c>
      <c r="AT859" t="s">
        <v>15675</v>
      </c>
      <c r="AU859">
        <v>2023</v>
      </c>
      <c r="AV859" t="s">
        <v>74</v>
      </c>
      <c r="AW859" t="s">
        <v>74</v>
      </c>
      <c r="AX859" t="s">
        <v>74</v>
      </c>
      <c r="AY859" t="s">
        <v>74</v>
      </c>
      <c r="AZ859" t="s">
        <v>74</v>
      </c>
      <c r="BA859" t="s">
        <v>74</v>
      </c>
      <c r="BB859" t="s">
        <v>74</v>
      </c>
      <c r="BC859" t="s">
        <v>74</v>
      </c>
      <c r="BD859" t="s">
        <v>74</v>
      </c>
      <c r="BE859" t="s">
        <v>15865</v>
      </c>
      <c r="BF859" t="str">
        <f>HYPERLINK("http://dx.doi.org/10.1007/s00500-023-09103-x","http://dx.doi.org/10.1007/s00500-023-09103-x")</f>
        <v>http://dx.doi.org/10.1007/s00500-023-09103-x</v>
      </c>
      <c r="BG859" t="s">
        <v>74</v>
      </c>
      <c r="BH859" t="s">
        <v>10650</v>
      </c>
      <c r="BI859">
        <v>20</v>
      </c>
      <c r="BJ859" t="s">
        <v>10087</v>
      </c>
      <c r="BK859" t="s">
        <v>126</v>
      </c>
      <c r="BL859" t="s">
        <v>1139</v>
      </c>
      <c r="BM859" t="s">
        <v>15866</v>
      </c>
      <c r="BN859" t="s">
        <v>74</v>
      </c>
      <c r="BO859" t="s">
        <v>74</v>
      </c>
      <c r="BP859" t="s">
        <v>74</v>
      </c>
      <c r="BQ859" t="s">
        <v>74</v>
      </c>
      <c r="BR859" t="s">
        <v>99</v>
      </c>
      <c r="BS859" t="s">
        <v>15867</v>
      </c>
      <c r="BT859" t="str">
        <f>HYPERLINK("https%3A%2F%2Fwww.webofscience.com%2Fwos%2Fwoscc%2Ffull-record%2FWOS:001051801000009","View Full Record in Web of Science")</f>
        <v>View Full Record in Web of Science</v>
      </c>
    </row>
    <row r="860" spans="1:72" x14ac:dyDescent="0.15">
      <c r="A860" t="s">
        <v>72</v>
      </c>
      <c r="B860" t="s">
        <v>15868</v>
      </c>
      <c r="C860" t="s">
        <v>74</v>
      </c>
      <c r="D860" t="s">
        <v>74</v>
      </c>
      <c r="E860" t="s">
        <v>74</v>
      </c>
      <c r="F860" t="s">
        <v>15869</v>
      </c>
      <c r="G860" t="s">
        <v>74</v>
      </c>
      <c r="H860" t="s">
        <v>74</v>
      </c>
      <c r="I860" t="s">
        <v>15870</v>
      </c>
      <c r="J860" t="s">
        <v>15871</v>
      </c>
      <c r="K860" t="s">
        <v>74</v>
      </c>
      <c r="L860" t="s">
        <v>74</v>
      </c>
      <c r="M860" t="s">
        <v>78</v>
      </c>
      <c r="N860" t="s">
        <v>1246</v>
      </c>
      <c r="O860" t="s">
        <v>74</v>
      </c>
      <c r="P860" t="s">
        <v>74</v>
      </c>
      <c r="Q860" t="s">
        <v>74</v>
      </c>
      <c r="R860" t="s">
        <v>74</v>
      </c>
      <c r="S860" t="s">
        <v>74</v>
      </c>
      <c r="T860" t="s">
        <v>15872</v>
      </c>
      <c r="U860" t="s">
        <v>15873</v>
      </c>
      <c r="V860" t="s">
        <v>15874</v>
      </c>
      <c r="W860" t="s">
        <v>15875</v>
      </c>
      <c r="X860" t="s">
        <v>15876</v>
      </c>
      <c r="Y860" t="s">
        <v>15877</v>
      </c>
      <c r="Z860" t="s">
        <v>15878</v>
      </c>
      <c r="AA860" t="s">
        <v>74</v>
      </c>
      <c r="AB860" t="s">
        <v>74</v>
      </c>
      <c r="AC860" t="s">
        <v>15879</v>
      </c>
      <c r="AD860" t="s">
        <v>15880</v>
      </c>
      <c r="AE860" t="s">
        <v>15881</v>
      </c>
      <c r="AF860" t="s">
        <v>74</v>
      </c>
      <c r="AG860">
        <v>57</v>
      </c>
      <c r="AH860">
        <v>0</v>
      </c>
      <c r="AI860">
        <v>0</v>
      </c>
      <c r="AJ860">
        <v>0</v>
      </c>
      <c r="AK860">
        <v>0</v>
      </c>
      <c r="AL860" t="s">
        <v>117</v>
      </c>
      <c r="AM860" t="s">
        <v>118</v>
      </c>
      <c r="AN860" t="s">
        <v>119</v>
      </c>
      <c r="AO860" t="s">
        <v>15882</v>
      </c>
      <c r="AP860" t="s">
        <v>15883</v>
      </c>
      <c r="AQ860" t="s">
        <v>74</v>
      </c>
      <c r="AR860" t="s">
        <v>15884</v>
      </c>
      <c r="AS860" t="s">
        <v>15885</v>
      </c>
      <c r="AT860" t="s">
        <v>15675</v>
      </c>
      <c r="AU860">
        <v>2023</v>
      </c>
      <c r="AV860" t="s">
        <v>74</v>
      </c>
      <c r="AW860" t="s">
        <v>74</v>
      </c>
      <c r="AX860" t="s">
        <v>74</v>
      </c>
      <c r="AY860" t="s">
        <v>74</v>
      </c>
      <c r="AZ860" t="s">
        <v>74</v>
      </c>
      <c r="BA860" t="s">
        <v>74</v>
      </c>
      <c r="BB860" t="s">
        <v>74</v>
      </c>
      <c r="BC860" t="s">
        <v>74</v>
      </c>
      <c r="BD860" t="s">
        <v>74</v>
      </c>
      <c r="BE860" t="s">
        <v>15886</v>
      </c>
      <c r="BF860" t="str">
        <f>HYPERLINK("http://dx.doi.org/10.1007/s11067-023-09599-8","http://dx.doi.org/10.1007/s11067-023-09599-8")</f>
        <v>http://dx.doi.org/10.1007/s11067-023-09599-8</v>
      </c>
      <c r="BG860" t="s">
        <v>74</v>
      </c>
      <c r="BH860" t="s">
        <v>10650</v>
      </c>
      <c r="BI860">
        <v>32</v>
      </c>
      <c r="BJ860" t="s">
        <v>15887</v>
      </c>
      <c r="BK860" t="s">
        <v>126</v>
      </c>
      <c r="BL860" t="s">
        <v>15888</v>
      </c>
      <c r="BM860" t="s">
        <v>15889</v>
      </c>
      <c r="BN860" t="s">
        <v>74</v>
      </c>
      <c r="BO860" t="s">
        <v>74</v>
      </c>
      <c r="BP860" t="s">
        <v>74</v>
      </c>
      <c r="BQ860" t="s">
        <v>74</v>
      </c>
      <c r="BR860" t="s">
        <v>99</v>
      </c>
      <c r="BS860" t="s">
        <v>15890</v>
      </c>
      <c r="BT860" t="str">
        <f>HYPERLINK("https%3A%2F%2Fwww.webofscience.com%2Fwos%2Fwoscc%2Ffull-record%2FWOS:001049995100001","View Full Record in Web of Science")</f>
        <v>View Full Record in Web of Science</v>
      </c>
    </row>
    <row r="861" spans="1:72" x14ac:dyDescent="0.15">
      <c r="A861" t="s">
        <v>72</v>
      </c>
      <c r="B861" t="s">
        <v>15891</v>
      </c>
      <c r="C861" t="s">
        <v>74</v>
      </c>
      <c r="D861" t="s">
        <v>74</v>
      </c>
      <c r="E861" t="s">
        <v>74</v>
      </c>
      <c r="F861" t="s">
        <v>15892</v>
      </c>
      <c r="G861" t="s">
        <v>74</v>
      </c>
      <c r="H861" t="s">
        <v>74</v>
      </c>
      <c r="I861" t="s">
        <v>15893</v>
      </c>
      <c r="J861" t="s">
        <v>15894</v>
      </c>
      <c r="K861" t="s">
        <v>74</v>
      </c>
      <c r="L861" t="s">
        <v>74</v>
      </c>
      <c r="M861" t="s">
        <v>78</v>
      </c>
      <c r="N861" t="s">
        <v>79</v>
      </c>
      <c r="O861" t="s">
        <v>74</v>
      </c>
      <c r="P861" t="s">
        <v>74</v>
      </c>
      <c r="Q861" t="s">
        <v>74</v>
      </c>
      <c r="R861" t="s">
        <v>74</v>
      </c>
      <c r="S861" t="s">
        <v>74</v>
      </c>
      <c r="T861" t="s">
        <v>74</v>
      </c>
      <c r="U861" t="s">
        <v>15895</v>
      </c>
      <c r="V861" t="s">
        <v>15896</v>
      </c>
      <c r="W861" t="s">
        <v>15897</v>
      </c>
      <c r="X861" t="s">
        <v>15898</v>
      </c>
      <c r="Y861" t="s">
        <v>15899</v>
      </c>
      <c r="Z861" t="s">
        <v>15900</v>
      </c>
      <c r="AA861" t="s">
        <v>74</v>
      </c>
      <c r="AB861" t="s">
        <v>15901</v>
      </c>
      <c r="AC861" t="s">
        <v>15902</v>
      </c>
      <c r="AD861" t="s">
        <v>15903</v>
      </c>
      <c r="AE861" t="s">
        <v>15904</v>
      </c>
      <c r="AF861" t="s">
        <v>74</v>
      </c>
      <c r="AG861">
        <v>47</v>
      </c>
      <c r="AH861">
        <v>0</v>
      </c>
      <c r="AI861">
        <v>0</v>
      </c>
      <c r="AJ861">
        <v>0</v>
      </c>
      <c r="AK861">
        <v>0</v>
      </c>
      <c r="AL861" t="s">
        <v>317</v>
      </c>
      <c r="AM861" t="s">
        <v>245</v>
      </c>
      <c r="AN861" t="s">
        <v>318</v>
      </c>
      <c r="AO861" t="s">
        <v>15905</v>
      </c>
      <c r="AP861" t="s">
        <v>15906</v>
      </c>
      <c r="AQ861" t="s">
        <v>74</v>
      </c>
      <c r="AR861" t="s">
        <v>15894</v>
      </c>
      <c r="AS861" t="s">
        <v>15907</v>
      </c>
      <c r="AT861" t="s">
        <v>2616</v>
      </c>
      <c r="AU861">
        <v>2023</v>
      </c>
      <c r="AV861">
        <v>42</v>
      </c>
      <c r="AW861">
        <v>39</v>
      </c>
      <c r="AX861" t="s">
        <v>74</v>
      </c>
      <c r="AY861" t="s">
        <v>74</v>
      </c>
      <c r="AZ861" t="s">
        <v>74</v>
      </c>
      <c r="BA861" t="s">
        <v>74</v>
      </c>
      <c r="BB861">
        <v>2878</v>
      </c>
      <c r="BC861">
        <v>2891</v>
      </c>
      <c r="BD861" t="s">
        <v>74</v>
      </c>
      <c r="BE861" t="s">
        <v>15908</v>
      </c>
      <c r="BF861" t="str">
        <f>HYPERLINK("http://dx.doi.org/10.1038/s41388-023-02809-0","http://dx.doi.org/10.1038/s41388-023-02809-0")</f>
        <v>http://dx.doi.org/10.1038/s41388-023-02809-0</v>
      </c>
      <c r="BG861" t="s">
        <v>74</v>
      </c>
      <c r="BH861" t="s">
        <v>10650</v>
      </c>
      <c r="BI861">
        <v>14</v>
      </c>
      <c r="BJ861" t="s">
        <v>15909</v>
      </c>
      <c r="BK861" t="s">
        <v>126</v>
      </c>
      <c r="BL861" t="s">
        <v>15909</v>
      </c>
      <c r="BM861" t="s">
        <v>15910</v>
      </c>
      <c r="BN861">
        <v>37596321</v>
      </c>
      <c r="BO861" t="s">
        <v>183</v>
      </c>
      <c r="BP861" t="s">
        <v>74</v>
      </c>
      <c r="BQ861" t="s">
        <v>74</v>
      </c>
      <c r="BR861" t="s">
        <v>99</v>
      </c>
      <c r="BS861" t="s">
        <v>15911</v>
      </c>
      <c r="BT861" t="str">
        <f>HYPERLINK("https%3A%2F%2Fwww.webofscience.com%2Fwos%2Fwoscc%2Ffull-record%2FWOS:001050012500001","View Full Record in Web of Science")</f>
        <v>View Full Record in Web of Science</v>
      </c>
    </row>
    <row r="862" spans="1:72" x14ac:dyDescent="0.15">
      <c r="A862" t="s">
        <v>72</v>
      </c>
      <c r="B862" t="s">
        <v>15912</v>
      </c>
      <c r="C862" t="s">
        <v>74</v>
      </c>
      <c r="D862" t="s">
        <v>74</v>
      </c>
      <c r="E862" t="s">
        <v>74</v>
      </c>
      <c r="F862" t="s">
        <v>15913</v>
      </c>
      <c r="G862" t="s">
        <v>74</v>
      </c>
      <c r="H862" t="s">
        <v>74</v>
      </c>
      <c r="I862" t="s">
        <v>15914</v>
      </c>
      <c r="J862" t="s">
        <v>14699</v>
      </c>
      <c r="K862" t="s">
        <v>74</v>
      </c>
      <c r="L862" t="s">
        <v>74</v>
      </c>
      <c r="M862" t="s">
        <v>78</v>
      </c>
      <c r="N862" t="s">
        <v>1246</v>
      </c>
      <c r="O862" t="s">
        <v>74</v>
      </c>
      <c r="P862" t="s">
        <v>74</v>
      </c>
      <c r="Q862" t="s">
        <v>74</v>
      </c>
      <c r="R862" t="s">
        <v>74</v>
      </c>
      <c r="S862" t="s">
        <v>74</v>
      </c>
      <c r="T862" t="s">
        <v>15915</v>
      </c>
      <c r="U862" t="s">
        <v>15916</v>
      </c>
      <c r="V862" t="s">
        <v>15917</v>
      </c>
      <c r="W862" t="s">
        <v>15918</v>
      </c>
      <c r="X862" t="s">
        <v>15919</v>
      </c>
      <c r="Y862" t="s">
        <v>15920</v>
      </c>
      <c r="Z862" t="s">
        <v>15921</v>
      </c>
      <c r="AA862" t="s">
        <v>74</v>
      </c>
      <c r="AB862" t="s">
        <v>74</v>
      </c>
      <c r="AC862" t="s">
        <v>74</v>
      </c>
      <c r="AD862" t="s">
        <v>74</v>
      </c>
      <c r="AE862" t="s">
        <v>74</v>
      </c>
      <c r="AF862" t="s">
        <v>74</v>
      </c>
      <c r="AG862">
        <v>59</v>
      </c>
      <c r="AH862">
        <v>0</v>
      </c>
      <c r="AI862">
        <v>0</v>
      </c>
      <c r="AJ862">
        <v>4</v>
      </c>
      <c r="AK862">
        <v>4</v>
      </c>
      <c r="AL862" t="s">
        <v>117</v>
      </c>
      <c r="AM862" t="s">
        <v>627</v>
      </c>
      <c r="AN862" t="s">
        <v>628</v>
      </c>
      <c r="AO862" t="s">
        <v>14707</v>
      </c>
      <c r="AP862" t="s">
        <v>14708</v>
      </c>
      <c r="AQ862" t="s">
        <v>74</v>
      </c>
      <c r="AR862" t="s">
        <v>14709</v>
      </c>
      <c r="AS862" t="s">
        <v>14710</v>
      </c>
      <c r="AT862" t="s">
        <v>15675</v>
      </c>
      <c r="AU862">
        <v>2023</v>
      </c>
      <c r="AV862" t="s">
        <v>74</v>
      </c>
      <c r="AW862" t="s">
        <v>74</v>
      </c>
      <c r="AX862" t="s">
        <v>74</v>
      </c>
      <c r="AY862" t="s">
        <v>74</v>
      </c>
      <c r="AZ862" t="s">
        <v>74</v>
      </c>
      <c r="BA862" t="s">
        <v>74</v>
      </c>
      <c r="BB862" t="s">
        <v>74</v>
      </c>
      <c r="BC862" t="s">
        <v>74</v>
      </c>
      <c r="BD862" t="s">
        <v>74</v>
      </c>
      <c r="BE862" t="s">
        <v>15922</v>
      </c>
      <c r="BF862" t="str">
        <f>HYPERLINK("http://dx.doi.org/10.1007/s11276-023-03470-x","http://dx.doi.org/10.1007/s11276-023-03470-x")</f>
        <v>http://dx.doi.org/10.1007/s11276-023-03470-x</v>
      </c>
      <c r="BG862" t="s">
        <v>74</v>
      </c>
      <c r="BH862" t="s">
        <v>10650</v>
      </c>
      <c r="BI862">
        <v>23</v>
      </c>
      <c r="BJ862" t="s">
        <v>14712</v>
      </c>
      <c r="BK862" t="s">
        <v>126</v>
      </c>
      <c r="BL862" t="s">
        <v>14713</v>
      </c>
      <c r="BM862" t="s">
        <v>15923</v>
      </c>
      <c r="BN862" t="s">
        <v>74</v>
      </c>
      <c r="BO862" t="s">
        <v>74</v>
      </c>
      <c r="BP862" t="s">
        <v>74</v>
      </c>
      <c r="BQ862" t="s">
        <v>74</v>
      </c>
      <c r="BR862" t="s">
        <v>99</v>
      </c>
      <c r="BS862" t="s">
        <v>15924</v>
      </c>
      <c r="BT862" t="str">
        <f>HYPERLINK("https%3A%2F%2Fwww.webofscience.com%2Fwos%2Fwoscc%2Ffull-record%2FWOS:001050539500001","View Full Record in Web of Science")</f>
        <v>View Full Record in Web of Science</v>
      </c>
    </row>
    <row r="863" spans="1:72" x14ac:dyDescent="0.15">
      <c r="A863" t="s">
        <v>72</v>
      </c>
      <c r="B863" t="s">
        <v>15925</v>
      </c>
      <c r="C863" t="s">
        <v>74</v>
      </c>
      <c r="D863" t="s">
        <v>74</v>
      </c>
      <c r="E863" t="s">
        <v>74</v>
      </c>
      <c r="F863" t="s">
        <v>15926</v>
      </c>
      <c r="G863" t="s">
        <v>74</v>
      </c>
      <c r="H863" t="s">
        <v>74</v>
      </c>
      <c r="I863" t="s">
        <v>15927</v>
      </c>
      <c r="J863" t="s">
        <v>15928</v>
      </c>
      <c r="K863" t="s">
        <v>74</v>
      </c>
      <c r="L863" t="s">
        <v>74</v>
      </c>
      <c r="M863" t="s">
        <v>78</v>
      </c>
      <c r="N863" t="s">
        <v>1246</v>
      </c>
      <c r="O863" t="s">
        <v>74</v>
      </c>
      <c r="P863" t="s">
        <v>74</v>
      </c>
      <c r="Q863" t="s">
        <v>74</v>
      </c>
      <c r="R863" t="s">
        <v>74</v>
      </c>
      <c r="S863" t="s">
        <v>74</v>
      </c>
      <c r="T863" t="s">
        <v>15929</v>
      </c>
      <c r="U863" t="s">
        <v>15930</v>
      </c>
      <c r="V863" t="s">
        <v>15931</v>
      </c>
      <c r="W863" t="s">
        <v>15932</v>
      </c>
      <c r="X863" t="s">
        <v>15933</v>
      </c>
      <c r="Y863" t="s">
        <v>15934</v>
      </c>
      <c r="Z863" t="s">
        <v>15935</v>
      </c>
      <c r="AA863" t="s">
        <v>15936</v>
      </c>
      <c r="AB863" t="s">
        <v>15937</v>
      </c>
      <c r="AC863" t="s">
        <v>15938</v>
      </c>
      <c r="AD863" t="s">
        <v>15939</v>
      </c>
      <c r="AE863" t="s">
        <v>15940</v>
      </c>
      <c r="AF863" t="s">
        <v>74</v>
      </c>
      <c r="AG863">
        <v>111</v>
      </c>
      <c r="AH863">
        <v>0</v>
      </c>
      <c r="AI863">
        <v>0</v>
      </c>
      <c r="AJ863">
        <v>0</v>
      </c>
      <c r="AK863">
        <v>0</v>
      </c>
      <c r="AL863" t="s">
        <v>117</v>
      </c>
      <c r="AM863" t="s">
        <v>627</v>
      </c>
      <c r="AN863" t="s">
        <v>628</v>
      </c>
      <c r="AO863" t="s">
        <v>15941</v>
      </c>
      <c r="AP863" t="s">
        <v>15942</v>
      </c>
      <c r="AQ863" t="s">
        <v>74</v>
      </c>
      <c r="AR863" t="s">
        <v>15943</v>
      </c>
      <c r="AS863" t="s">
        <v>15944</v>
      </c>
      <c r="AT863" t="s">
        <v>15675</v>
      </c>
      <c r="AU863">
        <v>2023</v>
      </c>
      <c r="AV863" t="s">
        <v>74</v>
      </c>
      <c r="AW863" t="s">
        <v>74</v>
      </c>
      <c r="AX863" t="s">
        <v>74</v>
      </c>
      <c r="AY863" t="s">
        <v>74</v>
      </c>
      <c r="AZ863" t="s">
        <v>74</v>
      </c>
      <c r="BA863" t="s">
        <v>74</v>
      </c>
      <c r="BB863" t="s">
        <v>74</v>
      </c>
      <c r="BC863" t="s">
        <v>74</v>
      </c>
      <c r="BD863" t="s">
        <v>74</v>
      </c>
      <c r="BE863" t="s">
        <v>15945</v>
      </c>
      <c r="BF863" t="str">
        <f>HYPERLINK("http://dx.doi.org/10.1007/s10980-023-01752-5","http://dx.doi.org/10.1007/s10980-023-01752-5")</f>
        <v>http://dx.doi.org/10.1007/s10980-023-01752-5</v>
      </c>
      <c r="BG863" t="s">
        <v>74</v>
      </c>
      <c r="BH863" t="s">
        <v>10650</v>
      </c>
      <c r="BI863">
        <v>23</v>
      </c>
      <c r="BJ863" t="s">
        <v>15946</v>
      </c>
      <c r="BK863" t="s">
        <v>126</v>
      </c>
      <c r="BL863" t="s">
        <v>15947</v>
      </c>
      <c r="BM863" t="s">
        <v>15948</v>
      </c>
      <c r="BN863" t="s">
        <v>74</v>
      </c>
      <c r="BO863" t="s">
        <v>183</v>
      </c>
      <c r="BP863" t="s">
        <v>74</v>
      </c>
      <c r="BQ863" t="s">
        <v>74</v>
      </c>
      <c r="BR863" t="s">
        <v>99</v>
      </c>
      <c r="BS863" t="s">
        <v>15949</v>
      </c>
      <c r="BT863" t="str">
        <f>HYPERLINK("https%3A%2F%2Fwww.webofscience.com%2Fwos%2Fwoscc%2Ffull-record%2FWOS:001050639600002","View Full Record in Web of Science")</f>
        <v>View Full Record in Web of Science</v>
      </c>
    </row>
    <row r="864" spans="1:72" x14ac:dyDescent="0.15">
      <c r="A864" t="s">
        <v>72</v>
      </c>
      <c r="B864" t="s">
        <v>15950</v>
      </c>
      <c r="C864" t="s">
        <v>74</v>
      </c>
      <c r="D864" t="s">
        <v>74</v>
      </c>
      <c r="E864" t="s">
        <v>74</v>
      </c>
      <c r="F864" t="s">
        <v>15951</v>
      </c>
      <c r="G864" t="s">
        <v>74</v>
      </c>
      <c r="H864" t="s">
        <v>74</v>
      </c>
      <c r="I864" t="s">
        <v>15952</v>
      </c>
      <c r="J864" t="s">
        <v>1226</v>
      </c>
      <c r="K864" t="s">
        <v>74</v>
      </c>
      <c r="L864" t="s">
        <v>74</v>
      </c>
      <c r="M864" t="s">
        <v>78</v>
      </c>
      <c r="N864" t="s">
        <v>79</v>
      </c>
      <c r="O864" t="s">
        <v>74</v>
      </c>
      <c r="P864" t="s">
        <v>74</v>
      </c>
      <c r="Q864" t="s">
        <v>74</v>
      </c>
      <c r="R864" t="s">
        <v>74</v>
      </c>
      <c r="S864" t="s">
        <v>74</v>
      </c>
      <c r="T864" t="s">
        <v>15953</v>
      </c>
      <c r="U864" t="s">
        <v>15954</v>
      </c>
      <c r="V864" t="s">
        <v>15955</v>
      </c>
      <c r="W864" t="s">
        <v>15956</v>
      </c>
      <c r="X864" t="s">
        <v>74</v>
      </c>
      <c r="Y864" t="s">
        <v>15957</v>
      </c>
      <c r="Z864" t="s">
        <v>15958</v>
      </c>
      <c r="AA864" t="s">
        <v>74</v>
      </c>
      <c r="AB864" t="s">
        <v>74</v>
      </c>
      <c r="AC864" t="s">
        <v>74</v>
      </c>
      <c r="AD864" t="s">
        <v>74</v>
      </c>
      <c r="AE864" t="s">
        <v>74</v>
      </c>
      <c r="AF864" t="s">
        <v>74</v>
      </c>
      <c r="AG864">
        <v>15</v>
      </c>
      <c r="AH864">
        <v>0</v>
      </c>
      <c r="AI864">
        <v>0</v>
      </c>
      <c r="AJ864">
        <v>0</v>
      </c>
      <c r="AK864">
        <v>0</v>
      </c>
      <c r="AL864" t="s">
        <v>317</v>
      </c>
      <c r="AM864" t="s">
        <v>245</v>
      </c>
      <c r="AN864" t="s">
        <v>318</v>
      </c>
      <c r="AO864" t="s">
        <v>74</v>
      </c>
      <c r="AP864" t="s">
        <v>1232</v>
      </c>
      <c r="AQ864" t="s">
        <v>74</v>
      </c>
      <c r="AR864" t="s">
        <v>1233</v>
      </c>
      <c r="AS864" t="s">
        <v>1234</v>
      </c>
      <c r="AT864" t="s">
        <v>15658</v>
      </c>
      <c r="AU864">
        <v>2023</v>
      </c>
      <c r="AV864">
        <v>15</v>
      </c>
      <c r="AW864">
        <v>8</v>
      </c>
      <c r="AX864" t="s">
        <v>74</v>
      </c>
      <c r="AY864" t="s">
        <v>74</v>
      </c>
      <c r="AZ864" t="s">
        <v>74</v>
      </c>
      <c r="BA864" t="s">
        <v>74</v>
      </c>
      <c r="BB864" t="s">
        <v>74</v>
      </c>
      <c r="BC864" t="s">
        <v>74</v>
      </c>
      <c r="BD864" t="s">
        <v>15959</v>
      </c>
      <c r="BE864" t="s">
        <v>15960</v>
      </c>
      <c r="BF864" t="str">
        <f>HYPERLINK("http://dx.doi.org/10.7759/cureus.43732","http://dx.doi.org/10.7759/cureus.43732")</f>
        <v>http://dx.doi.org/10.7759/cureus.43732</v>
      </c>
      <c r="BG864" t="s">
        <v>74</v>
      </c>
      <c r="BH864" t="s">
        <v>74</v>
      </c>
      <c r="BI864">
        <v>8</v>
      </c>
      <c r="BJ864" t="s">
        <v>1238</v>
      </c>
      <c r="BK864" t="s">
        <v>97</v>
      </c>
      <c r="BL864" t="s">
        <v>1239</v>
      </c>
      <c r="BM864" t="s">
        <v>15961</v>
      </c>
      <c r="BN864">
        <v>37727179</v>
      </c>
      <c r="BO864" t="s">
        <v>302</v>
      </c>
      <c r="BP864" t="s">
        <v>74</v>
      </c>
      <c r="BQ864" t="s">
        <v>74</v>
      </c>
      <c r="BR864" t="s">
        <v>99</v>
      </c>
      <c r="BS864" t="s">
        <v>15962</v>
      </c>
      <c r="BT864" t="str">
        <f>HYPERLINK("https%3A%2F%2Fwww.webofscience.com%2Fwos%2Fwoscc%2Ffull-record%2FWOS:001061247600023","View Full Record in Web of Science")</f>
        <v>View Full Record in Web of Science</v>
      </c>
    </row>
    <row r="865" spans="1:72" x14ac:dyDescent="0.15">
      <c r="A865" t="s">
        <v>72</v>
      </c>
      <c r="B865" t="s">
        <v>15963</v>
      </c>
      <c r="C865" t="s">
        <v>74</v>
      </c>
      <c r="D865" t="s">
        <v>74</v>
      </c>
      <c r="E865" t="s">
        <v>74</v>
      </c>
      <c r="F865" t="s">
        <v>15964</v>
      </c>
      <c r="G865" t="s">
        <v>74</v>
      </c>
      <c r="H865" t="s">
        <v>74</v>
      </c>
      <c r="I865" t="s">
        <v>15965</v>
      </c>
      <c r="J865" t="s">
        <v>5882</v>
      </c>
      <c r="K865" t="s">
        <v>74</v>
      </c>
      <c r="L865" t="s">
        <v>74</v>
      </c>
      <c r="M865" t="s">
        <v>78</v>
      </c>
      <c r="N865" t="s">
        <v>1246</v>
      </c>
      <c r="O865" t="s">
        <v>74</v>
      </c>
      <c r="P865" t="s">
        <v>74</v>
      </c>
      <c r="Q865" t="s">
        <v>74</v>
      </c>
      <c r="R865" t="s">
        <v>74</v>
      </c>
      <c r="S865" t="s">
        <v>74</v>
      </c>
      <c r="T865" t="s">
        <v>15966</v>
      </c>
      <c r="U865" t="s">
        <v>15967</v>
      </c>
      <c r="V865" t="s">
        <v>15968</v>
      </c>
      <c r="W865" t="s">
        <v>15969</v>
      </c>
      <c r="X865" t="s">
        <v>15970</v>
      </c>
      <c r="Y865" t="s">
        <v>15971</v>
      </c>
      <c r="Z865" t="s">
        <v>15972</v>
      </c>
      <c r="AA865" t="s">
        <v>15973</v>
      </c>
      <c r="AB865" t="s">
        <v>15974</v>
      </c>
      <c r="AC865" t="s">
        <v>74</v>
      </c>
      <c r="AD865" t="s">
        <v>74</v>
      </c>
      <c r="AE865" t="s">
        <v>74</v>
      </c>
      <c r="AF865" t="s">
        <v>74</v>
      </c>
      <c r="AG865">
        <v>49</v>
      </c>
      <c r="AH865">
        <v>0</v>
      </c>
      <c r="AI865">
        <v>0</v>
      </c>
      <c r="AJ865">
        <v>1</v>
      </c>
      <c r="AK865">
        <v>1</v>
      </c>
      <c r="AL865" t="s">
        <v>117</v>
      </c>
      <c r="AM865" t="s">
        <v>118</v>
      </c>
      <c r="AN865" t="s">
        <v>119</v>
      </c>
      <c r="AO865" t="s">
        <v>5890</v>
      </c>
      <c r="AP865" t="s">
        <v>5891</v>
      </c>
      <c r="AQ865" t="s">
        <v>74</v>
      </c>
      <c r="AR865" t="s">
        <v>5892</v>
      </c>
      <c r="AS865" t="s">
        <v>5893</v>
      </c>
      <c r="AT865" t="s">
        <v>15675</v>
      </c>
      <c r="AU865">
        <v>2023</v>
      </c>
      <c r="AV865" t="s">
        <v>74</v>
      </c>
      <c r="AW865" t="s">
        <v>74</v>
      </c>
      <c r="AX865" t="s">
        <v>74</v>
      </c>
      <c r="AY865" t="s">
        <v>74</v>
      </c>
      <c r="AZ865" t="s">
        <v>74</v>
      </c>
      <c r="BA865" t="s">
        <v>74</v>
      </c>
      <c r="BB865" t="s">
        <v>74</v>
      </c>
      <c r="BC865" t="s">
        <v>74</v>
      </c>
      <c r="BD865" t="s">
        <v>74</v>
      </c>
      <c r="BE865" t="s">
        <v>15975</v>
      </c>
      <c r="BF865" t="str">
        <f>HYPERLINK("http://dx.doi.org/10.1007/s13178-023-00864-6","http://dx.doi.org/10.1007/s13178-023-00864-6")</f>
        <v>http://dx.doi.org/10.1007/s13178-023-00864-6</v>
      </c>
      <c r="BG865" t="s">
        <v>74</v>
      </c>
      <c r="BH865" t="s">
        <v>10650</v>
      </c>
      <c r="BI865">
        <v>14</v>
      </c>
      <c r="BJ865" t="s">
        <v>713</v>
      </c>
      <c r="BK865" t="s">
        <v>425</v>
      </c>
      <c r="BL865" t="s">
        <v>714</v>
      </c>
      <c r="BM865" t="s">
        <v>15976</v>
      </c>
      <c r="BN865" t="s">
        <v>74</v>
      </c>
      <c r="BO865" t="s">
        <v>74</v>
      </c>
      <c r="BP865" t="s">
        <v>74</v>
      </c>
      <c r="BQ865" t="s">
        <v>74</v>
      </c>
      <c r="BR865" t="s">
        <v>99</v>
      </c>
      <c r="BS865" t="s">
        <v>15977</v>
      </c>
      <c r="BT865" t="str">
        <f>HYPERLINK("https%3A%2F%2Fwww.webofscience.com%2Fwos%2Fwoscc%2Ffull-record%2FWOS:001049201900001","View Full Record in Web of Science")</f>
        <v>View Full Record in Web of Science</v>
      </c>
    </row>
    <row r="866" spans="1:72" x14ac:dyDescent="0.15">
      <c r="A866" t="s">
        <v>72</v>
      </c>
      <c r="B866" t="s">
        <v>15978</v>
      </c>
      <c r="C866" t="s">
        <v>74</v>
      </c>
      <c r="D866" t="s">
        <v>74</v>
      </c>
      <c r="E866" t="s">
        <v>74</v>
      </c>
      <c r="F866" t="s">
        <v>15979</v>
      </c>
      <c r="G866" t="s">
        <v>74</v>
      </c>
      <c r="H866" t="s">
        <v>74</v>
      </c>
      <c r="I866" t="s">
        <v>15980</v>
      </c>
      <c r="J866" t="s">
        <v>15981</v>
      </c>
      <c r="K866" t="s">
        <v>74</v>
      </c>
      <c r="L866" t="s">
        <v>74</v>
      </c>
      <c r="M866" t="s">
        <v>78</v>
      </c>
      <c r="N866" t="s">
        <v>1246</v>
      </c>
      <c r="O866" t="s">
        <v>74</v>
      </c>
      <c r="P866" t="s">
        <v>74</v>
      </c>
      <c r="Q866" t="s">
        <v>74</v>
      </c>
      <c r="R866" t="s">
        <v>74</v>
      </c>
      <c r="S866" t="s">
        <v>74</v>
      </c>
      <c r="T866" t="s">
        <v>74</v>
      </c>
      <c r="U866" t="s">
        <v>15982</v>
      </c>
      <c r="V866" t="s">
        <v>15983</v>
      </c>
      <c r="W866" t="s">
        <v>15984</v>
      </c>
      <c r="X866" t="s">
        <v>15985</v>
      </c>
      <c r="Y866" t="s">
        <v>15986</v>
      </c>
      <c r="Z866" t="s">
        <v>15987</v>
      </c>
      <c r="AA866" t="s">
        <v>74</v>
      </c>
      <c r="AB866" t="s">
        <v>15988</v>
      </c>
      <c r="AC866" t="s">
        <v>15989</v>
      </c>
      <c r="AD866" t="s">
        <v>15989</v>
      </c>
      <c r="AE866" t="s">
        <v>15990</v>
      </c>
      <c r="AF866" t="s">
        <v>74</v>
      </c>
      <c r="AG866">
        <v>30</v>
      </c>
      <c r="AH866">
        <v>0</v>
      </c>
      <c r="AI866">
        <v>0</v>
      </c>
      <c r="AJ866">
        <v>0</v>
      </c>
      <c r="AK866">
        <v>0</v>
      </c>
      <c r="AL866" t="s">
        <v>317</v>
      </c>
      <c r="AM866" t="s">
        <v>245</v>
      </c>
      <c r="AN866" t="s">
        <v>318</v>
      </c>
      <c r="AO866" t="s">
        <v>15991</v>
      </c>
      <c r="AP866" t="s">
        <v>15992</v>
      </c>
      <c r="AQ866" t="s">
        <v>74</v>
      </c>
      <c r="AR866" t="s">
        <v>15993</v>
      </c>
      <c r="AS866" t="s">
        <v>15994</v>
      </c>
      <c r="AT866" t="s">
        <v>15675</v>
      </c>
      <c r="AU866">
        <v>2023</v>
      </c>
      <c r="AV866" t="s">
        <v>74</v>
      </c>
      <c r="AW866" t="s">
        <v>74</v>
      </c>
      <c r="AX866" t="s">
        <v>74</v>
      </c>
      <c r="AY866" t="s">
        <v>74</v>
      </c>
      <c r="AZ866" t="s">
        <v>74</v>
      </c>
      <c r="BA866" t="s">
        <v>74</v>
      </c>
      <c r="BB866" t="s">
        <v>74</v>
      </c>
      <c r="BC866" t="s">
        <v>74</v>
      </c>
      <c r="BD866" t="s">
        <v>74</v>
      </c>
      <c r="BE866" t="s">
        <v>15995</v>
      </c>
      <c r="BF866" t="str">
        <f>HYPERLINK("http://dx.doi.org/10.1038/s41434-023-00416-y","http://dx.doi.org/10.1038/s41434-023-00416-y")</f>
        <v>http://dx.doi.org/10.1038/s41434-023-00416-y</v>
      </c>
      <c r="BG866" t="s">
        <v>74</v>
      </c>
      <c r="BH866" t="s">
        <v>10650</v>
      </c>
      <c r="BI866">
        <v>11</v>
      </c>
      <c r="BJ866" t="s">
        <v>15996</v>
      </c>
      <c r="BK866" t="s">
        <v>126</v>
      </c>
      <c r="BL866" t="s">
        <v>15997</v>
      </c>
      <c r="BM866" t="s">
        <v>15998</v>
      </c>
      <c r="BN866">
        <v>37592080</v>
      </c>
      <c r="BO866" t="s">
        <v>74</v>
      </c>
      <c r="BP866" t="s">
        <v>74</v>
      </c>
      <c r="BQ866" t="s">
        <v>74</v>
      </c>
      <c r="BR866" t="s">
        <v>99</v>
      </c>
      <c r="BS866" t="s">
        <v>15999</v>
      </c>
      <c r="BT866" t="str">
        <f>HYPERLINK("https%3A%2F%2Fwww.webofscience.com%2Fwos%2Fwoscc%2Ffull-record%2FWOS:001050039100001","View Full Record in Web of Science")</f>
        <v>View Full Record in Web of Science</v>
      </c>
    </row>
    <row r="867" spans="1:72" x14ac:dyDescent="0.15">
      <c r="A867" t="s">
        <v>72</v>
      </c>
      <c r="B867" t="s">
        <v>16000</v>
      </c>
      <c r="C867" t="s">
        <v>74</v>
      </c>
      <c r="D867" t="s">
        <v>74</v>
      </c>
      <c r="E867" t="s">
        <v>74</v>
      </c>
      <c r="F867" t="s">
        <v>16001</v>
      </c>
      <c r="G867" t="s">
        <v>74</v>
      </c>
      <c r="H867" t="s">
        <v>74</v>
      </c>
      <c r="I867" t="s">
        <v>16002</v>
      </c>
      <c r="J867" t="s">
        <v>5096</v>
      </c>
      <c r="K867" t="s">
        <v>74</v>
      </c>
      <c r="L867" t="s">
        <v>74</v>
      </c>
      <c r="M867" t="s">
        <v>78</v>
      </c>
      <c r="N867" t="s">
        <v>79</v>
      </c>
      <c r="O867" t="s">
        <v>74</v>
      </c>
      <c r="P867" t="s">
        <v>74</v>
      </c>
      <c r="Q867" t="s">
        <v>74</v>
      </c>
      <c r="R867" t="s">
        <v>74</v>
      </c>
      <c r="S867" t="s">
        <v>74</v>
      </c>
      <c r="T867" t="s">
        <v>16003</v>
      </c>
      <c r="U867" t="s">
        <v>16004</v>
      </c>
      <c r="V867" t="s">
        <v>16005</v>
      </c>
      <c r="W867" t="s">
        <v>16006</v>
      </c>
      <c r="X867" t="s">
        <v>16007</v>
      </c>
      <c r="Y867" t="s">
        <v>16008</v>
      </c>
      <c r="Z867" t="s">
        <v>16009</v>
      </c>
      <c r="AA867" t="s">
        <v>74</v>
      </c>
      <c r="AB867" t="s">
        <v>16010</v>
      </c>
      <c r="AC867" t="s">
        <v>74</v>
      </c>
      <c r="AD867" t="s">
        <v>74</v>
      </c>
      <c r="AE867" t="s">
        <v>74</v>
      </c>
      <c r="AF867" t="s">
        <v>74</v>
      </c>
      <c r="AG867">
        <v>41</v>
      </c>
      <c r="AH867">
        <v>0</v>
      </c>
      <c r="AI867">
        <v>0</v>
      </c>
      <c r="AJ867">
        <v>0</v>
      </c>
      <c r="AK867">
        <v>0</v>
      </c>
      <c r="AL867" t="s">
        <v>443</v>
      </c>
      <c r="AM867" t="s">
        <v>245</v>
      </c>
      <c r="AN867" t="s">
        <v>444</v>
      </c>
      <c r="AO867" t="s">
        <v>74</v>
      </c>
      <c r="AP867" t="s">
        <v>5105</v>
      </c>
      <c r="AQ867" t="s">
        <v>74</v>
      </c>
      <c r="AR867" t="s">
        <v>5096</v>
      </c>
      <c r="AS867" t="s">
        <v>5106</v>
      </c>
      <c r="AT867" t="s">
        <v>15658</v>
      </c>
      <c r="AU867">
        <v>2023</v>
      </c>
      <c r="AV867">
        <v>23</v>
      </c>
      <c r="AW867">
        <v>1</v>
      </c>
      <c r="AX867" t="s">
        <v>74</v>
      </c>
      <c r="AY867" t="s">
        <v>74</v>
      </c>
      <c r="AZ867" t="s">
        <v>74</v>
      </c>
      <c r="BA867" t="s">
        <v>74</v>
      </c>
      <c r="BB867" t="s">
        <v>74</v>
      </c>
      <c r="BC867" t="s">
        <v>74</v>
      </c>
      <c r="BD867">
        <v>437</v>
      </c>
      <c r="BE867" t="s">
        <v>16011</v>
      </c>
      <c r="BF867" t="str">
        <f>HYPERLINK("http://dx.doi.org/10.1186/s12905-023-02584-w","http://dx.doi.org/10.1186/s12905-023-02584-w")</f>
        <v>http://dx.doi.org/10.1186/s12905-023-02584-w</v>
      </c>
      <c r="BG867" t="s">
        <v>74</v>
      </c>
      <c r="BH867" t="s">
        <v>74</v>
      </c>
      <c r="BI867">
        <v>8</v>
      </c>
      <c r="BJ867" t="s">
        <v>5108</v>
      </c>
      <c r="BK867" t="s">
        <v>2431</v>
      </c>
      <c r="BL867" t="s">
        <v>5108</v>
      </c>
      <c r="BM867" t="s">
        <v>16012</v>
      </c>
      <c r="BN867">
        <v>37596580</v>
      </c>
      <c r="BO867" t="s">
        <v>302</v>
      </c>
      <c r="BP867" t="s">
        <v>74</v>
      </c>
      <c r="BQ867" t="s">
        <v>74</v>
      </c>
      <c r="BR867" t="s">
        <v>99</v>
      </c>
      <c r="BS867" t="s">
        <v>16013</v>
      </c>
      <c r="BT867" t="str">
        <f>HYPERLINK("https%3A%2F%2Fwww.webofscience.com%2Fwos%2Fwoscc%2Ffull-record%2FWOS:001049905500004","View Full Record in Web of Science")</f>
        <v>View Full Record in Web of Science</v>
      </c>
    </row>
    <row r="868" spans="1:72" x14ac:dyDescent="0.15">
      <c r="A868" t="s">
        <v>72</v>
      </c>
      <c r="B868" t="s">
        <v>16014</v>
      </c>
      <c r="C868" t="s">
        <v>74</v>
      </c>
      <c r="D868" t="s">
        <v>74</v>
      </c>
      <c r="E868" t="s">
        <v>74</v>
      </c>
      <c r="F868" t="s">
        <v>16015</v>
      </c>
      <c r="G868" t="s">
        <v>74</v>
      </c>
      <c r="H868" t="s">
        <v>74</v>
      </c>
      <c r="I868" t="s">
        <v>16016</v>
      </c>
      <c r="J868" t="s">
        <v>6394</v>
      </c>
      <c r="K868" t="s">
        <v>74</v>
      </c>
      <c r="L868" t="s">
        <v>74</v>
      </c>
      <c r="M868" t="s">
        <v>78</v>
      </c>
      <c r="N868" t="s">
        <v>79</v>
      </c>
      <c r="O868" t="s">
        <v>74</v>
      </c>
      <c r="P868" t="s">
        <v>74</v>
      </c>
      <c r="Q868" t="s">
        <v>74</v>
      </c>
      <c r="R868" t="s">
        <v>74</v>
      </c>
      <c r="S868" t="s">
        <v>74</v>
      </c>
      <c r="T868" t="s">
        <v>16017</v>
      </c>
      <c r="U868" t="s">
        <v>74</v>
      </c>
      <c r="V868" t="s">
        <v>16018</v>
      </c>
      <c r="W868" t="s">
        <v>16019</v>
      </c>
      <c r="X868" t="s">
        <v>16020</v>
      </c>
      <c r="Y868" t="s">
        <v>16021</v>
      </c>
      <c r="Z868" t="s">
        <v>16022</v>
      </c>
      <c r="AA868" t="s">
        <v>74</v>
      </c>
      <c r="AB868" t="s">
        <v>74</v>
      </c>
      <c r="AC868" t="s">
        <v>16023</v>
      </c>
      <c r="AD868" t="s">
        <v>4976</v>
      </c>
      <c r="AE868" t="s">
        <v>16024</v>
      </c>
      <c r="AF868" t="s">
        <v>74</v>
      </c>
      <c r="AG868">
        <v>26</v>
      </c>
      <c r="AH868">
        <v>0</v>
      </c>
      <c r="AI868">
        <v>0</v>
      </c>
      <c r="AJ868">
        <v>6</v>
      </c>
      <c r="AK868">
        <v>6</v>
      </c>
      <c r="AL868" t="s">
        <v>244</v>
      </c>
      <c r="AM868" t="s">
        <v>245</v>
      </c>
      <c r="AN868" t="s">
        <v>246</v>
      </c>
      <c r="AO868" t="s">
        <v>6403</v>
      </c>
      <c r="AP868" t="s">
        <v>6404</v>
      </c>
      <c r="AQ868" t="s">
        <v>74</v>
      </c>
      <c r="AR868" t="s">
        <v>6405</v>
      </c>
      <c r="AS868" t="s">
        <v>6406</v>
      </c>
      <c r="AT868" t="s">
        <v>1275</v>
      </c>
      <c r="AU868">
        <v>2023</v>
      </c>
      <c r="AV868">
        <v>128</v>
      </c>
      <c r="AW868" t="s">
        <v>16025</v>
      </c>
      <c r="AX868" t="s">
        <v>74</v>
      </c>
      <c r="AY868" t="s">
        <v>74</v>
      </c>
      <c r="AZ868" t="s">
        <v>74</v>
      </c>
      <c r="BA868" t="s">
        <v>74</v>
      </c>
      <c r="BB868">
        <v>3343</v>
      </c>
      <c r="BC868">
        <v>3356</v>
      </c>
      <c r="BD868" t="s">
        <v>74</v>
      </c>
      <c r="BE868" t="s">
        <v>16026</v>
      </c>
      <c r="BF868" t="str">
        <f>HYPERLINK("http://dx.doi.org/10.1007/s00170-023-12157-8","http://dx.doi.org/10.1007/s00170-023-12157-8")</f>
        <v>http://dx.doi.org/10.1007/s00170-023-12157-8</v>
      </c>
      <c r="BG868" t="s">
        <v>74</v>
      </c>
      <c r="BH868" t="s">
        <v>10650</v>
      </c>
      <c r="BI868">
        <v>14</v>
      </c>
      <c r="BJ868" t="s">
        <v>6408</v>
      </c>
      <c r="BK868" t="s">
        <v>126</v>
      </c>
      <c r="BL868" t="s">
        <v>6409</v>
      </c>
      <c r="BM868" t="s">
        <v>16027</v>
      </c>
      <c r="BN868" t="s">
        <v>74</v>
      </c>
      <c r="BO868" t="s">
        <v>74</v>
      </c>
      <c r="BP868" t="s">
        <v>74</v>
      </c>
      <c r="BQ868" t="s">
        <v>74</v>
      </c>
      <c r="BR868" t="s">
        <v>99</v>
      </c>
      <c r="BS868" t="s">
        <v>16028</v>
      </c>
      <c r="BT868" t="str">
        <f>HYPERLINK("https%3A%2F%2Fwww.webofscience.com%2Fwos%2Fwoscc%2Ffull-record%2FWOS:001051225100001","View Full Record in Web of Science")</f>
        <v>View Full Record in Web of Science</v>
      </c>
    </row>
    <row r="869" spans="1:72" x14ac:dyDescent="0.15">
      <c r="A869" t="s">
        <v>72</v>
      </c>
      <c r="B869" t="s">
        <v>16029</v>
      </c>
      <c r="C869" t="s">
        <v>74</v>
      </c>
      <c r="D869" t="s">
        <v>74</v>
      </c>
      <c r="E869" t="s">
        <v>74</v>
      </c>
      <c r="F869" t="s">
        <v>16030</v>
      </c>
      <c r="G869" t="s">
        <v>74</v>
      </c>
      <c r="H869" t="s">
        <v>74</v>
      </c>
      <c r="I869" t="s">
        <v>16031</v>
      </c>
      <c r="J869" t="s">
        <v>16032</v>
      </c>
      <c r="K869" t="s">
        <v>74</v>
      </c>
      <c r="L869" t="s">
        <v>74</v>
      </c>
      <c r="M869" t="s">
        <v>78</v>
      </c>
      <c r="N869" t="s">
        <v>1246</v>
      </c>
      <c r="O869" t="s">
        <v>74</v>
      </c>
      <c r="P869" t="s">
        <v>74</v>
      </c>
      <c r="Q869" t="s">
        <v>74</v>
      </c>
      <c r="R869" t="s">
        <v>74</v>
      </c>
      <c r="S869" t="s">
        <v>74</v>
      </c>
      <c r="T869" t="s">
        <v>16033</v>
      </c>
      <c r="U869" t="s">
        <v>16034</v>
      </c>
      <c r="V869" t="s">
        <v>16035</v>
      </c>
      <c r="W869" t="s">
        <v>16036</v>
      </c>
      <c r="X869" t="s">
        <v>16037</v>
      </c>
      <c r="Y869" t="s">
        <v>16038</v>
      </c>
      <c r="Z869" t="s">
        <v>16039</v>
      </c>
      <c r="AA869" t="s">
        <v>74</v>
      </c>
      <c r="AB869" t="s">
        <v>74</v>
      </c>
      <c r="AC869" t="s">
        <v>16040</v>
      </c>
      <c r="AD869" t="s">
        <v>16040</v>
      </c>
      <c r="AE869" t="s">
        <v>16041</v>
      </c>
      <c r="AF869" t="s">
        <v>74</v>
      </c>
      <c r="AG869">
        <v>17</v>
      </c>
      <c r="AH869">
        <v>0</v>
      </c>
      <c r="AI869">
        <v>0</v>
      </c>
      <c r="AJ869">
        <v>0</v>
      </c>
      <c r="AK869">
        <v>0</v>
      </c>
      <c r="AL869" t="s">
        <v>172</v>
      </c>
      <c r="AM869" t="s">
        <v>173</v>
      </c>
      <c r="AN869" t="s">
        <v>174</v>
      </c>
      <c r="AO869" t="s">
        <v>16042</v>
      </c>
      <c r="AP869" t="s">
        <v>16043</v>
      </c>
      <c r="AQ869" t="s">
        <v>74</v>
      </c>
      <c r="AR869" t="s">
        <v>16044</v>
      </c>
      <c r="AS869" t="s">
        <v>16045</v>
      </c>
      <c r="AT869" t="s">
        <v>15675</v>
      </c>
      <c r="AU869">
        <v>2023</v>
      </c>
      <c r="AV869" t="s">
        <v>74</v>
      </c>
      <c r="AW869" t="s">
        <v>74</v>
      </c>
      <c r="AX869" t="s">
        <v>74</v>
      </c>
      <c r="AY869" t="s">
        <v>74</v>
      </c>
      <c r="AZ869" t="s">
        <v>74</v>
      </c>
      <c r="BA869" t="s">
        <v>74</v>
      </c>
      <c r="BB869" t="s">
        <v>74</v>
      </c>
      <c r="BC869" t="s">
        <v>74</v>
      </c>
      <c r="BD869" t="s">
        <v>74</v>
      </c>
      <c r="BE869" t="s">
        <v>16046</v>
      </c>
      <c r="BF869" t="str">
        <f>HYPERLINK("http://dx.doi.org/10.1007/s40315-023-00497-1","http://dx.doi.org/10.1007/s40315-023-00497-1")</f>
        <v>http://dx.doi.org/10.1007/s40315-023-00497-1</v>
      </c>
      <c r="BG869" t="s">
        <v>74</v>
      </c>
      <c r="BH869" t="s">
        <v>10650</v>
      </c>
      <c r="BI869">
        <v>14</v>
      </c>
      <c r="BJ869" t="s">
        <v>227</v>
      </c>
      <c r="BK869" t="s">
        <v>126</v>
      </c>
      <c r="BL869" t="s">
        <v>228</v>
      </c>
      <c r="BM869" t="s">
        <v>16047</v>
      </c>
      <c r="BN869" t="s">
        <v>74</v>
      </c>
      <c r="BO869" t="s">
        <v>74</v>
      </c>
      <c r="BP869" t="s">
        <v>74</v>
      </c>
      <c r="BQ869" t="s">
        <v>74</v>
      </c>
      <c r="BR869" t="s">
        <v>99</v>
      </c>
      <c r="BS869" t="s">
        <v>16048</v>
      </c>
      <c r="BT869" t="str">
        <f>HYPERLINK("https%3A%2F%2Fwww.webofscience.com%2Fwos%2Fwoscc%2Ffull-record%2FWOS:001051232600001","View Full Record in Web of Science")</f>
        <v>View Full Record in Web of Science</v>
      </c>
    </row>
    <row r="870" spans="1:72" x14ac:dyDescent="0.15">
      <c r="A870" t="s">
        <v>72</v>
      </c>
      <c r="B870" t="s">
        <v>16049</v>
      </c>
      <c r="C870" t="s">
        <v>74</v>
      </c>
      <c r="D870" t="s">
        <v>74</v>
      </c>
      <c r="E870" t="s">
        <v>74</v>
      </c>
      <c r="F870" t="s">
        <v>16050</v>
      </c>
      <c r="G870" t="s">
        <v>74</v>
      </c>
      <c r="H870" t="s">
        <v>74</v>
      </c>
      <c r="I870" t="s">
        <v>16051</v>
      </c>
      <c r="J870" t="s">
        <v>16052</v>
      </c>
      <c r="K870" t="s">
        <v>74</v>
      </c>
      <c r="L870" t="s">
        <v>74</v>
      </c>
      <c r="M870" t="s">
        <v>78</v>
      </c>
      <c r="N870" t="s">
        <v>79</v>
      </c>
      <c r="O870" t="s">
        <v>74</v>
      </c>
      <c r="P870" t="s">
        <v>74</v>
      </c>
      <c r="Q870" t="s">
        <v>74</v>
      </c>
      <c r="R870" t="s">
        <v>74</v>
      </c>
      <c r="S870" t="s">
        <v>74</v>
      </c>
      <c r="T870" t="s">
        <v>74</v>
      </c>
      <c r="U870" t="s">
        <v>16053</v>
      </c>
      <c r="V870" t="s">
        <v>16054</v>
      </c>
      <c r="W870" t="s">
        <v>16055</v>
      </c>
      <c r="X870" t="s">
        <v>16056</v>
      </c>
      <c r="Y870" t="s">
        <v>16057</v>
      </c>
      <c r="Z870" t="s">
        <v>16058</v>
      </c>
      <c r="AA870" t="s">
        <v>16059</v>
      </c>
      <c r="AB870" t="s">
        <v>16060</v>
      </c>
      <c r="AC870" t="s">
        <v>16061</v>
      </c>
      <c r="AD870" t="s">
        <v>16061</v>
      </c>
      <c r="AE870" t="s">
        <v>16062</v>
      </c>
      <c r="AF870" t="s">
        <v>74</v>
      </c>
      <c r="AG870">
        <v>97</v>
      </c>
      <c r="AH870">
        <v>0</v>
      </c>
      <c r="AI870">
        <v>0</v>
      </c>
      <c r="AJ870">
        <v>3</v>
      </c>
      <c r="AK870">
        <v>3</v>
      </c>
      <c r="AL870" t="s">
        <v>317</v>
      </c>
      <c r="AM870" t="s">
        <v>245</v>
      </c>
      <c r="AN870" t="s">
        <v>318</v>
      </c>
      <c r="AO870" t="s">
        <v>16063</v>
      </c>
      <c r="AP870" t="s">
        <v>16064</v>
      </c>
      <c r="AQ870" t="s">
        <v>74</v>
      </c>
      <c r="AR870" t="s">
        <v>16052</v>
      </c>
      <c r="AS870" t="s">
        <v>16065</v>
      </c>
      <c r="AT870" t="s">
        <v>1275</v>
      </c>
      <c r="AU870">
        <v>2023</v>
      </c>
      <c r="AV870">
        <v>131</v>
      </c>
      <c r="AW870">
        <v>4</v>
      </c>
      <c r="AX870" t="s">
        <v>74</v>
      </c>
      <c r="AY870" t="s">
        <v>74</v>
      </c>
      <c r="AZ870" t="s">
        <v>74</v>
      </c>
      <c r="BA870" t="s">
        <v>74</v>
      </c>
      <c r="BB870">
        <v>292</v>
      </c>
      <c r="BC870">
        <v>305</v>
      </c>
      <c r="BD870" t="s">
        <v>74</v>
      </c>
      <c r="BE870" t="s">
        <v>16066</v>
      </c>
      <c r="BF870" t="str">
        <f>HYPERLINK("http://dx.doi.org/10.1038/s41437-023-00646-1","http://dx.doi.org/10.1038/s41437-023-00646-1")</f>
        <v>http://dx.doi.org/10.1038/s41437-023-00646-1</v>
      </c>
      <c r="BG870" t="s">
        <v>74</v>
      </c>
      <c r="BH870" t="s">
        <v>10650</v>
      </c>
      <c r="BI870">
        <v>14</v>
      </c>
      <c r="BJ870" t="s">
        <v>11818</v>
      </c>
      <c r="BK870" t="s">
        <v>126</v>
      </c>
      <c r="BL870" t="s">
        <v>11819</v>
      </c>
      <c r="BM870" t="s">
        <v>16067</v>
      </c>
      <c r="BN870">
        <v>37596415</v>
      </c>
      <c r="BO870" t="s">
        <v>74</v>
      </c>
      <c r="BP870" t="s">
        <v>74</v>
      </c>
      <c r="BQ870" t="s">
        <v>74</v>
      </c>
      <c r="BR870" t="s">
        <v>99</v>
      </c>
      <c r="BS870" t="s">
        <v>16068</v>
      </c>
      <c r="BT870" t="str">
        <f>HYPERLINK("https%3A%2F%2Fwww.webofscience.com%2Fwos%2Fwoscc%2Ffull-record%2FWOS:001050517800001","View Full Record in Web of Science")</f>
        <v>View Full Record in Web of Science</v>
      </c>
    </row>
    <row r="871" spans="1:72" x14ac:dyDescent="0.15">
      <c r="A871" t="s">
        <v>72</v>
      </c>
      <c r="B871" t="s">
        <v>16069</v>
      </c>
      <c r="C871" t="s">
        <v>74</v>
      </c>
      <c r="D871" t="s">
        <v>74</v>
      </c>
      <c r="E871" t="s">
        <v>74</v>
      </c>
      <c r="F871" t="s">
        <v>16070</v>
      </c>
      <c r="G871" t="s">
        <v>74</v>
      </c>
      <c r="H871" t="s">
        <v>74</v>
      </c>
      <c r="I871" t="s">
        <v>16071</v>
      </c>
      <c r="J871" t="s">
        <v>16072</v>
      </c>
      <c r="K871" t="s">
        <v>74</v>
      </c>
      <c r="L871" t="s">
        <v>74</v>
      </c>
      <c r="M871" t="s">
        <v>78</v>
      </c>
      <c r="N871" t="s">
        <v>2174</v>
      </c>
      <c r="O871" t="s">
        <v>74</v>
      </c>
      <c r="P871" t="s">
        <v>74</v>
      </c>
      <c r="Q871" t="s">
        <v>74</v>
      </c>
      <c r="R871" t="s">
        <v>74</v>
      </c>
      <c r="S871" t="s">
        <v>74</v>
      </c>
      <c r="T871" t="s">
        <v>16073</v>
      </c>
      <c r="U871" t="s">
        <v>16074</v>
      </c>
      <c r="V871" t="s">
        <v>16075</v>
      </c>
      <c r="W871" t="s">
        <v>16076</v>
      </c>
      <c r="X871" t="s">
        <v>16077</v>
      </c>
      <c r="Y871" t="s">
        <v>16078</v>
      </c>
      <c r="Z871" t="s">
        <v>16079</v>
      </c>
      <c r="AA871" t="s">
        <v>16080</v>
      </c>
      <c r="AB871" t="s">
        <v>16081</v>
      </c>
      <c r="AC871" t="s">
        <v>16082</v>
      </c>
      <c r="AD871" t="s">
        <v>16083</v>
      </c>
      <c r="AE871" t="s">
        <v>16084</v>
      </c>
      <c r="AF871" t="s">
        <v>74</v>
      </c>
      <c r="AG871">
        <v>93</v>
      </c>
      <c r="AH871">
        <v>0</v>
      </c>
      <c r="AI871">
        <v>0</v>
      </c>
      <c r="AJ871">
        <v>2</v>
      </c>
      <c r="AK871">
        <v>2</v>
      </c>
      <c r="AL871" t="s">
        <v>317</v>
      </c>
      <c r="AM871" t="s">
        <v>245</v>
      </c>
      <c r="AN871" t="s">
        <v>318</v>
      </c>
      <c r="AO871" t="s">
        <v>16085</v>
      </c>
      <c r="AP871" t="s">
        <v>16086</v>
      </c>
      <c r="AQ871" t="s">
        <v>74</v>
      </c>
      <c r="AR871" t="s">
        <v>16087</v>
      </c>
      <c r="AS871" t="s">
        <v>16088</v>
      </c>
      <c r="AT871" t="s">
        <v>15675</v>
      </c>
      <c r="AU871">
        <v>2023</v>
      </c>
      <c r="AV871" t="s">
        <v>74</v>
      </c>
      <c r="AW871" t="s">
        <v>74</v>
      </c>
      <c r="AX871" t="s">
        <v>74</v>
      </c>
      <c r="AY871" t="s">
        <v>74</v>
      </c>
      <c r="AZ871" t="s">
        <v>74</v>
      </c>
      <c r="BA871" t="s">
        <v>74</v>
      </c>
      <c r="BB871" t="s">
        <v>74</v>
      </c>
      <c r="BC871" t="s">
        <v>74</v>
      </c>
      <c r="BD871" t="s">
        <v>74</v>
      </c>
      <c r="BE871" t="s">
        <v>16089</v>
      </c>
      <c r="BF871" t="str">
        <f>HYPERLINK("http://dx.doi.org/10.1007/s42864-023-00237-x","http://dx.doi.org/10.1007/s42864-023-00237-x")</f>
        <v>http://dx.doi.org/10.1007/s42864-023-00237-x</v>
      </c>
      <c r="BG871" t="s">
        <v>74</v>
      </c>
      <c r="BH871" t="s">
        <v>10650</v>
      </c>
      <c r="BI871">
        <v>15</v>
      </c>
      <c r="BJ871" t="s">
        <v>1443</v>
      </c>
      <c r="BK871" t="s">
        <v>97</v>
      </c>
      <c r="BL871" t="s">
        <v>1444</v>
      </c>
      <c r="BM871" t="s">
        <v>16090</v>
      </c>
      <c r="BN871" t="s">
        <v>74</v>
      </c>
      <c r="BO871" t="s">
        <v>74</v>
      </c>
      <c r="BP871" t="s">
        <v>74</v>
      </c>
      <c r="BQ871" t="s">
        <v>74</v>
      </c>
      <c r="BR871" t="s">
        <v>99</v>
      </c>
      <c r="BS871" t="s">
        <v>16091</v>
      </c>
      <c r="BT871" t="str">
        <f>HYPERLINK("https%3A%2F%2Fwww.webofscience.com%2Fwos%2Fwoscc%2Ffull-record%2FWOS:001051080100001","View Full Record in Web of Science")</f>
        <v>View Full Record in Web of Science</v>
      </c>
    </row>
    <row r="872" spans="1:72" x14ac:dyDescent="0.15">
      <c r="A872" t="s">
        <v>72</v>
      </c>
      <c r="B872" t="s">
        <v>16092</v>
      </c>
      <c r="C872" t="s">
        <v>74</v>
      </c>
      <c r="D872" t="s">
        <v>74</v>
      </c>
      <c r="E872" t="s">
        <v>74</v>
      </c>
      <c r="F872" t="s">
        <v>16093</v>
      </c>
      <c r="G872" t="s">
        <v>74</v>
      </c>
      <c r="H872" t="s">
        <v>74</v>
      </c>
      <c r="I872" t="s">
        <v>16094</v>
      </c>
      <c r="J872" t="s">
        <v>16095</v>
      </c>
      <c r="K872" t="s">
        <v>74</v>
      </c>
      <c r="L872" t="s">
        <v>74</v>
      </c>
      <c r="M872" t="s">
        <v>78</v>
      </c>
      <c r="N872" t="s">
        <v>1246</v>
      </c>
      <c r="O872" t="s">
        <v>74</v>
      </c>
      <c r="P872" t="s">
        <v>74</v>
      </c>
      <c r="Q872" t="s">
        <v>74</v>
      </c>
      <c r="R872" t="s">
        <v>74</v>
      </c>
      <c r="S872" t="s">
        <v>74</v>
      </c>
      <c r="T872" t="s">
        <v>16096</v>
      </c>
      <c r="U872" t="s">
        <v>16097</v>
      </c>
      <c r="V872" t="s">
        <v>16098</v>
      </c>
      <c r="W872" t="s">
        <v>16099</v>
      </c>
      <c r="X872" t="s">
        <v>16100</v>
      </c>
      <c r="Y872" t="s">
        <v>16101</v>
      </c>
      <c r="Z872" t="s">
        <v>16102</v>
      </c>
      <c r="AA872" t="s">
        <v>74</v>
      </c>
      <c r="AB872" t="s">
        <v>74</v>
      </c>
      <c r="AC872" t="s">
        <v>74</v>
      </c>
      <c r="AD872" t="s">
        <v>74</v>
      </c>
      <c r="AE872" t="s">
        <v>74</v>
      </c>
      <c r="AF872" t="s">
        <v>74</v>
      </c>
      <c r="AG872">
        <v>56</v>
      </c>
      <c r="AH872">
        <v>0</v>
      </c>
      <c r="AI872">
        <v>0</v>
      </c>
      <c r="AJ872">
        <v>1</v>
      </c>
      <c r="AK872">
        <v>1</v>
      </c>
      <c r="AL872" t="s">
        <v>117</v>
      </c>
      <c r="AM872" t="s">
        <v>118</v>
      </c>
      <c r="AN872" t="s">
        <v>119</v>
      </c>
      <c r="AO872" t="s">
        <v>16103</v>
      </c>
      <c r="AP872" t="s">
        <v>16104</v>
      </c>
      <c r="AQ872" t="s">
        <v>74</v>
      </c>
      <c r="AR872" t="s">
        <v>16095</v>
      </c>
      <c r="AS872" t="s">
        <v>16105</v>
      </c>
      <c r="AT872" t="s">
        <v>15675</v>
      </c>
      <c r="AU872">
        <v>2023</v>
      </c>
      <c r="AV872" t="s">
        <v>74</v>
      </c>
      <c r="AW872" t="s">
        <v>74</v>
      </c>
      <c r="AX872" t="s">
        <v>74</v>
      </c>
      <c r="AY872" t="s">
        <v>74</v>
      </c>
      <c r="AZ872" t="s">
        <v>74</v>
      </c>
      <c r="BA872" t="s">
        <v>74</v>
      </c>
      <c r="BB872" t="s">
        <v>74</v>
      </c>
      <c r="BC872" t="s">
        <v>74</v>
      </c>
      <c r="BD872" t="s">
        <v>74</v>
      </c>
      <c r="BE872" t="s">
        <v>16106</v>
      </c>
      <c r="BF872" t="str">
        <f>HYPERLINK("http://dx.doi.org/10.1007/s11756-023-01505-4","http://dx.doi.org/10.1007/s11756-023-01505-4")</f>
        <v>http://dx.doi.org/10.1007/s11756-023-01505-4</v>
      </c>
      <c r="BG872" t="s">
        <v>74</v>
      </c>
      <c r="BH872" t="s">
        <v>10650</v>
      </c>
      <c r="BI872">
        <v>9</v>
      </c>
      <c r="BJ872" t="s">
        <v>13955</v>
      </c>
      <c r="BK872" t="s">
        <v>126</v>
      </c>
      <c r="BL872" t="s">
        <v>13956</v>
      </c>
      <c r="BM872" t="s">
        <v>16107</v>
      </c>
      <c r="BN872" t="s">
        <v>74</v>
      </c>
      <c r="BO872" t="s">
        <v>183</v>
      </c>
      <c r="BP872" t="s">
        <v>74</v>
      </c>
      <c r="BQ872" t="s">
        <v>74</v>
      </c>
      <c r="BR872" t="s">
        <v>99</v>
      </c>
      <c r="BS872" t="s">
        <v>16108</v>
      </c>
      <c r="BT872" t="str">
        <f>HYPERLINK("https%3A%2F%2Fwww.webofscience.com%2Fwos%2Fwoscc%2Ffull-record%2FWOS:001050531300002","View Full Record in Web of Science")</f>
        <v>View Full Record in Web of Science</v>
      </c>
    </row>
    <row r="873" spans="1:72" x14ac:dyDescent="0.15">
      <c r="A873" t="s">
        <v>72</v>
      </c>
      <c r="B873" t="s">
        <v>16109</v>
      </c>
      <c r="C873" t="s">
        <v>74</v>
      </c>
      <c r="D873" t="s">
        <v>74</v>
      </c>
      <c r="E873" t="s">
        <v>74</v>
      </c>
      <c r="F873" t="s">
        <v>16110</v>
      </c>
      <c r="G873" t="s">
        <v>74</v>
      </c>
      <c r="H873" t="s">
        <v>74</v>
      </c>
      <c r="I873" t="s">
        <v>16111</v>
      </c>
      <c r="J873" t="s">
        <v>16112</v>
      </c>
      <c r="K873" t="s">
        <v>74</v>
      </c>
      <c r="L873" t="s">
        <v>74</v>
      </c>
      <c r="M873" t="s">
        <v>78</v>
      </c>
      <c r="N873" t="s">
        <v>79</v>
      </c>
      <c r="O873" t="s">
        <v>74</v>
      </c>
      <c r="P873" t="s">
        <v>74</v>
      </c>
      <c r="Q873" t="s">
        <v>74</v>
      </c>
      <c r="R873" t="s">
        <v>74</v>
      </c>
      <c r="S873" t="s">
        <v>74</v>
      </c>
      <c r="T873" t="s">
        <v>16113</v>
      </c>
      <c r="U873" t="s">
        <v>16114</v>
      </c>
      <c r="V873" t="s">
        <v>16115</v>
      </c>
      <c r="W873" t="s">
        <v>16116</v>
      </c>
      <c r="X873" t="s">
        <v>16117</v>
      </c>
      <c r="Y873" t="s">
        <v>16118</v>
      </c>
      <c r="Z873" t="s">
        <v>16119</v>
      </c>
      <c r="AA873" t="s">
        <v>74</v>
      </c>
      <c r="AB873" t="s">
        <v>74</v>
      </c>
      <c r="AC873" t="s">
        <v>16120</v>
      </c>
      <c r="AD873" t="s">
        <v>16121</v>
      </c>
      <c r="AE873" t="s">
        <v>16122</v>
      </c>
      <c r="AF873" t="s">
        <v>74</v>
      </c>
      <c r="AG873">
        <v>57</v>
      </c>
      <c r="AH873">
        <v>0</v>
      </c>
      <c r="AI873">
        <v>0</v>
      </c>
      <c r="AJ873">
        <v>2</v>
      </c>
      <c r="AK873">
        <v>2</v>
      </c>
      <c r="AL873" t="s">
        <v>117</v>
      </c>
      <c r="AM873" t="s">
        <v>118</v>
      </c>
      <c r="AN873" t="s">
        <v>119</v>
      </c>
      <c r="AO873" t="s">
        <v>16123</v>
      </c>
      <c r="AP873" t="s">
        <v>74</v>
      </c>
      <c r="AQ873" t="s">
        <v>74</v>
      </c>
      <c r="AR873" t="s">
        <v>16124</v>
      </c>
      <c r="AS873" t="s">
        <v>16125</v>
      </c>
      <c r="AT873" t="s">
        <v>15658</v>
      </c>
      <c r="AU873">
        <v>2023</v>
      </c>
      <c r="AV873" t="s">
        <v>74</v>
      </c>
      <c r="AW873">
        <v>8</v>
      </c>
      <c r="AX873" t="s">
        <v>74</v>
      </c>
      <c r="AY873" t="s">
        <v>74</v>
      </c>
      <c r="AZ873" t="s">
        <v>74</v>
      </c>
      <c r="BA873" t="s">
        <v>74</v>
      </c>
      <c r="BB873" t="s">
        <v>74</v>
      </c>
      <c r="BC873" t="s">
        <v>74</v>
      </c>
      <c r="BD873">
        <v>116</v>
      </c>
      <c r="BE873" t="s">
        <v>16126</v>
      </c>
      <c r="BF873" t="str">
        <f>HYPERLINK("http://dx.doi.org/10.1007/JHEP08(2023)116","http://dx.doi.org/10.1007/JHEP08(2023)116")</f>
        <v>http://dx.doi.org/10.1007/JHEP08(2023)116</v>
      </c>
      <c r="BG873" t="s">
        <v>74</v>
      </c>
      <c r="BH873" t="s">
        <v>74</v>
      </c>
      <c r="BI873">
        <v>47</v>
      </c>
      <c r="BJ873" t="s">
        <v>15335</v>
      </c>
      <c r="BK873" t="s">
        <v>126</v>
      </c>
      <c r="BL873" t="s">
        <v>387</v>
      </c>
      <c r="BM873" t="s">
        <v>16127</v>
      </c>
      <c r="BN873" t="s">
        <v>74</v>
      </c>
      <c r="BO873" t="s">
        <v>540</v>
      </c>
      <c r="BP873" t="s">
        <v>74</v>
      </c>
      <c r="BQ873" t="s">
        <v>74</v>
      </c>
      <c r="BR873" t="s">
        <v>99</v>
      </c>
      <c r="BS873" t="s">
        <v>16128</v>
      </c>
      <c r="BT873" t="str">
        <f>HYPERLINK("https%3A%2F%2Fwww.webofscience.com%2Fwos%2Fwoscc%2Ffull-record%2FWOS:001052857600008","View Full Record in Web of Science")</f>
        <v>View Full Record in Web of Science</v>
      </c>
    </row>
    <row r="874" spans="1:72" x14ac:dyDescent="0.15">
      <c r="A874" t="s">
        <v>72</v>
      </c>
      <c r="B874" t="s">
        <v>16129</v>
      </c>
      <c r="C874" t="s">
        <v>74</v>
      </c>
      <c r="D874" t="s">
        <v>74</v>
      </c>
      <c r="E874" t="s">
        <v>74</v>
      </c>
      <c r="F874" t="s">
        <v>16130</v>
      </c>
      <c r="G874" t="s">
        <v>74</v>
      </c>
      <c r="H874" t="s">
        <v>74</v>
      </c>
      <c r="I874" t="s">
        <v>16131</v>
      </c>
      <c r="J874" t="s">
        <v>10071</v>
      </c>
      <c r="K874" t="s">
        <v>74</v>
      </c>
      <c r="L874" t="s">
        <v>74</v>
      </c>
      <c r="M874" t="s">
        <v>78</v>
      </c>
      <c r="N874" t="s">
        <v>1246</v>
      </c>
      <c r="O874" t="s">
        <v>74</v>
      </c>
      <c r="P874" t="s">
        <v>74</v>
      </c>
      <c r="Q874" t="s">
        <v>74</v>
      </c>
      <c r="R874" t="s">
        <v>74</v>
      </c>
      <c r="S874" t="s">
        <v>74</v>
      </c>
      <c r="T874" t="s">
        <v>16132</v>
      </c>
      <c r="U874" t="s">
        <v>74</v>
      </c>
      <c r="V874" t="s">
        <v>16133</v>
      </c>
      <c r="W874" t="s">
        <v>16134</v>
      </c>
      <c r="X874" t="s">
        <v>16135</v>
      </c>
      <c r="Y874" t="s">
        <v>16136</v>
      </c>
      <c r="Z874" t="s">
        <v>16137</v>
      </c>
      <c r="AA874" t="s">
        <v>74</v>
      </c>
      <c r="AB874" t="s">
        <v>74</v>
      </c>
      <c r="AC874" t="s">
        <v>16138</v>
      </c>
      <c r="AD874" t="s">
        <v>16139</v>
      </c>
      <c r="AE874" t="s">
        <v>16140</v>
      </c>
      <c r="AF874" t="s">
        <v>74</v>
      </c>
      <c r="AG874">
        <v>30</v>
      </c>
      <c r="AH874">
        <v>0</v>
      </c>
      <c r="AI874">
        <v>0</v>
      </c>
      <c r="AJ874">
        <v>2</v>
      </c>
      <c r="AK874">
        <v>2</v>
      </c>
      <c r="AL874" t="s">
        <v>117</v>
      </c>
      <c r="AM874" t="s">
        <v>118</v>
      </c>
      <c r="AN874" t="s">
        <v>119</v>
      </c>
      <c r="AO874" t="s">
        <v>10082</v>
      </c>
      <c r="AP874" t="s">
        <v>10083</v>
      </c>
      <c r="AQ874" t="s">
        <v>74</v>
      </c>
      <c r="AR874" t="s">
        <v>10084</v>
      </c>
      <c r="AS874" t="s">
        <v>10085</v>
      </c>
      <c r="AT874" t="s">
        <v>15675</v>
      </c>
      <c r="AU874">
        <v>2023</v>
      </c>
      <c r="AV874" t="s">
        <v>74</v>
      </c>
      <c r="AW874" t="s">
        <v>74</v>
      </c>
      <c r="AX874" t="s">
        <v>74</v>
      </c>
      <c r="AY874" t="s">
        <v>74</v>
      </c>
      <c r="AZ874" t="s">
        <v>74</v>
      </c>
      <c r="BA874" t="s">
        <v>74</v>
      </c>
      <c r="BB874" t="s">
        <v>74</v>
      </c>
      <c r="BC874" t="s">
        <v>74</v>
      </c>
      <c r="BD874" t="s">
        <v>74</v>
      </c>
      <c r="BE874" t="s">
        <v>16141</v>
      </c>
      <c r="BF874" t="str">
        <f>HYPERLINK("http://dx.doi.org/10.1007/s00500-023-09091-y","http://dx.doi.org/10.1007/s00500-023-09091-y")</f>
        <v>http://dx.doi.org/10.1007/s00500-023-09091-y</v>
      </c>
      <c r="BG874" t="s">
        <v>74</v>
      </c>
      <c r="BH874" t="s">
        <v>10650</v>
      </c>
      <c r="BI874">
        <v>17</v>
      </c>
      <c r="BJ874" t="s">
        <v>10087</v>
      </c>
      <c r="BK874" t="s">
        <v>126</v>
      </c>
      <c r="BL874" t="s">
        <v>1139</v>
      </c>
      <c r="BM874" t="s">
        <v>15866</v>
      </c>
      <c r="BN874" t="s">
        <v>74</v>
      </c>
      <c r="BO874" t="s">
        <v>74</v>
      </c>
      <c r="BP874" t="s">
        <v>74</v>
      </c>
      <c r="BQ874" t="s">
        <v>74</v>
      </c>
      <c r="BR874" t="s">
        <v>99</v>
      </c>
      <c r="BS874" t="s">
        <v>16142</v>
      </c>
      <c r="BT874" t="str">
        <f>HYPERLINK("https%3A%2F%2Fwww.webofscience.com%2Fwos%2Fwoscc%2Ffull-record%2FWOS:001051801000005","View Full Record in Web of Science")</f>
        <v>View Full Record in Web of Science</v>
      </c>
    </row>
    <row r="875" spans="1:72" x14ac:dyDescent="0.15">
      <c r="A875" t="s">
        <v>72</v>
      </c>
      <c r="B875" t="s">
        <v>16143</v>
      </c>
      <c r="C875" t="s">
        <v>74</v>
      </c>
      <c r="D875" t="s">
        <v>74</v>
      </c>
      <c r="E875" t="s">
        <v>74</v>
      </c>
      <c r="F875" t="s">
        <v>16144</v>
      </c>
      <c r="G875" t="s">
        <v>74</v>
      </c>
      <c r="H875" t="s">
        <v>74</v>
      </c>
      <c r="I875" t="s">
        <v>16145</v>
      </c>
      <c r="J875" t="s">
        <v>3361</v>
      </c>
      <c r="K875" t="s">
        <v>74</v>
      </c>
      <c r="L875" t="s">
        <v>74</v>
      </c>
      <c r="M875" t="s">
        <v>78</v>
      </c>
      <c r="N875" t="s">
        <v>79</v>
      </c>
      <c r="O875" t="s">
        <v>74</v>
      </c>
      <c r="P875" t="s">
        <v>74</v>
      </c>
      <c r="Q875" t="s">
        <v>74</v>
      </c>
      <c r="R875" t="s">
        <v>74</v>
      </c>
      <c r="S875" t="s">
        <v>74</v>
      </c>
      <c r="T875" t="s">
        <v>16146</v>
      </c>
      <c r="U875" t="s">
        <v>16147</v>
      </c>
      <c r="V875" t="s">
        <v>16148</v>
      </c>
      <c r="W875" t="s">
        <v>16149</v>
      </c>
      <c r="X875" t="s">
        <v>16150</v>
      </c>
      <c r="Y875" t="s">
        <v>16151</v>
      </c>
      <c r="Z875" t="s">
        <v>16152</v>
      </c>
      <c r="AA875" t="s">
        <v>74</v>
      </c>
      <c r="AB875" t="s">
        <v>74</v>
      </c>
      <c r="AC875" t="s">
        <v>74</v>
      </c>
      <c r="AD875" t="s">
        <v>74</v>
      </c>
      <c r="AE875" t="s">
        <v>74</v>
      </c>
      <c r="AF875" t="s">
        <v>74</v>
      </c>
      <c r="AG875">
        <v>167</v>
      </c>
      <c r="AH875">
        <v>0</v>
      </c>
      <c r="AI875">
        <v>0</v>
      </c>
      <c r="AJ875">
        <v>1</v>
      </c>
      <c r="AK875">
        <v>1</v>
      </c>
      <c r="AL875" t="s">
        <v>443</v>
      </c>
      <c r="AM875" t="s">
        <v>245</v>
      </c>
      <c r="AN875" t="s">
        <v>444</v>
      </c>
      <c r="AO875" t="s">
        <v>74</v>
      </c>
      <c r="AP875" t="s">
        <v>3370</v>
      </c>
      <c r="AQ875" t="s">
        <v>74</v>
      </c>
      <c r="AR875" t="s">
        <v>3361</v>
      </c>
      <c r="AS875" t="s">
        <v>3371</v>
      </c>
      <c r="AT875" t="s">
        <v>16153</v>
      </c>
      <c r="AU875">
        <v>2023</v>
      </c>
      <c r="AV875">
        <v>23</v>
      </c>
      <c r="AW875">
        <v>1</v>
      </c>
      <c r="AX875" t="s">
        <v>74</v>
      </c>
      <c r="AY875" t="s">
        <v>74</v>
      </c>
      <c r="AZ875" t="s">
        <v>74</v>
      </c>
      <c r="BA875" t="s">
        <v>74</v>
      </c>
      <c r="BB875" t="s">
        <v>74</v>
      </c>
      <c r="BC875" t="s">
        <v>74</v>
      </c>
      <c r="BD875">
        <v>602</v>
      </c>
      <c r="BE875" t="s">
        <v>16154</v>
      </c>
      <c r="BF875" t="str">
        <f>HYPERLINK("http://dx.doi.org/10.1186/s12888-023-05094-z","http://dx.doi.org/10.1186/s12888-023-05094-z")</f>
        <v>http://dx.doi.org/10.1186/s12888-023-05094-z</v>
      </c>
      <c r="BG875" t="s">
        <v>74</v>
      </c>
      <c r="BH875" t="s">
        <v>74</v>
      </c>
      <c r="BI875">
        <v>20</v>
      </c>
      <c r="BJ875" t="s">
        <v>3373</v>
      </c>
      <c r="BK875" t="s">
        <v>126</v>
      </c>
      <c r="BL875" t="s">
        <v>3373</v>
      </c>
      <c r="BM875" t="s">
        <v>16155</v>
      </c>
      <c r="BN875">
        <v>37592214</v>
      </c>
      <c r="BO875" t="s">
        <v>157</v>
      </c>
      <c r="BP875" t="s">
        <v>74</v>
      </c>
      <c r="BQ875" t="s">
        <v>74</v>
      </c>
      <c r="BR875" t="s">
        <v>99</v>
      </c>
      <c r="BS875" t="s">
        <v>16156</v>
      </c>
      <c r="BT875" t="str">
        <f>HYPERLINK("https%3A%2F%2Fwww.webofscience.com%2Fwos%2Fwoscc%2Ffull-record%2FWOS:001049495000004","View Full Record in Web of Science")</f>
        <v>View Full Record in Web of Science</v>
      </c>
    </row>
    <row r="876" spans="1:72" x14ac:dyDescent="0.15">
      <c r="A876" t="s">
        <v>72</v>
      </c>
      <c r="B876" t="s">
        <v>16157</v>
      </c>
      <c r="C876" t="s">
        <v>74</v>
      </c>
      <c r="D876" t="s">
        <v>74</v>
      </c>
      <c r="E876" t="s">
        <v>74</v>
      </c>
      <c r="F876" t="s">
        <v>16158</v>
      </c>
      <c r="G876" t="s">
        <v>74</v>
      </c>
      <c r="H876" t="s">
        <v>74</v>
      </c>
      <c r="I876" t="s">
        <v>16159</v>
      </c>
      <c r="J876" t="s">
        <v>16160</v>
      </c>
      <c r="K876" t="s">
        <v>74</v>
      </c>
      <c r="L876" t="s">
        <v>74</v>
      </c>
      <c r="M876" t="s">
        <v>78</v>
      </c>
      <c r="N876" t="s">
        <v>79</v>
      </c>
      <c r="O876" t="s">
        <v>74</v>
      </c>
      <c r="P876" t="s">
        <v>74</v>
      </c>
      <c r="Q876" t="s">
        <v>74</v>
      </c>
      <c r="R876" t="s">
        <v>74</v>
      </c>
      <c r="S876" t="s">
        <v>74</v>
      </c>
      <c r="T876" t="s">
        <v>16161</v>
      </c>
      <c r="U876" t="s">
        <v>16162</v>
      </c>
      <c r="V876" t="s">
        <v>16163</v>
      </c>
      <c r="W876" t="s">
        <v>16164</v>
      </c>
      <c r="X876" t="s">
        <v>16165</v>
      </c>
      <c r="Y876" t="s">
        <v>16166</v>
      </c>
      <c r="Z876" t="s">
        <v>16167</v>
      </c>
      <c r="AA876" t="s">
        <v>74</v>
      </c>
      <c r="AB876" t="s">
        <v>16168</v>
      </c>
      <c r="AC876" t="s">
        <v>74</v>
      </c>
      <c r="AD876" t="s">
        <v>74</v>
      </c>
      <c r="AE876" t="s">
        <v>74</v>
      </c>
      <c r="AF876" t="s">
        <v>74</v>
      </c>
      <c r="AG876">
        <v>70</v>
      </c>
      <c r="AH876">
        <v>0</v>
      </c>
      <c r="AI876">
        <v>0</v>
      </c>
      <c r="AJ876">
        <v>3</v>
      </c>
      <c r="AK876">
        <v>3</v>
      </c>
      <c r="AL876" t="s">
        <v>117</v>
      </c>
      <c r="AM876" t="s">
        <v>118</v>
      </c>
      <c r="AN876" t="s">
        <v>119</v>
      </c>
      <c r="AO876" t="s">
        <v>16169</v>
      </c>
      <c r="AP876" t="s">
        <v>16170</v>
      </c>
      <c r="AQ876" t="s">
        <v>74</v>
      </c>
      <c r="AR876" t="s">
        <v>16171</v>
      </c>
      <c r="AS876" t="s">
        <v>16172</v>
      </c>
      <c r="AT876" t="s">
        <v>8614</v>
      </c>
      <c r="AU876">
        <v>2023</v>
      </c>
      <c r="AV876">
        <v>241</v>
      </c>
      <c r="AW876">
        <v>9</v>
      </c>
      <c r="AX876" t="s">
        <v>74</v>
      </c>
      <c r="AY876" t="s">
        <v>74</v>
      </c>
      <c r="AZ876" t="s">
        <v>74</v>
      </c>
      <c r="BA876" t="s">
        <v>74</v>
      </c>
      <c r="BB876">
        <v>2311</v>
      </c>
      <c r="BC876">
        <v>2332</v>
      </c>
      <c r="BD876" t="s">
        <v>74</v>
      </c>
      <c r="BE876" t="s">
        <v>16173</v>
      </c>
      <c r="BF876" t="str">
        <f>HYPERLINK("http://dx.doi.org/10.1007/s00221-023-06684-9","http://dx.doi.org/10.1007/s00221-023-06684-9")</f>
        <v>http://dx.doi.org/10.1007/s00221-023-06684-9</v>
      </c>
      <c r="BG876" t="s">
        <v>74</v>
      </c>
      <c r="BH876" t="s">
        <v>10650</v>
      </c>
      <c r="BI876">
        <v>22</v>
      </c>
      <c r="BJ876" t="s">
        <v>3889</v>
      </c>
      <c r="BK876" t="s">
        <v>126</v>
      </c>
      <c r="BL876" t="s">
        <v>2057</v>
      </c>
      <c r="BM876" t="s">
        <v>16174</v>
      </c>
      <c r="BN876">
        <v>37589937</v>
      </c>
      <c r="BO876" t="s">
        <v>74</v>
      </c>
      <c r="BP876" t="s">
        <v>74</v>
      </c>
      <c r="BQ876" t="s">
        <v>74</v>
      </c>
      <c r="BR876" t="s">
        <v>99</v>
      </c>
      <c r="BS876" t="s">
        <v>16175</v>
      </c>
      <c r="BT876" t="str">
        <f>HYPERLINK("https%3A%2F%2Fwww.webofscience.com%2Fwos%2Fwoscc%2Ffull-record%2FWOS:001049182200001","View Full Record in Web of Science")</f>
        <v>View Full Record in Web of Science</v>
      </c>
    </row>
    <row r="877" spans="1:72" x14ac:dyDescent="0.15">
      <c r="A877" t="s">
        <v>72</v>
      </c>
      <c r="B877" t="s">
        <v>16176</v>
      </c>
      <c r="C877" t="s">
        <v>74</v>
      </c>
      <c r="D877" t="s">
        <v>74</v>
      </c>
      <c r="E877" t="s">
        <v>74</v>
      </c>
      <c r="F877" t="s">
        <v>16177</v>
      </c>
      <c r="G877" t="s">
        <v>74</v>
      </c>
      <c r="H877" t="s">
        <v>74</v>
      </c>
      <c r="I877" t="s">
        <v>16178</v>
      </c>
      <c r="J877" t="s">
        <v>16179</v>
      </c>
      <c r="K877" t="s">
        <v>74</v>
      </c>
      <c r="L877" t="s">
        <v>74</v>
      </c>
      <c r="M877" t="s">
        <v>78</v>
      </c>
      <c r="N877" t="s">
        <v>105</v>
      </c>
      <c r="O877" t="s">
        <v>74</v>
      </c>
      <c r="P877" t="s">
        <v>74</v>
      </c>
      <c r="Q877" t="s">
        <v>74</v>
      </c>
      <c r="R877" t="s">
        <v>74</v>
      </c>
      <c r="S877" t="s">
        <v>74</v>
      </c>
      <c r="T877" t="s">
        <v>74</v>
      </c>
      <c r="U877" t="s">
        <v>16180</v>
      </c>
      <c r="V877" t="s">
        <v>16181</v>
      </c>
      <c r="W877" t="s">
        <v>16182</v>
      </c>
      <c r="X877" t="s">
        <v>16183</v>
      </c>
      <c r="Y877" t="s">
        <v>16184</v>
      </c>
      <c r="Z877" t="s">
        <v>16185</v>
      </c>
      <c r="AA877" t="s">
        <v>16186</v>
      </c>
      <c r="AB877" t="s">
        <v>16187</v>
      </c>
      <c r="AC877" t="s">
        <v>16188</v>
      </c>
      <c r="AD877" t="s">
        <v>16189</v>
      </c>
      <c r="AE877" t="s">
        <v>16190</v>
      </c>
      <c r="AF877" t="s">
        <v>74</v>
      </c>
      <c r="AG877">
        <v>118</v>
      </c>
      <c r="AH877">
        <v>0</v>
      </c>
      <c r="AI877">
        <v>0</v>
      </c>
      <c r="AJ877">
        <v>0</v>
      </c>
      <c r="AK877">
        <v>0</v>
      </c>
      <c r="AL877" t="s">
        <v>117</v>
      </c>
      <c r="AM877" t="s">
        <v>118</v>
      </c>
      <c r="AN877" t="s">
        <v>119</v>
      </c>
      <c r="AO877" t="s">
        <v>16191</v>
      </c>
      <c r="AP877" t="s">
        <v>16192</v>
      </c>
      <c r="AQ877" t="s">
        <v>74</v>
      </c>
      <c r="AR877" t="s">
        <v>16193</v>
      </c>
      <c r="AS877" t="s">
        <v>16194</v>
      </c>
      <c r="AT877" t="s">
        <v>16153</v>
      </c>
      <c r="AU877">
        <v>2023</v>
      </c>
      <c r="AV877">
        <v>59</v>
      </c>
      <c r="AW877">
        <v>8</v>
      </c>
      <c r="AX877" t="s">
        <v>74</v>
      </c>
      <c r="AY877" t="s">
        <v>74</v>
      </c>
      <c r="AZ877" t="s">
        <v>74</v>
      </c>
      <c r="BA877" t="s">
        <v>74</v>
      </c>
      <c r="BB877" t="s">
        <v>74</v>
      </c>
      <c r="BC877" t="s">
        <v>74</v>
      </c>
      <c r="BD877">
        <v>186</v>
      </c>
      <c r="BE877" t="s">
        <v>16195</v>
      </c>
      <c r="BF877" t="str">
        <f>HYPERLINK("http://dx.doi.org/10.1140/epja/s10050-023-01092-7","http://dx.doi.org/10.1140/epja/s10050-023-01092-7")</f>
        <v>http://dx.doi.org/10.1140/epja/s10050-023-01092-7</v>
      </c>
      <c r="BG877" t="s">
        <v>74</v>
      </c>
      <c r="BH877" t="s">
        <v>74</v>
      </c>
      <c r="BI877">
        <v>13</v>
      </c>
      <c r="BJ877" t="s">
        <v>16196</v>
      </c>
      <c r="BK877" t="s">
        <v>126</v>
      </c>
      <c r="BL877" t="s">
        <v>387</v>
      </c>
      <c r="BM877" t="s">
        <v>16197</v>
      </c>
      <c r="BN877" t="s">
        <v>74</v>
      </c>
      <c r="BO877" t="s">
        <v>327</v>
      </c>
      <c r="BP877" t="s">
        <v>74</v>
      </c>
      <c r="BQ877" t="s">
        <v>74</v>
      </c>
      <c r="BR877" t="s">
        <v>99</v>
      </c>
      <c r="BS877" t="s">
        <v>16198</v>
      </c>
      <c r="BT877" t="str">
        <f>HYPERLINK("https%3A%2F%2Fwww.webofscience.com%2Fwos%2Fwoscc%2Ffull-record%2FWOS:001050458700001","View Full Record in Web of Science")</f>
        <v>View Full Record in Web of Science</v>
      </c>
    </row>
    <row r="878" spans="1:72" x14ac:dyDescent="0.15">
      <c r="A878" t="s">
        <v>72</v>
      </c>
      <c r="B878" t="s">
        <v>16199</v>
      </c>
      <c r="C878" t="s">
        <v>74</v>
      </c>
      <c r="D878" t="s">
        <v>74</v>
      </c>
      <c r="E878" t="s">
        <v>74</v>
      </c>
      <c r="F878" t="s">
        <v>16200</v>
      </c>
      <c r="G878" t="s">
        <v>74</v>
      </c>
      <c r="H878" t="s">
        <v>74</v>
      </c>
      <c r="I878" t="s">
        <v>16201</v>
      </c>
      <c r="J878" t="s">
        <v>6456</v>
      </c>
      <c r="K878" t="s">
        <v>74</v>
      </c>
      <c r="L878" t="s">
        <v>74</v>
      </c>
      <c r="M878" t="s">
        <v>78</v>
      </c>
      <c r="N878" t="s">
        <v>79</v>
      </c>
      <c r="O878" t="s">
        <v>74</v>
      </c>
      <c r="P878" t="s">
        <v>74</v>
      </c>
      <c r="Q878" t="s">
        <v>74</v>
      </c>
      <c r="R878" t="s">
        <v>74</v>
      </c>
      <c r="S878" t="s">
        <v>74</v>
      </c>
      <c r="T878" t="s">
        <v>16202</v>
      </c>
      <c r="U878" t="s">
        <v>16203</v>
      </c>
      <c r="V878" t="s">
        <v>16204</v>
      </c>
      <c r="W878" t="s">
        <v>16205</v>
      </c>
      <c r="X878" t="s">
        <v>16206</v>
      </c>
      <c r="Y878" t="s">
        <v>16207</v>
      </c>
      <c r="Z878" t="s">
        <v>16208</v>
      </c>
      <c r="AA878" t="s">
        <v>74</v>
      </c>
      <c r="AB878" t="s">
        <v>74</v>
      </c>
      <c r="AC878" t="s">
        <v>16209</v>
      </c>
      <c r="AD878" t="s">
        <v>16210</v>
      </c>
      <c r="AE878" t="s">
        <v>16211</v>
      </c>
      <c r="AF878" t="s">
        <v>74</v>
      </c>
      <c r="AG878">
        <v>18</v>
      </c>
      <c r="AH878">
        <v>0</v>
      </c>
      <c r="AI878">
        <v>0</v>
      </c>
      <c r="AJ878">
        <v>1</v>
      </c>
      <c r="AK878">
        <v>1</v>
      </c>
      <c r="AL878" t="s">
        <v>443</v>
      </c>
      <c r="AM878" t="s">
        <v>245</v>
      </c>
      <c r="AN878" t="s">
        <v>444</v>
      </c>
      <c r="AO878" t="s">
        <v>6465</v>
      </c>
      <c r="AP878" t="s">
        <v>6466</v>
      </c>
      <c r="AQ878" t="s">
        <v>74</v>
      </c>
      <c r="AR878" t="s">
        <v>6467</v>
      </c>
      <c r="AS878" t="s">
        <v>6468</v>
      </c>
      <c r="AT878" t="s">
        <v>16153</v>
      </c>
      <c r="AU878">
        <v>2023</v>
      </c>
      <c r="AV878">
        <v>27</v>
      </c>
      <c r="AW878">
        <v>1</v>
      </c>
      <c r="AX878" t="s">
        <v>74</v>
      </c>
      <c r="AY878" t="s">
        <v>74</v>
      </c>
      <c r="AZ878" t="s">
        <v>74</v>
      </c>
      <c r="BA878" t="s">
        <v>74</v>
      </c>
      <c r="BB878" t="s">
        <v>74</v>
      </c>
      <c r="BC878" t="s">
        <v>74</v>
      </c>
      <c r="BD878">
        <v>316</v>
      </c>
      <c r="BE878" t="s">
        <v>16212</v>
      </c>
      <c r="BF878" t="str">
        <f>HYPERLINK("http://dx.doi.org/10.1186/s13054-023-04602-7","http://dx.doi.org/10.1186/s13054-023-04602-7")</f>
        <v>http://dx.doi.org/10.1186/s13054-023-04602-7</v>
      </c>
      <c r="BG878" t="s">
        <v>74</v>
      </c>
      <c r="BH878" t="s">
        <v>74</v>
      </c>
      <c r="BI878">
        <v>9</v>
      </c>
      <c r="BJ878" t="s">
        <v>2251</v>
      </c>
      <c r="BK878" t="s">
        <v>126</v>
      </c>
      <c r="BL878" t="s">
        <v>1239</v>
      </c>
      <c r="BM878" t="s">
        <v>16213</v>
      </c>
      <c r="BN878">
        <v>37592355</v>
      </c>
      <c r="BO878" t="s">
        <v>302</v>
      </c>
      <c r="BP878" t="s">
        <v>74</v>
      </c>
      <c r="BQ878" t="s">
        <v>74</v>
      </c>
      <c r="BR878" t="s">
        <v>99</v>
      </c>
      <c r="BS878" t="s">
        <v>16214</v>
      </c>
      <c r="BT878" t="str">
        <f>HYPERLINK("https%3A%2F%2Fwww.webofscience.com%2Fwos%2Fwoscc%2Ffull-record%2FWOS:001050091300001","View Full Record in Web of Science")</f>
        <v>View Full Record in Web of Science</v>
      </c>
    </row>
    <row r="879" spans="1:72" x14ac:dyDescent="0.15">
      <c r="A879" t="s">
        <v>72</v>
      </c>
      <c r="B879" t="s">
        <v>16215</v>
      </c>
      <c r="C879" t="s">
        <v>74</v>
      </c>
      <c r="D879" t="s">
        <v>74</v>
      </c>
      <c r="E879" t="s">
        <v>74</v>
      </c>
      <c r="F879" t="s">
        <v>16216</v>
      </c>
      <c r="G879" t="s">
        <v>74</v>
      </c>
      <c r="H879" t="s">
        <v>74</v>
      </c>
      <c r="I879" t="s">
        <v>16217</v>
      </c>
      <c r="J879" t="s">
        <v>16218</v>
      </c>
      <c r="K879" t="s">
        <v>74</v>
      </c>
      <c r="L879" t="s">
        <v>74</v>
      </c>
      <c r="M879" t="s">
        <v>78</v>
      </c>
      <c r="N879" t="s">
        <v>79</v>
      </c>
      <c r="O879" t="s">
        <v>74</v>
      </c>
      <c r="P879" t="s">
        <v>74</v>
      </c>
      <c r="Q879" t="s">
        <v>74</v>
      </c>
      <c r="R879" t="s">
        <v>74</v>
      </c>
      <c r="S879" t="s">
        <v>74</v>
      </c>
      <c r="T879" t="s">
        <v>16219</v>
      </c>
      <c r="U879" t="s">
        <v>16220</v>
      </c>
      <c r="V879" t="s">
        <v>16221</v>
      </c>
      <c r="W879" t="s">
        <v>16222</v>
      </c>
      <c r="X879" t="s">
        <v>16223</v>
      </c>
      <c r="Y879" t="s">
        <v>16224</v>
      </c>
      <c r="Z879" t="s">
        <v>16225</v>
      </c>
      <c r="AA879" t="s">
        <v>74</v>
      </c>
      <c r="AB879" t="s">
        <v>16226</v>
      </c>
      <c r="AC879" t="s">
        <v>16227</v>
      </c>
      <c r="AD879" t="s">
        <v>16227</v>
      </c>
      <c r="AE879" t="s">
        <v>16228</v>
      </c>
      <c r="AF879" t="s">
        <v>74</v>
      </c>
      <c r="AG879">
        <v>51</v>
      </c>
      <c r="AH879">
        <v>0</v>
      </c>
      <c r="AI879">
        <v>0</v>
      </c>
      <c r="AJ879">
        <v>0</v>
      </c>
      <c r="AK879">
        <v>0</v>
      </c>
      <c r="AL879" t="s">
        <v>317</v>
      </c>
      <c r="AM879" t="s">
        <v>245</v>
      </c>
      <c r="AN879" t="s">
        <v>318</v>
      </c>
      <c r="AO879" t="s">
        <v>16229</v>
      </c>
      <c r="AP879" t="s">
        <v>16230</v>
      </c>
      <c r="AQ879" t="s">
        <v>74</v>
      </c>
      <c r="AR879" t="s">
        <v>16231</v>
      </c>
      <c r="AS879" t="s">
        <v>16232</v>
      </c>
      <c r="AT879" t="s">
        <v>8614</v>
      </c>
      <c r="AU879">
        <v>2023</v>
      </c>
      <c r="AV879">
        <v>7</v>
      </c>
      <c r="AW879">
        <v>3</v>
      </c>
      <c r="AX879" t="s">
        <v>74</v>
      </c>
      <c r="AY879" t="s">
        <v>74</v>
      </c>
      <c r="AZ879" t="s">
        <v>74</v>
      </c>
      <c r="BA879" t="s">
        <v>74</v>
      </c>
      <c r="BB879">
        <v>291</v>
      </c>
      <c r="BC879">
        <v>312</v>
      </c>
      <c r="BD879" t="s">
        <v>74</v>
      </c>
      <c r="BE879" t="s">
        <v>16233</v>
      </c>
      <c r="BF879" t="str">
        <f>HYPERLINK("http://dx.doi.org/10.1007/s41666-023-00142-5","http://dx.doi.org/10.1007/s41666-023-00142-5")</f>
        <v>http://dx.doi.org/10.1007/s41666-023-00142-5</v>
      </c>
      <c r="BG879" t="s">
        <v>74</v>
      </c>
      <c r="BH879" t="s">
        <v>10650</v>
      </c>
      <c r="BI879">
        <v>22</v>
      </c>
      <c r="BJ879" t="s">
        <v>16234</v>
      </c>
      <c r="BK879" t="s">
        <v>97</v>
      </c>
      <c r="BL879" t="s">
        <v>16235</v>
      </c>
      <c r="BM879" t="s">
        <v>16236</v>
      </c>
      <c r="BN879">
        <v>37637722</v>
      </c>
      <c r="BO879" t="s">
        <v>16237</v>
      </c>
      <c r="BP879" t="s">
        <v>74</v>
      </c>
      <c r="BQ879" t="s">
        <v>74</v>
      </c>
      <c r="BR879" t="s">
        <v>99</v>
      </c>
      <c r="BS879" t="s">
        <v>16238</v>
      </c>
      <c r="BT879" t="str">
        <f>HYPERLINK("https%3A%2F%2Fwww.webofscience.com%2Fwos%2Fwoscc%2Ffull-record%2FWOS:001049923600001","View Full Record in Web of Science")</f>
        <v>View Full Record in Web of Science</v>
      </c>
    </row>
    <row r="880" spans="1:72" x14ac:dyDescent="0.15">
      <c r="A880" t="s">
        <v>72</v>
      </c>
      <c r="B880" t="s">
        <v>16239</v>
      </c>
      <c r="C880" t="s">
        <v>74</v>
      </c>
      <c r="D880" t="s">
        <v>74</v>
      </c>
      <c r="E880" t="s">
        <v>74</v>
      </c>
      <c r="F880" t="s">
        <v>16240</v>
      </c>
      <c r="G880" t="s">
        <v>74</v>
      </c>
      <c r="H880" t="s">
        <v>74</v>
      </c>
      <c r="I880" t="s">
        <v>16241</v>
      </c>
      <c r="J880" t="s">
        <v>7161</v>
      </c>
      <c r="K880" t="s">
        <v>74</v>
      </c>
      <c r="L880" t="s">
        <v>74</v>
      </c>
      <c r="M880" t="s">
        <v>78</v>
      </c>
      <c r="N880" t="s">
        <v>79</v>
      </c>
      <c r="O880" t="s">
        <v>74</v>
      </c>
      <c r="P880" t="s">
        <v>74</v>
      </c>
      <c r="Q880" t="s">
        <v>74</v>
      </c>
      <c r="R880" t="s">
        <v>74</v>
      </c>
      <c r="S880" t="s">
        <v>74</v>
      </c>
      <c r="T880" t="s">
        <v>16242</v>
      </c>
      <c r="U880" t="s">
        <v>16243</v>
      </c>
      <c r="V880" t="s">
        <v>16244</v>
      </c>
      <c r="W880" t="s">
        <v>16245</v>
      </c>
      <c r="X880" t="s">
        <v>74</v>
      </c>
      <c r="Y880" t="s">
        <v>16246</v>
      </c>
      <c r="Z880" t="s">
        <v>16247</v>
      </c>
      <c r="AA880" t="s">
        <v>16248</v>
      </c>
      <c r="AB880" t="s">
        <v>16249</v>
      </c>
      <c r="AC880" t="s">
        <v>16250</v>
      </c>
      <c r="AD880" t="s">
        <v>16251</v>
      </c>
      <c r="AE880" t="s">
        <v>16252</v>
      </c>
      <c r="AF880" t="s">
        <v>74</v>
      </c>
      <c r="AG880">
        <v>53</v>
      </c>
      <c r="AH880">
        <v>0</v>
      </c>
      <c r="AI880">
        <v>0</v>
      </c>
      <c r="AJ880">
        <v>2</v>
      </c>
      <c r="AK880">
        <v>2</v>
      </c>
      <c r="AL880" t="s">
        <v>172</v>
      </c>
      <c r="AM880" t="s">
        <v>173</v>
      </c>
      <c r="AN880" t="s">
        <v>174</v>
      </c>
      <c r="AO880" t="s">
        <v>7172</v>
      </c>
      <c r="AP880" t="s">
        <v>7173</v>
      </c>
      <c r="AQ880" t="s">
        <v>74</v>
      </c>
      <c r="AR880" t="s">
        <v>7174</v>
      </c>
      <c r="AS880" t="s">
        <v>7175</v>
      </c>
      <c r="AT880" t="s">
        <v>8614</v>
      </c>
      <c r="AU880">
        <v>2023</v>
      </c>
      <c r="AV880">
        <v>30</v>
      </c>
      <c r="AW880">
        <v>43</v>
      </c>
      <c r="AX880" t="s">
        <v>74</v>
      </c>
      <c r="AY880" t="s">
        <v>74</v>
      </c>
      <c r="AZ880" t="s">
        <v>74</v>
      </c>
      <c r="BA880" t="s">
        <v>74</v>
      </c>
      <c r="BB880">
        <v>97353</v>
      </c>
      <c r="BC880">
        <v>97362</v>
      </c>
      <c r="BD880" t="s">
        <v>74</v>
      </c>
      <c r="BE880" t="s">
        <v>16253</v>
      </c>
      <c r="BF880" t="str">
        <f>HYPERLINK("http://dx.doi.org/10.1007/s11356-023-29207-z","http://dx.doi.org/10.1007/s11356-023-29207-z")</f>
        <v>http://dx.doi.org/10.1007/s11356-023-29207-z</v>
      </c>
      <c r="BG880" t="s">
        <v>74</v>
      </c>
      <c r="BH880" t="s">
        <v>10650</v>
      </c>
      <c r="BI880">
        <v>10</v>
      </c>
      <c r="BJ880" t="s">
        <v>1346</v>
      </c>
      <c r="BK880" t="s">
        <v>126</v>
      </c>
      <c r="BL880" t="s">
        <v>1347</v>
      </c>
      <c r="BM880" t="s">
        <v>14337</v>
      </c>
      <c r="BN880">
        <v>37589852</v>
      </c>
      <c r="BO880" t="s">
        <v>74</v>
      </c>
      <c r="BP880" t="s">
        <v>74</v>
      </c>
      <c r="BQ880" t="s">
        <v>74</v>
      </c>
      <c r="BR880" t="s">
        <v>99</v>
      </c>
      <c r="BS880" t="s">
        <v>16254</v>
      </c>
      <c r="BT880" t="str">
        <f>HYPERLINK("https%3A%2F%2Fwww.webofscience.com%2Fwos%2Fwoscc%2Ffull-record%2FWOS:001050424400004","View Full Record in Web of Science")</f>
        <v>View Full Record in Web of Science</v>
      </c>
    </row>
    <row r="881" spans="1:72" x14ac:dyDescent="0.15">
      <c r="A881" t="s">
        <v>72</v>
      </c>
      <c r="B881" t="s">
        <v>16255</v>
      </c>
      <c r="C881" t="s">
        <v>74</v>
      </c>
      <c r="D881" t="s">
        <v>74</v>
      </c>
      <c r="E881" t="s">
        <v>74</v>
      </c>
      <c r="F881" t="s">
        <v>16256</v>
      </c>
      <c r="G881" t="s">
        <v>74</v>
      </c>
      <c r="H881" t="s">
        <v>74</v>
      </c>
      <c r="I881" t="s">
        <v>16257</v>
      </c>
      <c r="J881" t="s">
        <v>5632</v>
      </c>
      <c r="K881" t="s">
        <v>74</v>
      </c>
      <c r="L881" t="s">
        <v>74</v>
      </c>
      <c r="M881" t="s">
        <v>78</v>
      </c>
      <c r="N881" t="s">
        <v>1246</v>
      </c>
      <c r="O881" t="s">
        <v>74</v>
      </c>
      <c r="P881" t="s">
        <v>74</v>
      </c>
      <c r="Q881" t="s">
        <v>74</v>
      </c>
      <c r="R881" t="s">
        <v>74</v>
      </c>
      <c r="S881" t="s">
        <v>74</v>
      </c>
      <c r="T881" t="s">
        <v>16258</v>
      </c>
      <c r="U881" t="s">
        <v>13757</v>
      </c>
      <c r="V881" t="s">
        <v>16259</v>
      </c>
      <c r="W881" t="s">
        <v>16260</v>
      </c>
      <c r="X881" t="s">
        <v>16261</v>
      </c>
      <c r="Y881" t="s">
        <v>16262</v>
      </c>
      <c r="Z881" t="s">
        <v>16263</v>
      </c>
      <c r="AA881" t="s">
        <v>16264</v>
      </c>
      <c r="AB881" t="s">
        <v>16265</v>
      </c>
      <c r="AC881" t="s">
        <v>74</v>
      </c>
      <c r="AD881" t="s">
        <v>74</v>
      </c>
      <c r="AE881" t="s">
        <v>74</v>
      </c>
      <c r="AF881" t="s">
        <v>74</v>
      </c>
      <c r="AG881">
        <v>70</v>
      </c>
      <c r="AH881">
        <v>0</v>
      </c>
      <c r="AI881">
        <v>0</v>
      </c>
      <c r="AJ881">
        <v>0</v>
      </c>
      <c r="AK881">
        <v>0</v>
      </c>
      <c r="AL881" t="s">
        <v>87</v>
      </c>
      <c r="AM881" t="s">
        <v>88</v>
      </c>
      <c r="AN881" t="s">
        <v>89</v>
      </c>
      <c r="AO881" t="s">
        <v>5642</v>
      </c>
      <c r="AP881" t="s">
        <v>5643</v>
      </c>
      <c r="AQ881" t="s">
        <v>74</v>
      </c>
      <c r="AR881" t="s">
        <v>5644</v>
      </c>
      <c r="AS881" t="s">
        <v>5645</v>
      </c>
      <c r="AT881" t="s">
        <v>16266</v>
      </c>
      <c r="AU881">
        <v>2023</v>
      </c>
      <c r="AV881" t="s">
        <v>74</v>
      </c>
      <c r="AW881" t="s">
        <v>74</v>
      </c>
      <c r="AX881" t="s">
        <v>74</v>
      </c>
      <c r="AY881" t="s">
        <v>74</v>
      </c>
      <c r="AZ881" t="s">
        <v>74</v>
      </c>
      <c r="BA881" t="s">
        <v>74</v>
      </c>
      <c r="BB881" t="s">
        <v>74</v>
      </c>
      <c r="BC881" t="s">
        <v>74</v>
      </c>
      <c r="BD881" t="s">
        <v>74</v>
      </c>
      <c r="BE881" t="s">
        <v>16267</v>
      </c>
      <c r="BF881" t="str">
        <f>HYPERLINK("http://dx.doi.org/10.1007/s13198-023-02082-0","http://dx.doi.org/10.1007/s13198-023-02082-0")</f>
        <v>http://dx.doi.org/10.1007/s13198-023-02082-0</v>
      </c>
      <c r="BG881" t="s">
        <v>74</v>
      </c>
      <c r="BH881" t="s">
        <v>10650</v>
      </c>
      <c r="BI881">
        <v>21</v>
      </c>
      <c r="BJ881" t="s">
        <v>5647</v>
      </c>
      <c r="BK881" t="s">
        <v>97</v>
      </c>
      <c r="BL881" t="s">
        <v>277</v>
      </c>
      <c r="BM881" t="s">
        <v>16268</v>
      </c>
      <c r="BN881" t="s">
        <v>74</v>
      </c>
      <c r="BO881" t="s">
        <v>74</v>
      </c>
      <c r="BP881" t="s">
        <v>74</v>
      </c>
      <c r="BQ881" t="s">
        <v>74</v>
      </c>
      <c r="BR881" t="s">
        <v>99</v>
      </c>
      <c r="BS881" t="s">
        <v>16269</v>
      </c>
      <c r="BT881" t="str">
        <f>HYPERLINK("https%3A%2F%2Fwww.webofscience.com%2Fwos%2Fwoscc%2Ffull-record%2FWOS:001051783000001","View Full Record in Web of Science")</f>
        <v>View Full Record in Web of Science</v>
      </c>
    </row>
    <row r="882" spans="1:72" x14ac:dyDescent="0.15">
      <c r="A882" t="s">
        <v>72</v>
      </c>
      <c r="B882" t="s">
        <v>16270</v>
      </c>
      <c r="C882" t="s">
        <v>74</v>
      </c>
      <c r="D882" t="s">
        <v>74</v>
      </c>
      <c r="E882" t="s">
        <v>74</v>
      </c>
      <c r="F882" t="s">
        <v>16271</v>
      </c>
      <c r="G882" t="s">
        <v>74</v>
      </c>
      <c r="H882" t="s">
        <v>74</v>
      </c>
      <c r="I882" t="s">
        <v>16272</v>
      </c>
      <c r="J882" t="s">
        <v>16273</v>
      </c>
      <c r="K882" t="s">
        <v>74</v>
      </c>
      <c r="L882" t="s">
        <v>74</v>
      </c>
      <c r="M882" t="s">
        <v>78</v>
      </c>
      <c r="N882" t="s">
        <v>1246</v>
      </c>
      <c r="O882" t="s">
        <v>74</v>
      </c>
      <c r="P882" t="s">
        <v>74</v>
      </c>
      <c r="Q882" t="s">
        <v>74</v>
      </c>
      <c r="R882" t="s">
        <v>74</v>
      </c>
      <c r="S882" t="s">
        <v>74</v>
      </c>
      <c r="T882" t="s">
        <v>16274</v>
      </c>
      <c r="U882" t="s">
        <v>16275</v>
      </c>
      <c r="V882" t="s">
        <v>16276</v>
      </c>
      <c r="W882" t="s">
        <v>16277</v>
      </c>
      <c r="X882" t="s">
        <v>16278</v>
      </c>
      <c r="Y882" t="s">
        <v>16279</v>
      </c>
      <c r="Z882" t="s">
        <v>16280</v>
      </c>
      <c r="AA882" t="s">
        <v>74</v>
      </c>
      <c r="AB882" t="s">
        <v>16281</v>
      </c>
      <c r="AC882" t="s">
        <v>16282</v>
      </c>
      <c r="AD882" t="s">
        <v>16283</v>
      </c>
      <c r="AE882" t="s">
        <v>16284</v>
      </c>
      <c r="AF882" t="s">
        <v>74</v>
      </c>
      <c r="AG882">
        <v>32</v>
      </c>
      <c r="AH882">
        <v>0</v>
      </c>
      <c r="AI882">
        <v>0</v>
      </c>
      <c r="AJ882">
        <v>1</v>
      </c>
      <c r="AK882">
        <v>1</v>
      </c>
      <c r="AL882" t="s">
        <v>117</v>
      </c>
      <c r="AM882" t="s">
        <v>118</v>
      </c>
      <c r="AN882" t="s">
        <v>119</v>
      </c>
      <c r="AO882" t="s">
        <v>16285</v>
      </c>
      <c r="AP882" t="s">
        <v>16286</v>
      </c>
      <c r="AQ882" t="s">
        <v>74</v>
      </c>
      <c r="AR882" t="s">
        <v>16287</v>
      </c>
      <c r="AS882" t="s">
        <v>16288</v>
      </c>
      <c r="AT882" t="s">
        <v>16266</v>
      </c>
      <c r="AU882">
        <v>2023</v>
      </c>
      <c r="AV882" t="s">
        <v>74</v>
      </c>
      <c r="AW882" t="s">
        <v>74</v>
      </c>
      <c r="AX882" t="s">
        <v>74</v>
      </c>
      <c r="AY882" t="s">
        <v>74</v>
      </c>
      <c r="AZ882" t="s">
        <v>74</v>
      </c>
      <c r="BA882" t="s">
        <v>74</v>
      </c>
      <c r="BB882" t="s">
        <v>74</v>
      </c>
      <c r="BC882" t="s">
        <v>74</v>
      </c>
      <c r="BD882" t="s">
        <v>74</v>
      </c>
      <c r="BE882" t="s">
        <v>16289</v>
      </c>
      <c r="BF882" t="str">
        <f>HYPERLINK("http://dx.doi.org/10.1007/s12035-023-03560-z","http://dx.doi.org/10.1007/s12035-023-03560-z")</f>
        <v>http://dx.doi.org/10.1007/s12035-023-03560-z</v>
      </c>
      <c r="BG882" t="s">
        <v>74</v>
      </c>
      <c r="BH882" t="s">
        <v>10650</v>
      </c>
      <c r="BI882">
        <v>8</v>
      </c>
      <c r="BJ882" t="s">
        <v>3889</v>
      </c>
      <c r="BK882" t="s">
        <v>126</v>
      </c>
      <c r="BL882" t="s">
        <v>2057</v>
      </c>
      <c r="BM882" t="s">
        <v>16290</v>
      </c>
      <c r="BN882">
        <v>37592184</v>
      </c>
      <c r="BO882" t="s">
        <v>74</v>
      </c>
      <c r="BP882" t="s">
        <v>74</v>
      </c>
      <c r="BQ882" t="s">
        <v>74</v>
      </c>
      <c r="BR882" t="s">
        <v>99</v>
      </c>
      <c r="BS882" t="s">
        <v>16291</v>
      </c>
      <c r="BT882" t="str">
        <f>HYPERLINK("https%3A%2F%2Fwww.webofscience.com%2Fwos%2Fwoscc%2Ffull-record%2FWOS:001050408400004","View Full Record in Web of Science")</f>
        <v>View Full Record in Web of Science</v>
      </c>
    </row>
    <row r="883" spans="1:72" x14ac:dyDescent="0.15">
      <c r="A883" t="s">
        <v>72</v>
      </c>
      <c r="B883" t="s">
        <v>16292</v>
      </c>
      <c r="C883" t="s">
        <v>74</v>
      </c>
      <c r="D883" t="s">
        <v>74</v>
      </c>
      <c r="E883" t="s">
        <v>74</v>
      </c>
      <c r="F883" t="s">
        <v>16293</v>
      </c>
      <c r="G883" t="s">
        <v>74</v>
      </c>
      <c r="H883" t="s">
        <v>74</v>
      </c>
      <c r="I883" t="s">
        <v>16294</v>
      </c>
      <c r="J883" t="s">
        <v>16295</v>
      </c>
      <c r="K883" t="s">
        <v>74</v>
      </c>
      <c r="L883" t="s">
        <v>74</v>
      </c>
      <c r="M883" t="s">
        <v>78</v>
      </c>
      <c r="N883" t="s">
        <v>1246</v>
      </c>
      <c r="O883" t="s">
        <v>74</v>
      </c>
      <c r="P883" t="s">
        <v>74</v>
      </c>
      <c r="Q883" t="s">
        <v>74</v>
      </c>
      <c r="R883" t="s">
        <v>74</v>
      </c>
      <c r="S883" t="s">
        <v>74</v>
      </c>
      <c r="T883" t="s">
        <v>16296</v>
      </c>
      <c r="U883" t="s">
        <v>16297</v>
      </c>
      <c r="V883" t="s">
        <v>16298</v>
      </c>
      <c r="W883" t="s">
        <v>16299</v>
      </c>
      <c r="X883" t="s">
        <v>16300</v>
      </c>
      <c r="Y883" t="s">
        <v>16301</v>
      </c>
      <c r="Z883" t="s">
        <v>16302</v>
      </c>
      <c r="AA883" t="s">
        <v>16303</v>
      </c>
      <c r="AB883" t="s">
        <v>16304</v>
      </c>
      <c r="AC883" t="s">
        <v>16305</v>
      </c>
      <c r="AD883" t="s">
        <v>16306</v>
      </c>
      <c r="AE883" t="s">
        <v>16307</v>
      </c>
      <c r="AF883" t="s">
        <v>74</v>
      </c>
      <c r="AG883">
        <v>64</v>
      </c>
      <c r="AH883">
        <v>0</v>
      </c>
      <c r="AI883">
        <v>0</v>
      </c>
      <c r="AJ883">
        <v>0</v>
      </c>
      <c r="AK883">
        <v>0</v>
      </c>
      <c r="AL883" t="s">
        <v>172</v>
      </c>
      <c r="AM883" t="s">
        <v>173</v>
      </c>
      <c r="AN883" t="s">
        <v>174</v>
      </c>
      <c r="AO883" t="s">
        <v>16308</v>
      </c>
      <c r="AP883" t="s">
        <v>16309</v>
      </c>
      <c r="AQ883" t="s">
        <v>74</v>
      </c>
      <c r="AR883" t="s">
        <v>16310</v>
      </c>
      <c r="AS883" t="s">
        <v>16311</v>
      </c>
      <c r="AT883" t="s">
        <v>16266</v>
      </c>
      <c r="AU883">
        <v>2023</v>
      </c>
      <c r="AV883" t="s">
        <v>74</v>
      </c>
      <c r="AW883" t="s">
        <v>74</v>
      </c>
      <c r="AX883" t="s">
        <v>74</v>
      </c>
      <c r="AY883" t="s">
        <v>74</v>
      </c>
      <c r="AZ883" t="s">
        <v>74</v>
      </c>
      <c r="BA883" t="s">
        <v>74</v>
      </c>
      <c r="BB883" t="s">
        <v>74</v>
      </c>
      <c r="BC883" t="s">
        <v>74</v>
      </c>
      <c r="BD883" t="s">
        <v>74</v>
      </c>
      <c r="BE883" t="s">
        <v>16312</v>
      </c>
      <c r="BF883" t="str">
        <f>HYPERLINK("http://dx.doi.org/10.1007/s11579-023-00342-y","http://dx.doi.org/10.1007/s11579-023-00342-y")</f>
        <v>http://dx.doi.org/10.1007/s11579-023-00342-y</v>
      </c>
      <c r="BG883" t="s">
        <v>74</v>
      </c>
      <c r="BH883" t="s">
        <v>10650</v>
      </c>
      <c r="BI883">
        <v>38</v>
      </c>
      <c r="BJ883" t="s">
        <v>16313</v>
      </c>
      <c r="BK883" t="s">
        <v>2431</v>
      </c>
      <c r="BL883" t="s">
        <v>16314</v>
      </c>
      <c r="BM883" t="s">
        <v>16315</v>
      </c>
      <c r="BN883" t="s">
        <v>74</v>
      </c>
      <c r="BO883" t="s">
        <v>1328</v>
      </c>
      <c r="BP883" t="s">
        <v>74</v>
      </c>
      <c r="BQ883" t="s">
        <v>74</v>
      </c>
      <c r="BR883" t="s">
        <v>99</v>
      </c>
      <c r="BS883" t="s">
        <v>16316</v>
      </c>
      <c r="BT883" t="str">
        <f>HYPERLINK("https%3A%2F%2Fwww.webofscience.com%2Fwos%2Fwoscc%2Ffull-record%2FWOS:001049905100001","View Full Record in Web of Science")</f>
        <v>View Full Record in Web of Science</v>
      </c>
    </row>
    <row r="884" spans="1:72" x14ac:dyDescent="0.15">
      <c r="A884" t="s">
        <v>72</v>
      </c>
      <c r="B884" t="s">
        <v>16317</v>
      </c>
      <c r="C884" t="s">
        <v>74</v>
      </c>
      <c r="D884" t="s">
        <v>74</v>
      </c>
      <c r="E884" t="s">
        <v>74</v>
      </c>
      <c r="F884" t="s">
        <v>16318</v>
      </c>
      <c r="G884" t="s">
        <v>74</v>
      </c>
      <c r="H884" t="s">
        <v>74</v>
      </c>
      <c r="I884" t="s">
        <v>16319</v>
      </c>
      <c r="J884" t="s">
        <v>16112</v>
      </c>
      <c r="K884" t="s">
        <v>74</v>
      </c>
      <c r="L884" t="s">
        <v>74</v>
      </c>
      <c r="M884" t="s">
        <v>78</v>
      </c>
      <c r="N884" t="s">
        <v>79</v>
      </c>
      <c r="O884" t="s">
        <v>74</v>
      </c>
      <c r="P884" t="s">
        <v>74</v>
      </c>
      <c r="Q884" t="s">
        <v>74</v>
      </c>
      <c r="R884" t="s">
        <v>74</v>
      </c>
      <c r="S884" t="s">
        <v>74</v>
      </c>
      <c r="T884" t="s">
        <v>16320</v>
      </c>
      <c r="U884" t="s">
        <v>16321</v>
      </c>
      <c r="V884" t="s">
        <v>16322</v>
      </c>
      <c r="W884" t="s">
        <v>16323</v>
      </c>
      <c r="X884" t="s">
        <v>2607</v>
      </c>
      <c r="Y884" t="s">
        <v>16324</v>
      </c>
      <c r="Z884" t="s">
        <v>16325</v>
      </c>
      <c r="AA884" t="s">
        <v>74</v>
      </c>
      <c r="AB884" t="s">
        <v>74</v>
      </c>
      <c r="AC884" t="s">
        <v>74</v>
      </c>
      <c r="AD884" t="s">
        <v>74</v>
      </c>
      <c r="AE884" t="s">
        <v>74</v>
      </c>
      <c r="AF884" t="s">
        <v>74</v>
      </c>
      <c r="AG884">
        <v>19</v>
      </c>
      <c r="AH884">
        <v>0</v>
      </c>
      <c r="AI884">
        <v>0</v>
      </c>
      <c r="AJ884">
        <v>0</v>
      </c>
      <c r="AK884">
        <v>0</v>
      </c>
      <c r="AL884" t="s">
        <v>117</v>
      </c>
      <c r="AM884" t="s">
        <v>118</v>
      </c>
      <c r="AN884" t="s">
        <v>119</v>
      </c>
      <c r="AO884" t="s">
        <v>16123</v>
      </c>
      <c r="AP884" t="s">
        <v>74</v>
      </c>
      <c r="AQ884" t="s">
        <v>74</v>
      </c>
      <c r="AR884" t="s">
        <v>16124</v>
      </c>
      <c r="AS884" t="s">
        <v>16125</v>
      </c>
      <c r="AT884" t="s">
        <v>16153</v>
      </c>
      <c r="AU884">
        <v>2023</v>
      </c>
      <c r="AV884" t="s">
        <v>74</v>
      </c>
      <c r="AW884">
        <v>8</v>
      </c>
      <c r="AX884" t="s">
        <v>74</v>
      </c>
      <c r="AY884" t="s">
        <v>74</v>
      </c>
      <c r="AZ884" t="s">
        <v>74</v>
      </c>
      <c r="BA884" t="s">
        <v>74</v>
      </c>
      <c r="BB884" t="s">
        <v>74</v>
      </c>
      <c r="BC884" t="s">
        <v>74</v>
      </c>
      <c r="BD884">
        <v>96</v>
      </c>
      <c r="BE884" t="s">
        <v>16326</v>
      </c>
      <c r="BF884" t="str">
        <f>HYPERLINK("http://dx.doi.org/10.1007/JHEP08(2023)096","http://dx.doi.org/10.1007/JHEP08(2023)096")</f>
        <v>http://dx.doi.org/10.1007/JHEP08(2023)096</v>
      </c>
      <c r="BG884" t="s">
        <v>74</v>
      </c>
      <c r="BH884" t="s">
        <v>74</v>
      </c>
      <c r="BI884">
        <v>40</v>
      </c>
      <c r="BJ884" t="s">
        <v>15335</v>
      </c>
      <c r="BK884" t="s">
        <v>126</v>
      </c>
      <c r="BL884" t="s">
        <v>387</v>
      </c>
      <c r="BM884" t="s">
        <v>16327</v>
      </c>
      <c r="BN884" t="s">
        <v>74</v>
      </c>
      <c r="BO884" t="s">
        <v>302</v>
      </c>
      <c r="BP884" t="s">
        <v>74</v>
      </c>
      <c r="BQ884" t="s">
        <v>74</v>
      </c>
      <c r="BR884" t="s">
        <v>99</v>
      </c>
      <c r="BS884" t="s">
        <v>16328</v>
      </c>
      <c r="BT884" t="str">
        <f>HYPERLINK("https%3A%2F%2Fwww.webofscience.com%2Fwos%2Fwoscc%2Ffull-record%2FWOS:001050076700003","View Full Record in Web of Science")</f>
        <v>View Full Record in Web of Science</v>
      </c>
    </row>
    <row r="885" spans="1:72" x14ac:dyDescent="0.15">
      <c r="A885" t="s">
        <v>72</v>
      </c>
      <c r="B885" t="s">
        <v>16329</v>
      </c>
      <c r="C885" t="s">
        <v>74</v>
      </c>
      <c r="D885" t="s">
        <v>74</v>
      </c>
      <c r="E885" t="s">
        <v>74</v>
      </c>
      <c r="F885" t="s">
        <v>16330</v>
      </c>
      <c r="G885" t="s">
        <v>74</v>
      </c>
      <c r="H885" t="s">
        <v>74</v>
      </c>
      <c r="I885" t="s">
        <v>16331</v>
      </c>
      <c r="J885" t="s">
        <v>16332</v>
      </c>
      <c r="K885" t="s">
        <v>74</v>
      </c>
      <c r="L885" t="s">
        <v>74</v>
      </c>
      <c r="M885" t="s">
        <v>78</v>
      </c>
      <c r="N885" t="s">
        <v>79</v>
      </c>
      <c r="O885" t="s">
        <v>74</v>
      </c>
      <c r="P885" t="s">
        <v>74</v>
      </c>
      <c r="Q885" t="s">
        <v>74</v>
      </c>
      <c r="R885" t="s">
        <v>74</v>
      </c>
      <c r="S885" t="s">
        <v>74</v>
      </c>
      <c r="T885" t="s">
        <v>16333</v>
      </c>
      <c r="U885" t="s">
        <v>16334</v>
      </c>
      <c r="V885" t="s">
        <v>16335</v>
      </c>
      <c r="W885" t="s">
        <v>16336</v>
      </c>
      <c r="X885" t="s">
        <v>16337</v>
      </c>
      <c r="Y885" t="s">
        <v>16338</v>
      </c>
      <c r="Z885" t="s">
        <v>16339</v>
      </c>
      <c r="AA885" t="s">
        <v>74</v>
      </c>
      <c r="AB885" t="s">
        <v>16340</v>
      </c>
      <c r="AC885" t="s">
        <v>74</v>
      </c>
      <c r="AD885" t="s">
        <v>74</v>
      </c>
      <c r="AE885" t="s">
        <v>74</v>
      </c>
      <c r="AF885" t="s">
        <v>74</v>
      </c>
      <c r="AG885">
        <v>15</v>
      </c>
      <c r="AH885">
        <v>0</v>
      </c>
      <c r="AI885">
        <v>0</v>
      </c>
      <c r="AJ885">
        <v>0</v>
      </c>
      <c r="AK885">
        <v>0</v>
      </c>
      <c r="AL885" t="s">
        <v>317</v>
      </c>
      <c r="AM885" t="s">
        <v>245</v>
      </c>
      <c r="AN885" t="s">
        <v>318</v>
      </c>
      <c r="AO885" t="s">
        <v>74</v>
      </c>
      <c r="AP885" t="s">
        <v>16341</v>
      </c>
      <c r="AQ885" t="s">
        <v>74</v>
      </c>
      <c r="AR885" t="s">
        <v>16342</v>
      </c>
      <c r="AS885" t="s">
        <v>16343</v>
      </c>
      <c r="AT885" t="s">
        <v>16153</v>
      </c>
      <c r="AU885">
        <v>2023</v>
      </c>
      <c r="AV885">
        <v>5</v>
      </c>
      <c r="AW885">
        <v>1</v>
      </c>
      <c r="AX885" t="s">
        <v>74</v>
      </c>
      <c r="AY885" t="s">
        <v>74</v>
      </c>
      <c r="AZ885" t="s">
        <v>74</v>
      </c>
      <c r="BA885" t="s">
        <v>74</v>
      </c>
      <c r="BB885" t="s">
        <v>74</v>
      </c>
      <c r="BC885" t="s">
        <v>74</v>
      </c>
      <c r="BD885">
        <v>38</v>
      </c>
      <c r="BE885" t="s">
        <v>16344</v>
      </c>
      <c r="BF885" t="str">
        <f>HYPERLINK("http://dx.doi.org/10.1186/s42466-023-00268-2","http://dx.doi.org/10.1186/s42466-023-00268-2")</f>
        <v>http://dx.doi.org/10.1186/s42466-023-00268-2</v>
      </c>
      <c r="BG885" t="s">
        <v>74</v>
      </c>
      <c r="BH885" t="s">
        <v>74</v>
      </c>
      <c r="BI885">
        <v>7</v>
      </c>
      <c r="BJ885" t="s">
        <v>2056</v>
      </c>
      <c r="BK885" t="s">
        <v>97</v>
      </c>
      <c r="BL885" t="s">
        <v>2057</v>
      </c>
      <c r="BM885" t="s">
        <v>16345</v>
      </c>
      <c r="BN885">
        <v>37587538</v>
      </c>
      <c r="BO885" t="s">
        <v>981</v>
      </c>
      <c r="BP885" t="s">
        <v>74</v>
      </c>
      <c r="BQ885" t="s">
        <v>74</v>
      </c>
      <c r="BR885" t="s">
        <v>99</v>
      </c>
      <c r="BS885" t="s">
        <v>16346</v>
      </c>
      <c r="BT885" t="str">
        <f>HYPERLINK("https%3A%2F%2Fwww.webofscience.com%2Fwos%2Fwoscc%2Ffull-record%2FWOS:001048632700002","View Full Record in Web of Science")</f>
        <v>View Full Record in Web of Science</v>
      </c>
    </row>
    <row r="886" spans="1:72" x14ac:dyDescent="0.15">
      <c r="A886" t="s">
        <v>72</v>
      </c>
      <c r="B886" t="s">
        <v>16347</v>
      </c>
      <c r="C886" t="s">
        <v>74</v>
      </c>
      <c r="D886" t="s">
        <v>74</v>
      </c>
      <c r="E886" t="s">
        <v>74</v>
      </c>
      <c r="F886" t="s">
        <v>16348</v>
      </c>
      <c r="G886" t="s">
        <v>74</v>
      </c>
      <c r="H886" t="s">
        <v>74</v>
      </c>
      <c r="I886" t="s">
        <v>16349</v>
      </c>
      <c r="J886" t="s">
        <v>16350</v>
      </c>
      <c r="K886" t="s">
        <v>74</v>
      </c>
      <c r="L886" t="s">
        <v>74</v>
      </c>
      <c r="M886" t="s">
        <v>78</v>
      </c>
      <c r="N886" t="s">
        <v>1246</v>
      </c>
      <c r="O886" t="s">
        <v>74</v>
      </c>
      <c r="P886" t="s">
        <v>74</v>
      </c>
      <c r="Q886" t="s">
        <v>74</v>
      </c>
      <c r="R886" t="s">
        <v>74</v>
      </c>
      <c r="S886" t="s">
        <v>74</v>
      </c>
      <c r="T886" t="s">
        <v>16351</v>
      </c>
      <c r="U886" t="s">
        <v>16352</v>
      </c>
      <c r="V886" t="s">
        <v>16353</v>
      </c>
      <c r="W886" t="s">
        <v>16354</v>
      </c>
      <c r="X886" t="s">
        <v>14795</v>
      </c>
      <c r="Y886" t="s">
        <v>16355</v>
      </c>
      <c r="Z886" t="s">
        <v>16356</v>
      </c>
      <c r="AA886" t="s">
        <v>74</v>
      </c>
      <c r="AB886" t="s">
        <v>74</v>
      </c>
      <c r="AC886" t="s">
        <v>74</v>
      </c>
      <c r="AD886" t="s">
        <v>74</v>
      </c>
      <c r="AE886" t="s">
        <v>74</v>
      </c>
      <c r="AF886" t="s">
        <v>74</v>
      </c>
      <c r="AG886">
        <v>39</v>
      </c>
      <c r="AH886">
        <v>0</v>
      </c>
      <c r="AI886">
        <v>0</v>
      </c>
      <c r="AJ886">
        <v>1</v>
      </c>
      <c r="AK886">
        <v>1</v>
      </c>
      <c r="AL886" t="s">
        <v>172</v>
      </c>
      <c r="AM886" t="s">
        <v>173</v>
      </c>
      <c r="AN886" t="s">
        <v>174</v>
      </c>
      <c r="AO886" t="s">
        <v>16357</v>
      </c>
      <c r="AP886" t="s">
        <v>16358</v>
      </c>
      <c r="AQ886" t="s">
        <v>74</v>
      </c>
      <c r="AR886" t="s">
        <v>16359</v>
      </c>
      <c r="AS886" t="s">
        <v>16360</v>
      </c>
      <c r="AT886" t="s">
        <v>16266</v>
      </c>
      <c r="AU886">
        <v>2023</v>
      </c>
      <c r="AV886" t="s">
        <v>74</v>
      </c>
      <c r="AW886" t="s">
        <v>74</v>
      </c>
      <c r="AX886" t="s">
        <v>74</v>
      </c>
      <c r="AY886" t="s">
        <v>74</v>
      </c>
      <c r="AZ886" t="s">
        <v>74</v>
      </c>
      <c r="BA886" t="s">
        <v>74</v>
      </c>
      <c r="BB886" t="s">
        <v>74</v>
      </c>
      <c r="BC886" t="s">
        <v>74</v>
      </c>
      <c r="BD886" t="s">
        <v>74</v>
      </c>
      <c r="BE886" t="s">
        <v>16361</v>
      </c>
      <c r="BF886" t="str">
        <f>HYPERLINK("http://dx.doi.org/10.1007/s00784-023-05202-z","http://dx.doi.org/10.1007/s00784-023-05202-z")</f>
        <v>http://dx.doi.org/10.1007/s00784-023-05202-z</v>
      </c>
      <c r="BG886" t="s">
        <v>74</v>
      </c>
      <c r="BH886" t="s">
        <v>10650</v>
      </c>
      <c r="BI886">
        <v>7</v>
      </c>
      <c r="BJ886" t="s">
        <v>3486</v>
      </c>
      <c r="BK886" t="s">
        <v>126</v>
      </c>
      <c r="BL886" t="s">
        <v>3486</v>
      </c>
      <c r="BM886" t="s">
        <v>16362</v>
      </c>
      <c r="BN886">
        <v>37589747</v>
      </c>
      <c r="BO886" t="s">
        <v>183</v>
      </c>
      <c r="BP886" t="s">
        <v>74</v>
      </c>
      <c r="BQ886" t="s">
        <v>74</v>
      </c>
      <c r="BR886" t="s">
        <v>99</v>
      </c>
      <c r="BS886" t="s">
        <v>16363</v>
      </c>
      <c r="BT886" t="str">
        <f>HYPERLINK("https%3A%2F%2Fwww.webofscience.com%2Fwos%2Fwoscc%2Ffull-record%2FWOS:001050380600002","View Full Record in Web of Science")</f>
        <v>View Full Record in Web of Science</v>
      </c>
    </row>
    <row r="887" spans="1:72" x14ac:dyDescent="0.15">
      <c r="A887" t="s">
        <v>72</v>
      </c>
      <c r="B887" t="s">
        <v>16364</v>
      </c>
      <c r="C887" t="s">
        <v>74</v>
      </c>
      <c r="D887" t="s">
        <v>74</v>
      </c>
      <c r="E887" t="s">
        <v>74</v>
      </c>
      <c r="F887" t="s">
        <v>16365</v>
      </c>
      <c r="G887" t="s">
        <v>74</v>
      </c>
      <c r="H887" t="s">
        <v>74</v>
      </c>
      <c r="I887" t="s">
        <v>16366</v>
      </c>
      <c r="J887" t="s">
        <v>16112</v>
      </c>
      <c r="K887" t="s">
        <v>74</v>
      </c>
      <c r="L887" t="s">
        <v>74</v>
      </c>
      <c r="M887" t="s">
        <v>78</v>
      </c>
      <c r="N887" t="s">
        <v>79</v>
      </c>
      <c r="O887" t="s">
        <v>74</v>
      </c>
      <c r="P887" t="s">
        <v>74</v>
      </c>
      <c r="Q887" t="s">
        <v>74</v>
      </c>
      <c r="R887" t="s">
        <v>74</v>
      </c>
      <c r="S887" t="s">
        <v>74</v>
      </c>
      <c r="T887" t="s">
        <v>16367</v>
      </c>
      <c r="U887" t="s">
        <v>74</v>
      </c>
      <c r="V887" t="s">
        <v>16368</v>
      </c>
      <c r="W887" t="s">
        <v>16369</v>
      </c>
      <c r="X887" t="s">
        <v>16370</v>
      </c>
      <c r="Y887" t="s">
        <v>16371</v>
      </c>
      <c r="Z887" t="s">
        <v>16372</v>
      </c>
      <c r="AA887" t="s">
        <v>74</v>
      </c>
      <c r="AB887" t="s">
        <v>74</v>
      </c>
      <c r="AC887" t="s">
        <v>74</v>
      </c>
      <c r="AD887" t="s">
        <v>74</v>
      </c>
      <c r="AE887" t="s">
        <v>74</v>
      </c>
      <c r="AF887" t="s">
        <v>74</v>
      </c>
      <c r="AG887">
        <v>37</v>
      </c>
      <c r="AH887">
        <v>0</v>
      </c>
      <c r="AI887">
        <v>0</v>
      </c>
      <c r="AJ887">
        <v>0</v>
      </c>
      <c r="AK887">
        <v>0</v>
      </c>
      <c r="AL887" t="s">
        <v>117</v>
      </c>
      <c r="AM887" t="s">
        <v>118</v>
      </c>
      <c r="AN887" t="s">
        <v>119</v>
      </c>
      <c r="AO887" t="s">
        <v>16123</v>
      </c>
      <c r="AP887" t="s">
        <v>74</v>
      </c>
      <c r="AQ887" t="s">
        <v>74</v>
      </c>
      <c r="AR887" t="s">
        <v>16124</v>
      </c>
      <c r="AS887" t="s">
        <v>16125</v>
      </c>
      <c r="AT887" t="s">
        <v>16153</v>
      </c>
      <c r="AU887">
        <v>2023</v>
      </c>
      <c r="AV887" t="s">
        <v>74</v>
      </c>
      <c r="AW887">
        <v>8</v>
      </c>
      <c r="AX887" t="s">
        <v>74</v>
      </c>
      <c r="AY887" t="s">
        <v>74</v>
      </c>
      <c r="AZ887" t="s">
        <v>74</v>
      </c>
      <c r="BA887" t="s">
        <v>74</v>
      </c>
      <c r="BB887" t="s">
        <v>74</v>
      </c>
      <c r="BC887" t="s">
        <v>74</v>
      </c>
      <c r="BD887">
        <v>94</v>
      </c>
      <c r="BE887" t="s">
        <v>16373</v>
      </c>
      <c r="BF887" t="str">
        <f>HYPERLINK("http://dx.doi.org/10.1007/JHEP08(2023)094","http://dx.doi.org/10.1007/JHEP08(2023)094")</f>
        <v>http://dx.doi.org/10.1007/JHEP08(2023)094</v>
      </c>
      <c r="BG887" t="s">
        <v>74</v>
      </c>
      <c r="BH887" t="s">
        <v>74</v>
      </c>
      <c r="BI887">
        <v>34</v>
      </c>
      <c r="BJ887" t="s">
        <v>15335</v>
      </c>
      <c r="BK887" t="s">
        <v>126</v>
      </c>
      <c r="BL887" t="s">
        <v>387</v>
      </c>
      <c r="BM887" t="s">
        <v>16327</v>
      </c>
      <c r="BN887" t="s">
        <v>74</v>
      </c>
      <c r="BO887" t="s">
        <v>540</v>
      </c>
      <c r="BP887" t="s">
        <v>74</v>
      </c>
      <c r="BQ887" t="s">
        <v>74</v>
      </c>
      <c r="BR887" t="s">
        <v>99</v>
      </c>
      <c r="BS887" t="s">
        <v>16374</v>
      </c>
      <c r="BT887" t="str">
        <f>HYPERLINK("https%3A%2F%2Fwww.webofscience.com%2Fwos%2Fwoscc%2Ffull-record%2FWOS:001050076700004","View Full Record in Web of Science")</f>
        <v>View Full Record in Web of Science</v>
      </c>
    </row>
    <row r="888" spans="1:72" x14ac:dyDescent="0.15">
      <c r="A888" t="s">
        <v>72</v>
      </c>
      <c r="B888" t="s">
        <v>16375</v>
      </c>
      <c r="C888" t="s">
        <v>74</v>
      </c>
      <c r="D888" t="s">
        <v>74</v>
      </c>
      <c r="E888" t="s">
        <v>74</v>
      </c>
      <c r="F888" t="s">
        <v>16376</v>
      </c>
      <c r="G888" t="s">
        <v>74</v>
      </c>
      <c r="H888" t="s">
        <v>74</v>
      </c>
      <c r="I888" t="s">
        <v>16377</v>
      </c>
      <c r="J888" t="s">
        <v>16378</v>
      </c>
      <c r="K888" t="s">
        <v>74</v>
      </c>
      <c r="L888" t="s">
        <v>74</v>
      </c>
      <c r="M888" t="s">
        <v>4349</v>
      </c>
      <c r="N888" t="s">
        <v>3139</v>
      </c>
      <c r="O888" t="s">
        <v>74</v>
      </c>
      <c r="P888" t="s">
        <v>74</v>
      </c>
      <c r="Q888" t="s">
        <v>74</v>
      </c>
      <c r="R888" t="s">
        <v>74</v>
      </c>
      <c r="S888" t="s">
        <v>74</v>
      </c>
      <c r="T888" t="s">
        <v>74</v>
      </c>
      <c r="U888" t="s">
        <v>16379</v>
      </c>
      <c r="V888" t="s">
        <v>74</v>
      </c>
      <c r="W888" t="s">
        <v>16380</v>
      </c>
      <c r="X888" t="s">
        <v>16381</v>
      </c>
      <c r="Y888" t="s">
        <v>16382</v>
      </c>
      <c r="Z888" t="s">
        <v>16383</v>
      </c>
      <c r="AA888" t="s">
        <v>16384</v>
      </c>
      <c r="AB888" t="s">
        <v>16385</v>
      </c>
      <c r="AC888" t="s">
        <v>74</v>
      </c>
      <c r="AD888" t="s">
        <v>74</v>
      </c>
      <c r="AE888" t="s">
        <v>74</v>
      </c>
      <c r="AF888" t="s">
        <v>74</v>
      </c>
      <c r="AG888">
        <v>17</v>
      </c>
      <c r="AH888">
        <v>0</v>
      </c>
      <c r="AI888">
        <v>0</v>
      </c>
      <c r="AJ888">
        <v>0</v>
      </c>
      <c r="AK888">
        <v>0</v>
      </c>
      <c r="AL888" t="s">
        <v>172</v>
      </c>
      <c r="AM888" t="s">
        <v>173</v>
      </c>
      <c r="AN888" t="s">
        <v>174</v>
      </c>
      <c r="AO888" t="s">
        <v>16386</v>
      </c>
      <c r="AP888" t="s">
        <v>16387</v>
      </c>
      <c r="AQ888" t="s">
        <v>74</v>
      </c>
      <c r="AR888" t="s">
        <v>16388</v>
      </c>
      <c r="AS888" t="s">
        <v>16389</v>
      </c>
      <c r="AT888" t="s">
        <v>16266</v>
      </c>
      <c r="AU888">
        <v>2023</v>
      </c>
      <c r="AV888" t="s">
        <v>74</v>
      </c>
      <c r="AW888" t="s">
        <v>74</v>
      </c>
      <c r="AX888" t="s">
        <v>74</v>
      </c>
      <c r="AY888" t="s">
        <v>74</v>
      </c>
      <c r="AZ888" t="s">
        <v>74</v>
      </c>
      <c r="BA888" t="s">
        <v>74</v>
      </c>
      <c r="BB888" t="s">
        <v>74</v>
      </c>
      <c r="BC888" t="s">
        <v>74</v>
      </c>
      <c r="BD888" t="s">
        <v>74</v>
      </c>
      <c r="BE888" t="s">
        <v>16390</v>
      </c>
      <c r="BF888" t="str">
        <f>HYPERLINK("http://dx.doi.org/10.1007/s00398-023-00603-4","http://dx.doi.org/10.1007/s00398-023-00603-4")</f>
        <v>http://dx.doi.org/10.1007/s00398-023-00603-4</v>
      </c>
      <c r="BG888" t="s">
        <v>74</v>
      </c>
      <c r="BH888" t="s">
        <v>10650</v>
      </c>
      <c r="BI888">
        <v>4</v>
      </c>
      <c r="BJ888" t="s">
        <v>8785</v>
      </c>
      <c r="BK888" t="s">
        <v>97</v>
      </c>
      <c r="BL888" t="s">
        <v>6249</v>
      </c>
      <c r="BM888" t="s">
        <v>16391</v>
      </c>
      <c r="BN888" t="s">
        <v>74</v>
      </c>
      <c r="BO888" t="s">
        <v>74</v>
      </c>
      <c r="BP888" t="s">
        <v>74</v>
      </c>
      <c r="BQ888" t="s">
        <v>74</v>
      </c>
      <c r="BR888" t="s">
        <v>99</v>
      </c>
      <c r="BS888" t="s">
        <v>16392</v>
      </c>
      <c r="BT888" t="str">
        <f>HYPERLINK("https%3A%2F%2Fwww.webofscience.com%2Fwos%2Fwoscc%2Ffull-record%2FWOS:001050389300001","View Full Record in Web of Science")</f>
        <v>View Full Record in Web of Science</v>
      </c>
    </row>
    <row r="889" spans="1:72" x14ac:dyDescent="0.15">
      <c r="A889" t="s">
        <v>72</v>
      </c>
      <c r="B889" t="s">
        <v>16393</v>
      </c>
      <c r="C889" t="s">
        <v>74</v>
      </c>
      <c r="D889" t="s">
        <v>74</v>
      </c>
      <c r="E889" t="s">
        <v>74</v>
      </c>
      <c r="F889" t="s">
        <v>16394</v>
      </c>
      <c r="G889" t="s">
        <v>74</v>
      </c>
      <c r="H889" t="s">
        <v>74</v>
      </c>
      <c r="I889" t="s">
        <v>16395</v>
      </c>
      <c r="J889" t="s">
        <v>5155</v>
      </c>
      <c r="K889" t="s">
        <v>74</v>
      </c>
      <c r="L889" t="s">
        <v>74</v>
      </c>
      <c r="M889" t="s">
        <v>78</v>
      </c>
      <c r="N889" t="s">
        <v>1246</v>
      </c>
      <c r="O889" t="s">
        <v>74</v>
      </c>
      <c r="P889" t="s">
        <v>74</v>
      </c>
      <c r="Q889" t="s">
        <v>74</v>
      </c>
      <c r="R889" t="s">
        <v>74</v>
      </c>
      <c r="S889" t="s">
        <v>74</v>
      </c>
      <c r="T889" t="s">
        <v>16396</v>
      </c>
      <c r="U889" t="s">
        <v>16397</v>
      </c>
      <c r="V889" t="s">
        <v>16398</v>
      </c>
      <c r="W889" t="s">
        <v>16399</v>
      </c>
      <c r="X889" t="s">
        <v>16400</v>
      </c>
      <c r="Y889" t="s">
        <v>16401</v>
      </c>
      <c r="Z889" t="s">
        <v>16402</v>
      </c>
      <c r="AA889" t="s">
        <v>74</v>
      </c>
      <c r="AB889" t="s">
        <v>16403</v>
      </c>
      <c r="AC889" t="s">
        <v>74</v>
      </c>
      <c r="AD889" t="s">
        <v>74</v>
      </c>
      <c r="AE889" t="s">
        <v>74</v>
      </c>
      <c r="AF889" t="s">
        <v>74</v>
      </c>
      <c r="AG889">
        <v>67</v>
      </c>
      <c r="AH889">
        <v>0</v>
      </c>
      <c r="AI889">
        <v>0</v>
      </c>
      <c r="AJ889">
        <v>1</v>
      </c>
      <c r="AK889">
        <v>1</v>
      </c>
      <c r="AL889" t="s">
        <v>5165</v>
      </c>
      <c r="AM889" t="s">
        <v>5166</v>
      </c>
      <c r="AN889" t="s">
        <v>5167</v>
      </c>
      <c r="AO889" t="s">
        <v>5168</v>
      </c>
      <c r="AP889" t="s">
        <v>5169</v>
      </c>
      <c r="AQ889" t="s">
        <v>74</v>
      </c>
      <c r="AR889" t="s">
        <v>5170</v>
      </c>
      <c r="AS889" t="s">
        <v>5171</v>
      </c>
      <c r="AT889" t="s">
        <v>16266</v>
      </c>
      <c r="AU889">
        <v>2023</v>
      </c>
      <c r="AV889" t="s">
        <v>74</v>
      </c>
      <c r="AW889" t="s">
        <v>74</v>
      </c>
      <c r="AX889" t="s">
        <v>74</v>
      </c>
      <c r="AY889" t="s">
        <v>74</v>
      </c>
      <c r="AZ889" t="s">
        <v>74</v>
      </c>
      <c r="BA889" t="s">
        <v>74</v>
      </c>
      <c r="BB889" t="s">
        <v>74</v>
      </c>
      <c r="BC889" t="s">
        <v>74</v>
      </c>
      <c r="BD889" t="s">
        <v>74</v>
      </c>
      <c r="BE889" t="s">
        <v>16404</v>
      </c>
      <c r="BF889" t="str">
        <f>HYPERLINK("http://dx.doi.org/10.1007/s11612-023-00702-8","http://dx.doi.org/10.1007/s11612-023-00702-8")</f>
        <v>http://dx.doi.org/10.1007/s11612-023-00702-8</v>
      </c>
      <c r="BG889" t="s">
        <v>74</v>
      </c>
      <c r="BH889" t="s">
        <v>10650</v>
      </c>
      <c r="BI889">
        <v>11</v>
      </c>
      <c r="BJ889" t="s">
        <v>5173</v>
      </c>
      <c r="BK889" t="s">
        <v>97</v>
      </c>
      <c r="BL889" t="s">
        <v>2907</v>
      </c>
      <c r="BM889" t="s">
        <v>16405</v>
      </c>
      <c r="BN889" t="s">
        <v>74</v>
      </c>
      <c r="BO889" t="s">
        <v>183</v>
      </c>
      <c r="BP889" t="s">
        <v>74</v>
      </c>
      <c r="BQ889" t="s">
        <v>74</v>
      </c>
      <c r="BR889" t="s">
        <v>99</v>
      </c>
      <c r="BS889" t="s">
        <v>16406</v>
      </c>
      <c r="BT889" t="str">
        <f>HYPERLINK("https%3A%2F%2Fwww.webofscience.com%2Fwos%2Fwoscc%2Ffull-record%2FWOS:001049172000001","View Full Record in Web of Science")</f>
        <v>View Full Record in Web of Science</v>
      </c>
    </row>
    <row r="890" spans="1:72" x14ac:dyDescent="0.15">
      <c r="A890" t="s">
        <v>72</v>
      </c>
      <c r="B890" t="s">
        <v>16407</v>
      </c>
      <c r="C890" t="s">
        <v>74</v>
      </c>
      <c r="D890" t="s">
        <v>74</v>
      </c>
      <c r="E890" t="s">
        <v>74</v>
      </c>
      <c r="F890" t="s">
        <v>16408</v>
      </c>
      <c r="G890" t="s">
        <v>74</v>
      </c>
      <c r="H890" t="s">
        <v>74</v>
      </c>
      <c r="I890" t="s">
        <v>16409</v>
      </c>
      <c r="J890" t="s">
        <v>6851</v>
      </c>
      <c r="K890" t="s">
        <v>74</v>
      </c>
      <c r="L890" t="s">
        <v>74</v>
      </c>
      <c r="M890" t="s">
        <v>78</v>
      </c>
      <c r="N890" t="s">
        <v>1246</v>
      </c>
      <c r="O890" t="s">
        <v>74</v>
      </c>
      <c r="P890" t="s">
        <v>74</v>
      </c>
      <c r="Q890" t="s">
        <v>74</v>
      </c>
      <c r="R890" t="s">
        <v>74</v>
      </c>
      <c r="S890" t="s">
        <v>74</v>
      </c>
      <c r="T890" t="s">
        <v>16410</v>
      </c>
      <c r="U890" t="s">
        <v>16411</v>
      </c>
      <c r="V890" t="s">
        <v>16412</v>
      </c>
      <c r="W890" t="s">
        <v>16413</v>
      </c>
      <c r="X890" t="s">
        <v>16414</v>
      </c>
      <c r="Y890" t="s">
        <v>16415</v>
      </c>
      <c r="Z890" t="s">
        <v>16416</v>
      </c>
      <c r="AA890" t="s">
        <v>74</v>
      </c>
      <c r="AB890" t="s">
        <v>74</v>
      </c>
      <c r="AC890" t="s">
        <v>16417</v>
      </c>
      <c r="AD890" t="s">
        <v>16418</v>
      </c>
      <c r="AE890" t="s">
        <v>16419</v>
      </c>
      <c r="AF890" t="s">
        <v>74</v>
      </c>
      <c r="AG890">
        <v>34</v>
      </c>
      <c r="AH890">
        <v>0</v>
      </c>
      <c r="AI890">
        <v>0</v>
      </c>
      <c r="AJ890">
        <v>0</v>
      </c>
      <c r="AK890">
        <v>0</v>
      </c>
      <c r="AL890" t="s">
        <v>117</v>
      </c>
      <c r="AM890" t="s">
        <v>118</v>
      </c>
      <c r="AN890" t="s">
        <v>119</v>
      </c>
      <c r="AO890" t="s">
        <v>6862</v>
      </c>
      <c r="AP890" t="s">
        <v>6863</v>
      </c>
      <c r="AQ890" t="s">
        <v>74</v>
      </c>
      <c r="AR890" t="s">
        <v>6864</v>
      </c>
      <c r="AS890" t="s">
        <v>6865</v>
      </c>
      <c r="AT890" t="s">
        <v>16266</v>
      </c>
      <c r="AU890">
        <v>2023</v>
      </c>
      <c r="AV890" t="s">
        <v>74</v>
      </c>
      <c r="AW890" t="s">
        <v>74</v>
      </c>
      <c r="AX890" t="s">
        <v>74</v>
      </c>
      <c r="AY890" t="s">
        <v>74</v>
      </c>
      <c r="AZ890" t="s">
        <v>74</v>
      </c>
      <c r="BA890" t="s">
        <v>74</v>
      </c>
      <c r="BB890" t="s">
        <v>74</v>
      </c>
      <c r="BC890" t="s">
        <v>74</v>
      </c>
      <c r="BD890" t="s">
        <v>74</v>
      </c>
      <c r="BE890" t="s">
        <v>16420</v>
      </c>
      <c r="BF890" t="str">
        <f>HYPERLINK("http://dx.doi.org/10.1007/s00432-023-05234-8","http://dx.doi.org/10.1007/s00432-023-05234-8")</f>
        <v>http://dx.doi.org/10.1007/s00432-023-05234-8</v>
      </c>
      <c r="BG890" t="s">
        <v>74</v>
      </c>
      <c r="BH890" t="s">
        <v>10650</v>
      </c>
      <c r="BI890">
        <v>16</v>
      </c>
      <c r="BJ890" t="s">
        <v>1951</v>
      </c>
      <c r="BK890" t="s">
        <v>126</v>
      </c>
      <c r="BL890" t="s">
        <v>1951</v>
      </c>
      <c r="BM890" t="s">
        <v>16421</v>
      </c>
      <c r="BN890">
        <v>37592033</v>
      </c>
      <c r="BO890" t="s">
        <v>74</v>
      </c>
      <c r="BP890" t="s">
        <v>74</v>
      </c>
      <c r="BQ890" t="s">
        <v>74</v>
      </c>
      <c r="BR890" t="s">
        <v>99</v>
      </c>
      <c r="BS890" t="s">
        <v>16422</v>
      </c>
      <c r="BT890" t="str">
        <f>HYPERLINK("https%3A%2F%2Fwww.webofscience.com%2Fwos%2Fwoscc%2Ffull-record%2FWOS:001050042600002","View Full Record in Web of Science")</f>
        <v>View Full Record in Web of Science</v>
      </c>
    </row>
    <row r="891" spans="1:72" x14ac:dyDescent="0.15">
      <c r="A891" t="s">
        <v>72</v>
      </c>
      <c r="B891" t="s">
        <v>16423</v>
      </c>
      <c r="C891" t="s">
        <v>74</v>
      </c>
      <c r="D891" t="s">
        <v>74</v>
      </c>
      <c r="E891" t="s">
        <v>74</v>
      </c>
      <c r="F891" t="s">
        <v>16424</v>
      </c>
      <c r="G891" t="s">
        <v>74</v>
      </c>
      <c r="H891" t="s">
        <v>74</v>
      </c>
      <c r="I891" t="s">
        <v>16425</v>
      </c>
      <c r="J891" t="s">
        <v>16426</v>
      </c>
      <c r="K891" t="s">
        <v>74</v>
      </c>
      <c r="L891" t="s">
        <v>74</v>
      </c>
      <c r="M891" t="s">
        <v>4349</v>
      </c>
      <c r="N891" t="s">
        <v>1246</v>
      </c>
      <c r="O891" t="s">
        <v>74</v>
      </c>
      <c r="P891" t="s">
        <v>74</v>
      </c>
      <c r="Q891" t="s">
        <v>74</v>
      </c>
      <c r="R891" t="s">
        <v>74</v>
      </c>
      <c r="S891" t="s">
        <v>74</v>
      </c>
      <c r="T891" t="s">
        <v>16427</v>
      </c>
      <c r="U891" t="s">
        <v>16428</v>
      </c>
      <c r="V891" t="s">
        <v>16429</v>
      </c>
      <c r="W891" t="s">
        <v>16430</v>
      </c>
      <c r="X891" t="s">
        <v>16431</v>
      </c>
      <c r="Y891" t="s">
        <v>16432</v>
      </c>
      <c r="Z891" t="s">
        <v>16433</v>
      </c>
      <c r="AA891" t="s">
        <v>74</v>
      </c>
      <c r="AB891" t="s">
        <v>74</v>
      </c>
      <c r="AC891" t="s">
        <v>74</v>
      </c>
      <c r="AD891" t="s">
        <v>74</v>
      </c>
      <c r="AE891" t="s">
        <v>74</v>
      </c>
      <c r="AF891" t="s">
        <v>74</v>
      </c>
      <c r="AG891">
        <v>27</v>
      </c>
      <c r="AH891">
        <v>0</v>
      </c>
      <c r="AI891">
        <v>0</v>
      </c>
      <c r="AJ891">
        <v>0</v>
      </c>
      <c r="AK891">
        <v>0</v>
      </c>
      <c r="AL891" t="s">
        <v>172</v>
      </c>
      <c r="AM891" t="s">
        <v>173</v>
      </c>
      <c r="AN891" t="s">
        <v>174</v>
      </c>
      <c r="AO891" t="s">
        <v>16434</v>
      </c>
      <c r="AP891" t="s">
        <v>16435</v>
      </c>
      <c r="AQ891" t="s">
        <v>74</v>
      </c>
      <c r="AR891" t="s">
        <v>16426</v>
      </c>
      <c r="AS891" t="s">
        <v>16436</v>
      </c>
      <c r="AT891" t="s">
        <v>16266</v>
      </c>
      <c r="AU891">
        <v>2023</v>
      </c>
      <c r="AV891" t="s">
        <v>74</v>
      </c>
      <c r="AW891" t="s">
        <v>74</v>
      </c>
      <c r="AX891" t="s">
        <v>74</v>
      </c>
      <c r="AY891" t="s">
        <v>74</v>
      </c>
      <c r="AZ891" t="s">
        <v>74</v>
      </c>
      <c r="BA891" t="s">
        <v>74</v>
      </c>
      <c r="BB891" t="s">
        <v>74</v>
      </c>
      <c r="BC891" t="s">
        <v>74</v>
      </c>
      <c r="BD891" t="s">
        <v>74</v>
      </c>
      <c r="BE891" t="s">
        <v>16437</v>
      </c>
      <c r="BF891" t="str">
        <f>HYPERLINK("http://dx.doi.org/10.1007/s12181-023-00633-0","http://dx.doi.org/10.1007/s12181-023-00633-0")</f>
        <v>http://dx.doi.org/10.1007/s12181-023-00633-0</v>
      </c>
      <c r="BG891" t="s">
        <v>74</v>
      </c>
      <c r="BH891" t="s">
        <v>10650</v>
      </c>
      <c r="BI891">
        <v>11</v>
      </c>
      <c r="BJ891" t="s">
        <v>8785</v>
      </c>
      <c r="BK891" t="s">
        <v>97</v>
      </c>
      <c r="BL891" t="s">
        <v>6249</v>
      </c>
      <c r="BM891" t="s">
        <v>16438</v>
      </c>
      <c r="BN891" t="s">
        <v>74</v>
      </c>
      <c r="BO891" t="s">
        <v>74</v>
      </c>
      <c r="BP891" t="s">
        <v>74</v>
      </c>
      <c r="BQ891" t="s">
        <v>74</v>
      </c>
      <c r="BR891" t="s">
        <v>99</v>
      </c>
      <c r="BS891" t="s">
        <v>16439</v>
      </c>
      <c r="BT891" t="str">
        <f>HYPERLINK("https%3A%2F%2Fwww.webofscience.com%2Fwos%2Fwoscc%2Ffull-record%2FWOS:001051137000001","View Full Record in Web of Science")</f>
        <v>View Full Record in Web of Science</v>
      </c>
    </row>
    <row r="892" spans="1:72" x14ac:dyDescent="0.15">
      <c r="A892" t="s">
        <v>72</v>
      </c>
      <c r="B892" t="s">
        <v>16440</v>
      </c>
      <c r="C892" t="s">
        <v>74</v>
      </c>
      <c r="D892" t="s">
        <v>74</v>
      </c>
      <c r="E892" t="s">
        <v>74</v>
      </c>
      <c r="F892" t="s">
        <v>16441</v>
      </c>
      <c r="G892" t="s">
        <v>74</v>
      </c>
      <c r="H892" t="s">
        <v>74</v>
      </c>
      <c r="I892" t="s">
        <v>16442</v>
      </c>
      <c r="J892" t="s">
        <v>16443</v>
      </c>
      <c r="K892" t="s">
        <v>74</v>
      </c>
      <c r="L892" t="s">
        <v>74</v>
      </c>
      <c r="M892" t="s">
        <v>78</v>
      </c>
      <c r="N892" t="s">
        <v>79</v>
      </c>
      <c r="O892" t="s">
        <v>74</v>
      </c>
      <c r="P892" t="s">
        <v>74</v>
      </c>
      <c r="Q892" t="s">
        <v>74</v>
      </c>
      <c r="R892" t="s">
        <v>74</v>
      </c>
      <c r="S892" t="s">
        <v>74</v>
      </c>
      <c r="T892" t="s">
        <v>16444</v>
      </c>
      <c r="U892" t="s">
        <v>16445</v>
      </c>
      <c r="V892" t="s">
        <v>16446</v>
      </c>
      <c r="W892" t="s">
        <v>16447</v>
      </c>
      <c r="X892" t="s">
        <v>16448</v>
      </c>
      <c r="Y892" t="s">
        <v>16449</v>
      </c>
      <c r="Z892" t="s">
        <v>16450</v>
      </c>
      <c r="AA892" t="s">
        <v>74</v>
      </c>
      <c r="AB892" t="s">
        <v>74</v>
      </c>
      <c r="AC892" t="s">
        <v>74</v>
      </c>
      <c r="AD892" t="s">
        <v>74</v>
      </c>
      <c r="AE892" t="s">
        <v>74</v>
      </c>
      <c r="AF892" t="s">
        <v>74</v>
      </c>
      <c r="AG892">
        <v>34</v>
      </c>
      <c r="AH892">
        <v>0</v>
      </c>
      <c r="AI892">
        <v>0</v>
      </c>
      <c r="AJ892">
        <v>4</v>
      </c>
      <c r="AK892">
        <v>4</v>
      </c>
      <c r="AL892" t="s">
        <v>117</v>
      </c>
      <c r="AM892" t="s">
        <v>118</v>
      </c>
      <c r="AN892" t="s">
        <v>119</v>
      </c>
      <c r="AO892" t="s">
        <v>16451</v>
      </c>
      <c r="AP892" t="s">
        <v>16452</v>
      </c>
      <c r="AQ892" t="s">
        <v>74</v>
      </c>
      <c r="AR892" t="s">
        <v>16453</v>
      </c>
      <c r="AS892" t="s">
        <v>16454</v>
      </c>
      <c r="AT892" t="s">
        <v>16153</v>
      </c>
      <c r="AU892">
        <v>2023</v>
      </c>
      <c r="AV892">
        <v>36</v>
      </c>
      <c r="AW892">
        <v>1</v>
      </c>
      <c r="AX892" t="s">
        <v>74</v>
      </c>
      <c r="AY892" t="s">
        <v>74</v>
      </c>
      <c r="AZ892" t="s">
        <v>74</v>
      </c>
      <c r="BA892" t="s">
        <v>74</v>
      </c>
      <c r="BB892" t="s">
        <v>74</v>
      </c>
      <c r="BC892" t="s">
        <v>74</v>
      </c>
      <c r="BD892">
        <v>91</v>
      </c>
      <c r="BE892" t="s">
        <v>16455</v>
      </c>
      <c r="BF892" t="str">
        <f>HYPERLINK("http://dx.doi.org/10.1186/s10033-023-00914-5","http://dx.doi.org/10.1186/s10033-023-00914-5")</f>
        <v>http://dx.doi.org/10.1186/s10033-023-00914-5</v>
      </c>
      <c r="BG892" t="s">
        <v>74</v>
      </c>
      <c r="BH892" t="s">
        <v>74</v>
      </c>
      <c r="BI892">
        <v>16</v>
      </c>
      <c r="BJ892" t="s">
        <v>8691</v>
      </c>
      <c r="BK892" t="s">
        <v>126</v>
      </c>
      <c r="BL892" t="s">
        <v>277</v>
      </c>
      <c r="BM892" t="s">
        <v>16456</v>
      </c>
      <c r="BN892" t="s">
        <v>74</v>
      </c>
      <c r="BO892" t="s">
        <v>302</v>
      </c>
      <c r="BP892" t="s">
        <v>74</v>
      </c>
      <c r="BQ892" t="s">
        <v>74</v>
      </c>
      <c r="BR892" t="s">
        <v>99</v>
      </c>
      <c r="BS892" t="s">
        <v>16457</v>
      </c>
      <c r="BT892" t="str">
        <f>HYPERLINK("https%3A%2F%2Fwww.webofscience.com%2Fwos%2Fwoscc%2Ffull-record%2FWOS:001049480200002","View Full Record in Web of Science")</f>
        <v>View Full Record in Web of Science</v>
      </c>
    </row>
    <row r="893" spans="1:72" x14ac:dyDescent="0.15">
      <c r="A893" t="s">
        <v>72</v>
      </c>
      <c r="B893" t="s">
        <v>16458</v>
      </c>
      <c r="C893" t="s">
        <v>74</v>
      </c>
      <c r="D893" t="s">
        <v>74</v>
      </c>
      <c r="E893" t="s">
        <v>74</v>
      </c>
      <c r="F893" t="s">
        <v>16459</v>
      </c>
      <c r="G893" t="s">
        <v>74</v>
      </c>
      <c r="H893" t="s">
        <v>74</v>
      </c>
      <c r="I893" t="s">
        <v>16460</v>
      </c>
      <c r="J893" t="s">
        <v>15894</v>
      </c>
      <c r="K893" t="s">
        <v>74</v>
      </c>
      <c r="L893" t="s">
        <v>74</v>
      </c>
      <c r="M893" t="s">
        <v>78</v>
      </c>
      <c r="N893" t="s">
        <v>79</v>
      </c>
      <c r="O893" t="s">
        <v>74</v>
      </c>
      <c r="P893" t="s">
        <v>74</v>
      </c>
      <c r="Q893" t="s">
        <v>74</v>
      </c>
      <c r="R893" t="s">
        <v>74</v>
      </c>
      <c r="S893" t="s">
        <v>74</v>
      </c>
      <c r="T893" t="s">
        <v>74</v>
      </c>
      <c r="U893" t="s">
        <v>16461</v>
      </c>
      <c r="V893" t="s">
        <v>16462</v>
      </c>
      <c r="W893" t="s">
        <v>16463</v>
      </c>
      <c r="X893" t="s">
        <v>16464</v>
      </c>
      <c r="Y893" t="s">
        <v>16465</v>
      </c>
      <c r="Z893" t="s">
        <v>16466</v>
      </c>
      <c r="AA893" t="s">
        <v>74</v>
      </c>
      <c r="AB893" t="s">
        <v>16467</v>
      </c>
      <c r="AC893" t="s">
        <v>16468</v>
      </c>
      <c r="AD893" t="s">
        <v>16469</v>
      </c>
      <c r="AE893" t="s">
        <v>16470</v>
      </c>
      <c r="AF893" t="s">
        <v>74</v>
      </c>
      <c r="AG893">
        <v>39</v>
      </c>
      <c r="AH893">
        <v>0</v>
      </c>
      <c r="AI893">
        <v>0</v>
      </c>
      <c r="AJ893">
        <v>5</v>
      </c>
      <c r="AK893">
        <v>5</v>
      </c>
      <c r="AL893" t="s">
        <v>317</v>
      </c>
      <c r="AM893" t="s">
        <v>245</v>
      </c>
      <c r="AN893" t="s">
        <v>318</v>
      </c>
      <c r="AO893" t="s">
        <v>15905</v>
      </c>
      <c r="AP893" t="s">
        <v>15906</v>
      </c>
      <c r="AQ893" t="s">
        <v>74</v>
      </c>
      <c r="AR893" t="s">
        <v>15894</v>
      </c>
      <c r="AS893" t="s">
        <v>15907</v>
      </c>
      <c r="AT893" t="s">
        <v>3970</v>
      </c>
      <c r="AU893">
        <v>2023</v>
      </c>
      <c r="AV893">
        <v>42</v>
      </c>
      <c r="AW893">
        <v>38</v>
      </c>
      <c r="AX893" t="s">
        <v>74</v>
      </c>
      <c r="AY893" t="s">
        <v>74</v>
      </c>
      <c r="AZ893" t="s">
        <v>74</v>
      </c>
      <c r="BA893" t="s">
        <v>74</v>
      </c>
      <c r="BB893">
        <v>2828</v>
      </c>
      <c r="BC893">
        <v>2840</v>
      </c>
      <c r="BD893" t="s">
        <v>74</v>
      </c>
      <c r="BE893" t="s">
        <v>16471</v>
      </c>
      <c r="BF893" t="str">
        <f>HYPERLINK("http://dx.doi.org/10.1038/s41388-023-02811-6","http://dx.doi.org/10.1038/s41388-023-02811-6")</f>
        <v>http://dx.doi.org/10.1038/s41388-023-02811-6</v>
      </c>
      <c r="BG893" t="s">
        <v>74</v>
      </c>
      <c r="BH893" t="s">
        <v>10650</v>
      </c>
      <c r="BI893">
        <v>13</v>
      </c>
      <c r="BJ893" t="s">
        <v>15909</v>
      </c>
      <c r="BK893" t="s">
        <v>126</v>
      </c>
      <c r="BL893" t="s">
        <v>15909</v>
      </c>
      <c r="BM893" t="s">
        <v>16472</v>
      </c>
      <c r="BN893">
        <v>37591953</v>
      </c>
      <c r="BO893" t="s">
        <v>74</v>
      </c>
      <c r="BP893" t="s">
        <v>74</v>
      </c>
      <c r="BQ893" t="s">
        <v>74</v>
      </c>
      <c r="BR893" t="s">
        <v>99</v>
      </c>
      <c r="BS893" t="s">
        <v>16473</v>
      </c>
      <c r="BT893" t="str">
        <f>HYPERLINK("https%3A%2F%2Fwww.webofscience.com%2Fwos%2Fwoscc%2Ffull-record%2FWOS:001050044400001","View Full Record in Web of Science")</f>
        <v>View Full Record in Web of Science</v>
      </c>
    </row>
    <row r="894" spans="1:72" x14ac:dyDescent="0.15">
      <c r="A894" t="s">
        <v>72</v>
      </c>
      <c r="B894" t="s">
        <v>16474</v>
      </c>
      <c r="C894" t="s">
        <v>74</v>
      </c>
      <c r="D894" t="s">
        <v>74</v>
      </c>
      <c r="E894" t="s">
        <v>74</v>
      </c>
      <c r="F894" t="s">
        <v>16475</v>
      </c>
      <c r="G894" t="s">
        <v>74</v>
      </c>
      <c r="H894" t="s">
        <v>74</v>
      </c>
      <c r="I894" t="s">
        <v>16476</v>
      </c>
      <c r="J894" t="s">
        <v>8171</v>
      </c>
      <c r="K894" t="s">
        <v>74</v>
      </c>
      <c r="L894" t="s">
        <v>74</v>
      </c>
      <c r="M894" t="s">
        <v>78</v>
      </c>
      <c r="N894" t="s">
        <v>1246</v>
      </c>
      <c r="O894" t="s">
        <v>74</v>
      </c>
      <c r="P894" t="s">
        <v>74</v>
      </c>
      <c r="Q894" t="s">
        <v>74</v>
      </c>
      <c r="R894" t="s">
        <v>74</v>
      </c>
      <c r="S894" t="s">
        <v>74</v>
      </c>
      <c r="T894" t="s">
        <v>16477</v>
      </c>
      <c r="U894" t="s">
        <v>16478</v>
      </c>
      <c r="V894" t="s">
        <v>16479</v>
      </c>
      <c r="W894" t="s">
        <v>16480</v>
      </c>
      <c r="X894" t="s">
        <v>16481</v>
      </c>
      <c r="Y894" t="s">
        <v>16482</v>
      </c>
      <c r="Z894" t="s">
        <v>16483</v>
      </c>
      <c r="AA894" t="s">
        <v>74</v>
      </c>
      <c r="AB894" t="s">
        <v>74</v>
      </c>
      <c r="AC894" t="s">
        <v>74</v>
      </c>
      <c r="AD894" t="s">
        <v>74</v>
      </c>
      <c r="AE894" t="s">
        <v>74</v>
      </c>
      <c r="AF894" t="s">
        <v>74</v>
      </c>
      <c r="AG894">
        <v>43</v>
      </c>
      <c r="AH894">
        <v>0</v>
      </c>
      <c r="AI894">
        <v>0</v>
      </c>
      <c r="AJ894">
        <v>0</v>
      </c>
      <c r="AK894">
        <v>0</v>
      </c>
      <c r="AL894" t="s">
        <v>117</v>
      </c>
      <c r="AM894" t="s">
        <v>627</v>
      </c>
      <c r="AN894" t="s">
        <v>628</v>
      </c>
      <c r="AO894" t="s">
        <v>8182</v>
      </c>
      <c r="AP894" t="s">
        <v>8183</v>
      </c>
      <c r="AQ894" t="s">
        <v>74</v>
      </c>
      <c r="AR894" t="s">
        <v>8184</v>
      </c>
      <c r="AS894" t="s">
        <v>8185</v>
      </c>
      <c r="AT894" t="s">
        <v>16266</v>
      </c>
      <c r="AU894">
        <v>2023</v>
      </c>
      <c r="AV894" t="s">
        <v>74</v>
      </c>
      <c r="AW894" t="s">
        <v>74</v>
      </c>
      <c r="AX894" t="s">
        <v>74</v>
      </c>
      <c r="AY894" t="s">
        <v>74</v>
      </c>
      <c r="AZ894" t="s">
        <v>74</v>
      </c>
      <c r="BA894" t="s">
        <v>74</v>
      </c>
      <c r="BB894" t="s">
        <v>74</v>
      </c>
      <c r="BC894" t="s">
        <v>74</v>
      </c>
      <c r="BD894" t="s">
        <v>74</v>
      </c>
      <c r="BE894" t="s">
        <v>16484</v>
      </c>
      <c r="BF894" t="str">
        <f>HYPERLINK("http://dx.doi.org/10.1007/s11033-023-08667-z","http://dx.doi.org/10.1007/s11033-023-08667-z")</f>
        <v>http://dx.doi.org/10.1007/s11033-023-08667-z</v>
      </c>
      <c r="BG894" t="s">
        <v>74</v>
      </c>
      <c r="BH894" t="s">
        <v>10650</v>
      </c>
      <c r="BI894">
        <v>8</v>
      </c>
      <c r="BJ894" t="s">
        <v>451</v>
      </c>
      <c r="BK894" t="s">
        <v>126</v>
      </c>
      <c r="BL894" t="s">
        <v>451</v>
      </c>
      <c r="BM894" t="s">
        <v>16485</v>
      </c>
      <c r="BN894">
        <v>37592177</v>
      </c>
      <c r="BO894" t="s">
        <v>16486</v>
      </c>
      <c r="BP894" t="s">
        <v>74</v>
      </c>
      <c r="BQ894" t="s">
        <v>74</v>
      </c>
      <c r="BR894" t="s">
        <v>99</v>
      </c>
      <c r="BS894" t="s">
        <v>16487</v>
      </c>
      <c r="BT894" t="str">
        <f>HYPERLINK("https%3A%2F%2Fwww.webofscience.com%2Fwos%2Fwoscc%2Ffull-record%2FWOS:001051788000004","View Full Record in Web of Science")</f>
        <v>View Full Record in Web of Science</v>
      </c>
    </row>
    <row r="895" spans="1:72" x14ac:dyDescent="0.15">
      <c r="A895" t="s">
        <v>72</v>
      </c>
      <c r="B895" t="s">
        <v>16488</v>
      </c>
      <c r="C895" t="s">
        <v>74</v>
      </c>
      <c r="D895" t="s">
        <v>74</v>
      </c>
      <c r="E895" t="s">
        <v>74</v>
      </c>
      <c r="F895" t="s">
        <v>16489</v>
      </c>
      <c r="G895" t="s">
        <v>74</v>
      </c>
      <c r="H895" t="s">
        <v>74</v>
      </c>
      <c r="I895" t="s">
        <v>16490</v>
      </c>
      <c r="J895" t="s">
        <v>11146</v>
      </c>
      <c r="K895" t="s">
        <v>74</v>
      </c>
      <c r="L895" t="s">
        <v>74</v>
      </c>
      <c r="M895" t="s">
        <v>78</v>
      </c>
      <c r="N895" t="s">
        <v>105</v>
      </c>
      <c r="O895" t="s">
        <v>74</v>
      </c>
      <c r="P895" t="s">
        <v>74</v>
      </c>
      <c r="Q895" t="s">
        <v>74</v>
      </c>
      <c r="R895" t="s">
        <v>74</v>
      </c>
      <c r="S895" t="s">
        <v>74</v>
      </c>
      <c r="T895" t="s">
        <v>16491</v>
      </c>
      <c r="U895" t="s">
        <v>16492</v>
      </c>
      <c r="V895" t="s">
        <v>16493</v>
      </c>
      <c r="W895" t="s">
        <v>16494</v>
      </c>
      <c r="X895" t="s">
        <v>16495</v>
      </c>
      <c r="Y895" t="s">
        <v>16496</v>
      </c>
      <c r="Z895" t="s">
        <v>16497</v>
      </c>
      <c r="AA895" t="s">
        <v>16498</v>
      </c>
      <c r="AB895" t="s">
        <v>74</v>
      </c>
      <c r="AC895" t="s">
        <v>16499</v>
      </c>
      <c r="AD895" t="s">
        <v>16500</v>
      </c>
      <c r="AE895" t="s">
        <v>16501</v>
      </c>
      <c r="AF895" t="s">
        <v>74</v>
      </c>
      <c r="AG895">
        <v>89</v>
      </c>
      <c r="AH895">
        <v>0</v>
      </c>
      <c r="AI895">
        <v>0</v>
      </c>
      <c r="AJ895">
        <v>1</v>
      </c>
      <c r="AK895">
        <v>1</v>
      </c>
      <c r="AL895" t="s">
        <v>117</v>
      </c>
      <c r="AM895" t="s">
        <v>118</v>
      </c>
      <c r="AN895" t="s">
        <v>119</v>
      </c>
      <c r="AO895" t="s">
        <v>11154</v>
      </c>
      <c r="AP895" t="s">
        <v>11155</v>
      </c>
      <c r="AQ895" t="s">
        <v>74</v>
      </c>
      <c r="AR895" t="s">
        <v>11156</v>
      </c>
      <c r="AS895" t="s">
        <v>11157</v>
      </c>
      <c r="AT895" t="s">
        <v>16153</v>
      </c>
      <c r="AU895">
        <v>2023</v>
      </c>
      <c r="AV895">
        <v>38</v>
      </c>
      <c r="AW895">
        <v>1</v>
      </c>
      <c r="AX895" t="s">
        <v>74</v>
      </c>
      <c r="AY895" t="s">
        <v>74</v>
      </c>
      <c r="AZ895" t="s">
        <v>74</v>
      </c>
      <c r="BA895" t="s">
        <v>74</v>
      </c>
      <c r="BB895" t="s">
        <v>74</v>
      </c>
      <c r="BC895" t="s">
        <v>74</v>
      </c>
      <c r="BD895">
        <v>217</v>
      </c>
      <c r="BE895" t="s">
        <v>16502</v>
      </c>
      <c r="BF895" t="str">
        <f>HYPERLINK("http://dx.doi.org/10.1007/s00384-023-04489-4","http://dx.doi.org/10.1007/s00384-023-04489-4")</f>
        <v>http://dx.doi.org/10.1007/s00384-023-04489-4</v>
      </c>
      <c r="BG895" t="s">
        <v>74</v>
      </c>
      <c r="BH895" t="s">
        <v>74</v>
      </c>
      <c r="BI895">
        <v>10</v>
      </c>
      <c r="BJ895" t="s">
        <v>11159</v>
      </c>
      <c r="BK895" t="s">
        <v>126</v>
      </c>
      <c r="BL895" t="s">
        <v>11159</v>
      </c>
      <c r="BM895" t="s">
        <v>16503</v>
      </c>
      <c r="BN895">
        <v>37589792</v>
      </c>
      <c r="BO895" t="s">
        <v>74</v>
      </c>
      <c r="BP895" t="s">
        <v>74</v>
      </c>
      <c r="BQ895" t="s">
        <v>74</v>
      </c>
      <c r="BR895" t="s">
        <v>99</v>
      </c>
      <c r="BS895" t="s">
        <v>16504</v>
      </c>
      <c r="BT895" t="str">
        <f>HYPERLINK("https%3A%2F%2Fwww.webofscience.com%2Fwos%2Fwoscc%2Ffull-record%2FWOS:001050072800001","View Full Record in Web of Science")</f>
        <v>View Full Record in Web of Science</v>
      </c>
    </row>
    <row r="896" spans="1:72" x14ac:dyDescent="0.15">
      <c r="A896" t="s">
        <v>72</v>
      </c>
      <c r="B896" t="s">
        <v>16505</v>
      </c>
      <c r="C896" t="s">
        <v>74</v>
      </c>
      <c r="D896" t="s">
        <v>74</v>
      </c>
      <c r="E896" t="s">
        <v>74</v>
      </c>
      <c r="F896" t="s">
        <v>16506</v>
      </c>
      <c r="G896" t="s">
        <v>74</v>
      </c>
      <c r="H896" t="s">
        <v>74</v>
      </c>
      <c r="I896" t="s">
        <v>16507</v>
      </c>
      <c r="J896" t="s">
        <v>16508</v>
      </c>
      <c r="K896" t="s">
        <v>74</v>
      </c>
      <c r="L896" t="s">
        <v>74</v>
      </c>
      <c r="M896" t="s">
        <v>78</v>
      </c>
      <c r="N896" t="s">
        <v>1246</v>
      </c>
      <c r="O896" t="s">
        <v>74</v>
      </c>
      <c r="P896" t="s">
        <v>74</v>
      </c>
      <c r="Q896" t="s">
        <v>74</v>
      </c>
      <c r="R896" t="s">
        <v>74</v>
      </c>
      <c r="S896" t="s">
        <v>74</v>
      </c>
      <c r="T896" t="s">
        <v>16509</v>
      </c>
      <c r="U896" t="s">
        <v>16510</v>
      </c>
      <c r="V896" t="s">
        <v>16511</v>
      </c>
      <c r="W896" t="s">
        <v>16512</v>
      </c>
      <c r="X896" t="s">
        <v>16513</v>
      </c>
      <c r="Y896" t="s">
        <v>16514</v>
      </c>
      <c r="Z896" t="s">
        <v>16515</v>
      </c>
      <c r="AA896" t="s">
        <v>74</v>
      </c>
      <c r="AB896" t="s">
        <v>74</v>
      </c>
      <c r="AC896" t="s">
        <v>74</v>
      </c>
      <c r="AD896" t="s">
        <v>74</v>
      </c>
      <c r="AE896" t="s">
        <v>74</v>
      </c>
      <c r="AF896" t="s">
        <v>74</v>
      </c>
      <c r="AG896">
        <v>43</v>
      </c>
      <c r="AH896">
        <v>0</v>
      </c>
      <c r="AI896">
        <v>0</v>
      </c>
      <c r="AJ896">
        <v>1</v>
      </c>
      <c r="AK896">
        <v>1</v>
      </c>
      <c r="AL896" t="s">
        <v>219</v>
      </c>
      <c r="AM896" t="s">
        <v>220</v>
      </c>
      <c r="AN896" t="s">
        <v>221</v>
      </c>
      <c r="AO896" t="s">
        <v>16516</v>
      </c>
      <c r="AP896" t="s">
        <v>16517</v>
      </c>
      <c r="AQ896" t="s">
        <v>74</v>
      </c>
      <c r="AR896" t="s">
        <v>16518</v>
      </c>
      <c r="AS896" t="s">
        <v>16519</v>
      </c>
      <c r="AT896" t="s">
        <v>16266</v>
      </c>
      <c r="AU896">
        <v>2023</v>
      </c>
      <c r="AV896" t="s">
        <v>74</v>
      </c>
      <c r="AW896" t="s">
        <v>74</v>
      </c>
      <c r="AX896" t="s">
        <v>74</v>
      </c>
      <c r="AY896" t="s">
        <v>74</v>
      </c>
      <c r="AZ896" t="s">
        <v>74</v>
      </c>
      <c r="BA896" t="s">
        <v>74</v>
      </c>
      <c r="BB896" t="s">
        <v>74</v>
      </c>
      <c r="BC896" t="s">
        <v>74</v>
      </c>
      <c r="BD896" t="s">
        <v>74</v>
      </c>
      <c r="BE896" t="s">
        <v>16520</v>
      </c>
      <c r="BF896" t="str">
        <f>HYPERLINK("http://dx.doi.org/10.1007/s00024-023-03329-4","http://dx.doi.org/10.1007/s00024-023-03329-4")</f>
        <v>http://dx.doi.org/10.1007/s00024-023-03329-4</v>
      </c>
      <c r="BG896" t="s">
        <v>74</v>
      </c>
      <c r="BH896" t="s">
        <v>10650</v>
      </c>
      <c r="BI896">
        <v>20</v>
      </c>
      <c r="BJ896" t="s">
        <v>16521</v>
      </c>
      <c r="BK896" t="s">
        <v>126</v>
      </c>
      <c r="BL896" t="s">
        <v>16521</v>
      </c>
      <c r="BM896" t="s">
        <v>16522</v>
      </c>
      <c r="BN896" t="s">
        <v>74</v>
      </c>
      <c r="BO896" t="s">
        <v>74</v>
      </c>
      <c r="BP896" t="s">
        <v>74</v>
      </c>
      <c r="BQ896" t="s">
        <v>74</v>
      </c>
      <c r="BR896" t="s">
        <v>99</v>
      </c>
      <c r="BS896" t="s">
        <v>16523</v>
      </c>
      <c r="BT896" t="str">
        <f>HYPERLINK("https%3A%2F%2Fwww.webofscience.com%2Fwos%2Fwoscc%2Ffull-record%2FWOS:001049976200001","View Full Record in Web of Science")</f>
        <v>View Full Record in Web of Science</v>
      </c>
    </row>
    <row r="897" spans="1:72" x14ac:dyDescent="0.15">
      <c r="A897" t="s">
        <v>72</v>
      </c>
      <c r="B897" t="s">
        <v>16524</v>
      </c>
      <c r="C897" t="s">
        <v>74</v>
      </c>
      <c r="D897" t="s">
        <v>74</v>
      </c>
      <c r="E897" t="s">
        <v>74</v>
      </c>
      <c r="F897" t="s">
        <v>16525</v>
      </c>
      <c r="G897" t="s">
        <v>74</v>
      </c>
      <c r="H897" t="s">
        <v>74</v>
      </c>
      <c r="I897" t="s">
        <v>16526</v>
      </c>
      <c r="J897" t="s">
        <v>9972</v>
      </c>
      <c r="K897" t="s">
        <v>74</v>
      </c>
      <c r="L897" t="s">
        <v>74</v>
      </c>
      <c r="M897" t="s">
        <v>78</v>
      </c>
      <c r="N897" t="s">
        <v>79</v>
      </c>
      <c r="O897" t="s">
        <v>74</v>
      </c>
      <c r="P897" t="s">
        <v>74</v>
      </c>
      <c r="Q897" t="s">
        <v>74</v>
      </c>
      <c r="R897" t="s">
        <v>74</v>
      </c>
      <c r="S897" t="s">
        <v>74</v>
      </c>
      <c r="T897" t="s">
        <v>16527</v>
      </c>
      <c r="U897" t="s">
        <v>16528</v>
      </c>
      <c r="V897" t="s">
        <v>16529</v>
      </c>
      <c r="W897" t="s">
        <v>16530</v>
      </c>
      <c r="X897" t="s">
        <v>16531</v>
      </c>
      <c r="Y897" t="s">
        <v>16532</v>
      </c>
      <c r="Z897" t="s">
        <v>16533</v>
      </c>
      <c r="AA897" t="s">
        <v>74</v>
      </c>
      <c r="AB897" t="s">
        <v>16534</v>
      </c>
      <c r="AC897" t="s">
        <v>16535</v>
      </c>
      <c r="AD897" t="s">
        <v>16536</v>
      </c>
      <c r="AE897" t="s">
        <v>16537</v>
      </c>
      <c r="AF897" t="s">
        <v>74</v>
      </c>
      <c r="AG897">
        <v>46</v>
      </c>
      <c r="AH897">
        <v>0</v>
      </c>
      <c r="AI897">
        <v>0</v>
      </c>
      <c r="AJ897">
        <v>4</v>
      </c>
      <c r="AK897">
        <v>4</v>
      </c>
      <c r="AL897" t="s">
        <v>117</v>
      </c>
      <c r="AM897" t="s">
        <v>627</v>
      </c>
      <c r="AN897" t="s">
        <v>628</v>
      </c>
      <c r="AO897" t="s">
        <v>9980</v>
      </c>
      <c r="AP897" t="s">
        <v>9981</v>
      </c>
      <c r="AQ897" t="s">
        <v>74</v>
      </c>
      <c r="AR897" t="s">
        <v>9982</v>
      </c>
      <c r="AS897" t="s">
        <v>9983</v>
      </c>
      <c r="AT897" t="s">
        <v>8614</v>
      </c>
      <c r="AU897">
        <v>2023</v>
      </c>
      <c r="AV897">
        <v>21</v>
      </c>
      <c r="AW897">
        <v>12</v>
      </c>
      <c r="AX897" t="s">
        <v>74</v>
      </c>
      <c r="AY897" t="s">
        <v>74</v>
      </c>
      <c r="AZ897" t="s">
        <v>74</v>
      </c>
      <c r="BA897" t="s">
        <v>74</v>
      </c>
      <c r="BB897">
        <v>5743</v>
      </c>
      <c r="BC897">
        <v>5766</v>
      </c>
      <c r="BD897" t="s">
        <v>74</v>
      </c>
      <c r="BE897" t="s">
        <v>16538</v>
      </c>
      <c r="BF897" t="str">
        <f>HYPERLINK("http://dx.doi.org/10.1007/s10518-023-01757-0","http://dx.doi.org/10.1007/s10518-023-01757-0")</f>
        <v>http://dx.doi.org/10.1007/s10518-023-01757-0</v>
      </c>
      <c r="BG897" t="s">
        <v>74</v>
      </c>
      <c r="BH897" t="s">
        <v>10650</v>
      </c>
      <c r="BI897">
        <v>24</v>
      </c>
      <c r="BJ897" t="s">
        <v>8943</v>
      </c>
      <c r="BK897" t="s">
        <v>126</v>
      </c>
      <c r="BL897" t="s">
        <v>1657</v>
      </c>
      <c r="BM897" t="s">
        <v>9985</v>
      </c>
      <c r="BN897" t="s">
        <v>74</v>
      </c>
      <c r="BO897" t="s">
        <v>74</v>
      </c>
      <c r="BP897" t="s">
        <v>74</v>
      </c>
      <c r="BQ897" t="s">
        <v>74</v>
      </c>
      <c r="BR897" t="s">
        <v>99</v>
      </c>
      <c r="BS897" t="s">
        <v>16539</v>
      </c>
      <c r="BT897" t="str">
        <f>HYPERLINK("https%3A%2F%2Fwww.webofscience.com%2Fwos%2Fwoscc%2Ffull-record%2FWOS:001049910400001","View Full Record in Web of Science")</f>
        <v>View Full Record in Web of Science</v>
      </c>
    </row>
    <row r="898" spans="1:72" x14ac:dyDescent="0.15">
      <c r="A898" t="s">
        <v>72</v>
      </c>
      <c r="B898" t="s">
        <v>16540</v>
      </c>
      <c r="C898" t="s">
        <v>74</v>
      </c>
      <c r="D898" t="s">
        <v>74</v>
      </c>
      <c r="E898" t="s">
        <v>74</v>
      </c>
      <c r="F898" t="s">
        <v>16541</v>
      </c>
      <c r="G898" t="s">
        <v>74</v>
      </c>
      <c r="H898" t="s">
        <v>74</v>
      </c>
      <c r="I898" t="s">
        <v>16542</v>
      </c>
      <c r="J898" t="s">
        <v>16543</v>
      </c>
      <c r="K898" t="s">
        <v>74</v>
      </c>
      <c r="L898" t="s">
        <v>74</v>
      </c>
      <c r="M898" t="s">
        <v>78</v>
      </c>
      <c r="N898" t="s">
        <v>5945</v>
      </c>
      <c r="O898" t="s">
        <v>74</v>
      </c>
      <c r="P898" t="s">
        <v>74</v>
      </c>
      <c r="Q898" t="s">
        <v>74</v>
      </c>
      <c r="R898" t="s">
        <v>74</v>
      </c>
      <c r="S898" t="s">
        <v>74</v>
      </c>
      <c r="T898" t="s">
        <v>74</v>
      </c>
      <c r="U898" t="s">
        <v>74</v>
      </c>
      <c r="V898" t="s">
        <v>74</v>
      </c>
      <c r="W898" t="s">
        <v>16544</v>
      </c>
      <c r="X898" t="s">
        <v>16545</v>
      </c>
      <c r="Y898" t="s">
        <v>16546</v>
      </c>
      <c r="Z898" t="s">
        <v>16547</v>
      </c>
      <c r="AA898" t="s">
        <v>74</v>
      </c>
      <c r="AB898" t="s">
        <v>16548</v>
      </c>
      <c r="AC898" t="s">
        <v>74</v>
      </c>
      <c r="AD898" t="s">
        <v>74</v>
      </c>
      <c r="AE898" t="s">
        <v>74</v>
      </c>
      <c r="AF898" t="s">
        <v>74</v>
      </c>
      <c r="AG898">
        <v>1</v>
      </c>
      <c r="AH898">
        <v>0</v>
      </c>
      <c r="AI898">
        <v>0</v>
      </c>
      <c r="AJ898">
        <v>1</v>
      </c>
      <c r="AK898">
        <v>1</v>
      </c>
      <c r="AL898" t="s">
        <v>117</v>
      </c>
      <c r="AM898" t="s">
        <v>118</v>
      </c>
      <c r="AN898" t="s">
        <v>119</v>
      </c>
      <c r="AO898" t="s">
        <v>16549</v>
      </c>
      <c r="AP898" t="s">
        <v>16550</v>
      </c>
      <c r="AQ898" t="s">
        <v>74</v>
      </c>
      <c r="AR898" t="s">
        <v>16543</v>
      </c>
      <c r="AS898" t="s">
        <v>16551</v>
      </c>
      <c r="AT898" t="s">
        <v>16266</v>
      </c>
      <c r="AU898">
        <v>2023</v>
      </c>
      <c r="AV898" t="s">
        <v>74</v>
      </c>
      <c r="AW898" t="s">
        <v>74</v>
      </c>
      <c r="AX898" t="s">
        <v>74</v>
      </c>
      <c r="AY898" t="s">
        <v>74</v>
      </c>
      <c r="AZ898" t="s">
        <v>74</v>
      </c>
      <c r="BA898" t="s">
        <v>74</v>
      </c>
      <c r="BB898" t="s">
        <v>74</v>
      </c>
      <c r="BC898" t="s">
        <v>74</v>
      </c>
      <c r="BD898" t="s">
        <v>74</v>
      </c>
      <c r="BE898" t="s">
        <v>16552</v>
      </c>
      <c r="BF898" t="str">
        <f>HYPERLINK("http://dx.doi.org/10.1007/s00442-023-05432-8","http://dx.doi.org/10.1007/s00442-023-05432-8")</f>
        <v>http://dx.doi.org/10.1007/s00442-023-05432-8</v>
      </c>
      <c r="BG898" t="s">
        <v>74</v>
      </c>
      <c r="BH898" t="s">
        <v>10650</v>
      </c>
      <c r="BI898">
        <v>1</v>
      </c>
      <c r="BJ898" t="s">
        <v>16553</v>
      </c>
      <c r="BK898" t="s">
        <v>126</v>
      </c>
      <c r="BL898" t="s">
        <v>1347</v>
      </c>
      <c r="BM898" t="s">
        <v>16554</v>
      </c>
      <c r="BN898">
        <v>37589798</v>
      </c>
      <c r="BO898" t="s">
        <v>762</v>
      </c>
      <c r="BP898" t="s">
        <v>74</v>
      </c>
      <c r="BQ898" t="s">
        <v>74</v>
      </c>
      <c r="BR898" t="s">
        <v>99</v>
      </c>
      <c r="BS898" t="s">
        <v>16555</v>
      </c>
      <c r="BT898" t="str">
        <f>HYPERLINK("https%3A%2F%2Fwww.webofscience.com%2Fwos%2Fwoscc%2Ffull-record%2FWOS:001050425500001","View Full Record in Web of Science")</f>
        <v>View Full Record in Web of Science</v>
      </c>
    </row>
    <row r="899" spans="1:72" x14ac:dyDescent="0.15">
      <c r="A899" t="s">
        <v>72</v>
      </c>
      <c r="B899" t="s">
        <v>16556</v>
      </c>
      <c r="C899" t="s">
        <v>74</v>
      </c>
      <c r="D899" t="s">
        <v>74</v>
      </c>
      <c r="E899" t="s">
        <v>74</v>
      </c>
      <c r="F899" t="s">
        <v>16557</v>
      </c>
      <c r="G899" t="s">
        <v>74</v>
      </c>
      <c r="H899" t="s">
        <v>74</v>
      </c>
      <c r="I899" t="s">
        <v>16558</v>
      </c>
      <c r="J899" t="s">
        <v>16559</v>
      </c>
      <c r="K899" t="s">
        <v>74</v>
      </c>
      <c r="L899" t="s">
        <v>74</v>
      </c>
      <c r="M899" t="s">
        <v>78</v>
      </c>
      <c r="N899" t="s">
        <v>2174</v>
      </c>
      <c r="O899" t="s">
        <v>74</v>
      </c>
      <c r="P899" t="s">
        <v>74</v>
      </c>
      <c r="Q899" t="s">
        <v>74</v>
      </c>
      <c r="R899" t="s">
        <v>74</v>
      </c>
      <c r="S899" t="s">
        <v>74</v>
      </c>
      <c r="T899" t="s">
        <v>16560</v>
      </c>
      <c r="U899" t="s">
        <v>16561</v>
      </c>
      <c r="V899" t="s">
        <v>16562</v>
      </c>
      <c r="W899" t="s">
        <v>16563</v>
      </c>
      <c r="X899" t="s">
        <v>16564</v>
      </c>
      <c r="Y899" t="s">
        <v>16565</v>
      </c>
      <c r="Z899" t="s">
        <v>16566</v>
      </c>
      <c r="AA899" t="s">
        <v>74</v>
      </c>
      <c r="AB899" t="s">
        <v>16567</v>
      </c>
      <c r="AC899" t="s">
        <v>74</v>
      </c>
      <c r="AD899" t="s">
        <v>74</v>
      </c>
      <c r="AE899" t="s">
        <v>74</v>
      </c>
      <c r="AF899" t="s">
        <v>74</v>
      </c>
      <c r="AG899">
        <v>111</v>
      </c>
      <c r="AH899">
        <v>0</v>
      </c>
      <c r="AI899">
        <v>0</v>
      </c>
      <c r="AJ899">
        <v>6</v>
      </c>
      <c r="AK899">
        <v>6</v>
      </c>
      <c r="AL899" t="s">
        <v>117</v>
      </c>
      <c r="AM899" t="s">
        <v>627</v>
      </c>
      <c r="AN899" t="s">
        <v>628</v>
      </c>
      <c r="AO899" t="s">
        <v>16568</v>
      </c>
      <c r="AP899" t="s">
        <v>16569</v>
      </c>
      <c r="AQ899" t="s">
        <v>74</v>
      </c>
      <c r="AR899" t="s">
        <v>16570</v>
      </c>
      <c r="AS899" t="s">
        <v>16571</v>
      </c>
      <c r="AT899" t="s">
        <v>16266</v>
      </c>
      <c r="AU899">
        <v>2023</v>
      </c>
      <c r="AV899" t="s">
        <v>74</v>
      </c>
      <c r="AW899" t="s">
        <v>74</v>
      </c>
      <c r="AX899" t="s">
        <v>74</v>
      </c>
      <c r="AY899" t="s">
        <v>74</v>
      </c>
      <c r="AZ899" t="s">
        <v>74</v>
      </c>
      <c r="BA899" t="s">
        <v>74</v>
      </c>
      <c r="BB899" t="s">
        <v>74</v>
      </c>
      <c r="BC899" t="s">
        <v>74</v>
      </c>
      <c r="BD899" t="s">
        <v>74</v>
      </c>
      <c r="BE899" t="s">
        <v>16572</v>
      </c>
      <c r="BF899" t="str">
        <f>HYPERLINK("http://dx.doi.org/10.1007/s12223-023-01083-7","http://dx.doi.org/10.1007/s12223-023-01083-7")</f>
        <v>http://dx.doi.org/10.1007/s12223-023-01083-7</v>
      </c>
      <c r="BG899" t="s">
        <v>74</v>
      </c>
      <c r="BH899" t="s">
        <v>10650</v>
      </c>
      <c r="BI899">
        <v>19</v>
      </c>
      <c r="BJ899" t="s">
        <v>5010</v>
      </c>
      <c r="BK899" t="s">
        <v>126</v>
      </c>
      <c r="BL899" t="s">
        <v>5010</v>
      </c>
      <c r="BM899" t="s">
        <v>16573</v>
      </c>
      <c r="BN899">
        <v>37589876</v>
      </c>
      <c r="BO899" t="s">
        <v>74</v>
      </c>
      <c r="BP899" t="s">
        <v>74</v>
      </c>
      <c r="BQ899" t="s">
        <v>74</v>
      </c>
      <c r="BR899" t="s">
        <v>99</v>
      </c>
      <c r="BS899" t="s">
        <v>16574</v>
      </c>
      <c r="BT899" t="str">
        <f>HYPERLINK("https%3A%2F%2Fwww.webofscience.com%2Fwos%2Fwoscc%2Ffull-record%2FWOS:001050396900001","View Full Record in Web of Science")</f>
        <v>View Full Record in Web of Science</v>
      </c>
    </row>
    <row r="900" spans="1:72" x14ac:dyDescent="0.15">
      <c r="A900" t="s">
        <v>72</v>
      </c>
      <c r="B900" t="s">
        <v>16575</v>
      </c>
      <c r="C900" t="s">
        <v>74</v>
      </c>
      <c r="D900" t="s">
        <v>74</v>
      </c>
      <c r="E900" t="s">
        <v>74</v>
      </c>
      <c r="F900" t="s">
        <v>16576</v>
      </c>
      <c r="G900" t="s">
        <v>74</v>
      </c>
      <c r="H900" t="s">
        <v>74</v>
      </c>
      <c r="I900" t="s">
        <v>16577</v>
      </c>
      <c r="J900" t="s">
        <v>16578</v>
      </c>
      <c r="K900" t="s">
        <v>74</v>
      </c>
      <c r="L900" t="s">
        <v>74</v>
      </c>
      <c r="M900" t="s">
        <v>78</v>
      </c>
      <c r="N900" t="s">
        <v>2174</v>
      </c>
      <c r="O900" t="s">
        <v>74</v>
      </c>
      <c r="P900" t="s">
        <v>74</v>
      </c>
      <c r="Q900" t="s">
        <v>74</v>
      </c>
      <c r="R900" t="s">
        <v>74</v>
      </c>
      <c r="S900" t="s">
        <v>74</v>
      </c>
      <c r="T900" t="s">
        <v>16579</v>
      </c>
      <c r="U900" t="s">
        <v>16580</v>
      </c>
      <c r="V900" t="s">
        <v>16581</v>
      </c>
      <c r="W900" t="s">
        <v>16582</v>
      </c>
      <c r="X900" t="s">
        <v>14745</v>
      </c>
      <c r="Y900" t="s">
        <v>16583</v>
      </c>
      <c r="Z900" t="s">
        <v>16584</v>
      </c>
      <c r="AA900" t="s">
        <v>74</v>
      </c>
      <c r="AB900" t="s">
        <v>74</v>
      </c>
      <c r="AC900" t="s">
        <v>74</v>
      </c>
      <c r="AD900" t="s">
        <v>74</v>
      </c>
      <c r="AE900" t="s">
        <v>74</v>
      </c>
      <c r="AF900" t="s">
        <v>74</v>
      </c>
      <c r="AG900">
        <v>83</v>
      </c>
      <c r="AH900">
        <v>0</v>
      </c>
      <c r="AI900">
        <v>0</v>
      </c>
      <c r="AJ900">
        <v>1</v>
      </c>
      <c r="AK900">
        <v>1</v>
      </c>
      <c r="AL900" t="s">
        <v>117</v>
      </c>
      <c r="AM900" t="s">
        <v>118</v>
      </c>
      <c r="AN900" t="s">
        <v>119</v>
      </c>
      <c r="AO900" t="s">
        <v>16585</v>
      </c>
      <c r="AP900" t="s">
        <v>16586</v>
      </c>
      <c r="AQ900" t="s">
        <v>74</v>
      </c>
      <c r="AR900" t="s">
        <v>16587</v>
      </c>
      <c r="AS900" t="s">
        <v>16588</v>
      </c>
      <c r="AT900" t="s">
        <v>16266</v>
      </c>
      <c r="AU900">
        <v>2023</v>
      </c>
      <c r="AV900" t="s">
        <v>74</v>
      </c>
      <c r="AW900" t="s">
        <v>74</v>
      </c>
      <c r="AX900" t="s">
        <v>74</v>
      </c>
      <c r="AY900" t="s">
        <v>74</v>
      </c>
      <c r="AZ900" t="s">
        <v>74</v>
      </c>
      <c r="BA900" t="s">
        <v>74</v>
      </c>
      <c r="BB900" t="s">
        <v>74</v>
      </c>
      <c r="BC900" t="s">
        <v>74</v>
      </c>
      <c r="BD900" t="s">
        <v>74</v>
      </c>
      <c r="BE900" t="s">
        <v>16589</v>
      </c>
      <c r="BF900" t="str">
        <f>HYPERLINK("http://dx.doi.org/10.1007/s11920-023-01443-7","http://dx.doi.org/10.1007/s11920-023-01443-7")</f>
        <v>http://dx.doi.org/10.1007/s11920-023-01443-7</v>
      </c>
      <c r="BG900" t="s">
        <v>74</v>
      </c>
      <c r="BH900" t="s">
        <v>10650</v>
      </c>
      <c r="BI900">
        <v>9</v>
      </c>
      <c r="BJ900" t="s">
        <v>3373</v>
      </c>
      <c r="BK900" t="s">
        <v>2431</v>
      </c>
      <c r="BL900" t="s">
        <v>3373</v>
      </c>
      <c r="BM900" t="s">
        <v>16590</v>
      </c>
      <c r="BN900">
        <v>37589777</v>
      </c>
      <c r="BO900" t="s">
        <v>74</v>
      </c>
      <c r="BP900" t="s">
        <v>74</v>
      </c>
      <c r="BQ900" t="s">
        <v>74</v>
      </c>
      <c r="BR900" t="s">
        <v>99</v>
      </c>
      <c r="BS900" t="s">
        <v>16591</v>
      </c>
      <c r="BT900" t="str">
        <f>HYPERLINK("https%3A%2F%2Fwww.webofscience.com%2Fwos%2Fwoscc%2Ffull-record%2FWOS:001049919900001","View Full Record in Web of Science")</f>
        <v>View Full Record in Web of Science</v>
      </c>
    </row>
    <row r="901" spans="1:72" x14ac:dyDescent="0.15">
      <c r="A901" t="s">
        <v>72</v>
      </c>
      <c r="B901" t="s">
        <v>16592</v>
      </c>
      <c r="C901" t="s">
        <v>74</v>
      </c>
      <c r="D901" t="s">
        <v>74</v>
      </c>
      <c r="E901" t="s">
        <v>74</v>
      </c>
      <c r="F901" t="s">
        <v>16593</v>
      </c>
      <c r="G901" t="s">
        <v>74</v>
      </c>
      <c r="H901" t="s">
        <v>74</v>
      </c>
      <c r="I901" t="s">
        <v>16594</v>
      </c>
      <c r="J901" t="s">
        <v>6103</v>
      </c>
      <c r="K901" t="s">
        <v>74</v>
      </c>
      <c r="L901" t="s">
        <v>74</v>
      </c>
      <c r="M901" t="s">
        <v>78</v>
      </c>
      <c r="N901" t="s">
        <v>1246</v>
      </c>
      <c r="O901" t="s">
        <v>74</v>
      </c>
      <c r="P901" t="s">
        <v>74</v>
      </c>
      <c r="Q901" t="s">
        <v>74</v>
      </c>
      <c r="R901" t="s">
        <v>74</v>
      </c>
      <c r="S901" t="s">
        <v>74</v>
      </c>
      <c r="T901" t="s">
        <v>16595</v>
      </c>
      <c r="U901" t="s">
        <v>16596</v>
      </c>
      <c r="V901" t="s">
        <v>16597</v>
      </c>
      <c r="W901" t="s">
        <v>16598</v>
      </c>
      <c r="X901" t="s">
        <v>16599</v>
      </c>
      <c r="Y901" t="s">
        <v>16600</v>
      </c>
      <c r="Z901" t="s">
        <v>16601</v>
      </c>
      <c r="AA901" t="s">
        <v>74</v>
      </c>
      <c r="AB901" t="s">
        <v>74</v>
      </c>
      <c r="AC901" t="s">
        <v>16602</v>
      </c>
      <c r="AD901" t="s">
        <v>16603</v>
      </c>
      <c r="AE901" t="s">
        <v>16604</v>
      </c>
      <c r="AF901" t="s">
        <v>74</v>
      </c>
      <c r="AG901">
        <v>50</v>
      </c>
      <c r="AH901">
        <v>0</v>
      </c>
      <c r="AI901">
        <v>0</v>
      </c>
      <c r="AJ901">
        <v>10</v>
      </c>
      <c r="AK901">
        <v>10</v>
      </c>
      <c r="AL901" t="s">
        <v>172</v>
      </c>
      <c r="AM901" t="s">
        <v>173</v>
      </c>
      <c r="AN901" t="s">
        <v>174</v>
      </c>
      <c r="AO901" t="s">
        <v>6111</v>
      </c>
      <c r="AP901" t="s">
        <v>6112</v>
      </c>
      <c r="AQ901" t="s">
        <v>74</v>
      </c>
      <c r="AR901" t="s">
        <v>6103</v>
      </c>
      <c r="AS901" t="s">
        <v>6113</v>
      </c>
      <c r="AT901" t="s">
        <v>16266</v>
      </c>
      <c r="AU901">
        <v>2023</v>
      </c>
      <c r="AV901" t="s">
        <v>74</v>
      </c>
      <c r="AW901" t="s">
        <v>74</v>
      </c>
      <c r="AX901" t="s">
        <v>74</v>
      </c>
      <c r="AY901" t="s">
        <v>74</v>
      </c>
      <c r="AZ901" t="s">
        <v>74</v>
      </c>
      <c r="BA901" t="s">
        <v>74</v>
      </c>
      <c r="BB901" t="s">
        <v>74</v>
      </c>
      <c r="BC901" t="s">
        <v>74</v>
      </c>
      <c r="BD901" t="s">
        <v>74</v>
      </c>
      <c r="BE901" t="s">
        <v>16605</v>
      </c>
      <c r="BF901" t="str">
        <f>HYPERLINK("http://dx.doi.org/10.1007/s11581-023-05159-9","http://dx.doi.org/10.1007/s11581-023-05159-9")</f>
        <v>http://dx.doi.org/10.1007/s11581-023-05159-9</v>
      </c>
      <c r="BG901" t="s">
        <v>74</v>
      </c>
      <c r="BH901" t="s">
        <v>10650</v>
      </c>
      <c r="BI901">
        <v>9</v>
      </c>
      <c r="BJ901" t="s">
        <v>6115</v>
      </c>
      <c r="BK901" t="s">
        <v>126</v>
      </c>
      <c r="BL901" t="s">
        <v>6116</v>
      </c>
      <c r="BM901" t="s">
        <v>16606</v>
      </c>
      <c r="BN901" t="s">
        <v>74</v>
      </c>
      <c r="BO901" t="s">
        <v>327</v>
      </c>
      <c r="BP901" t="s">
        <v>74</v>
      </c>
      <c r="BQ901" t="s">
        <v>74</v>
      </c>
      <c r="BR901" t="s">
        <v>99</v>
      </c>
      <c r="BS901" t="s">
        <v>16607</v>
      </c>
      <c r="BT901" t="str">
        <f>HYPERLINK("https%3A%2F%2Fwww.webofscience.com%2Fwos%2Fwoscc%2Ffull-record%2FWOS:001050396300001","View Full Record in Web of Science")</f>
        <v>View Full Record in Web of Science</v>
      </c>
    </row>
    <row r="902" spans="1:72" x14ac:dyDescent="0.15">
      <c r="A902" t="s">
        <v>72</v>
      </c>
      <c r="B902" t="s">
        <v>16608</v>
      </c>
      <c r="C902" t="s">
        <v>74</v>
      </c>
      <c r="D902" t="s">
        <v>74</v>
      </c>
      <c r="E902" t="s">
        <v>74</v>
      </c>
      <c r="F902" t="s">
        <v>16609</v>
      </c>
      <c r="G902" t="s">
        <v>74</v>
      </c>
      <c r="H902" t="s">
        <v>74</v>
      </c>
      <c r="I902" t="s">
        <v>16610</v>
      </c>
      <c r="J902" t="s">
        <v>16611</v>
      </c>
      <c r="K902" t="s">
        <v>74</v>
      </c>
      <c r="L902" t="s">
        <v>74</v>
      </c>
      <c r="M902" t="s">
        <v>78</v>
      </c>
      <c r="N902" t="s">
        <v>1246</v>
      </c>
      <c r="O902" t="s">
        <v>74</v>
      </c>
      <c r="P902" t="s">
        <v>74</v>
      </c>
      <c r="Q902" t="s">
        <v>74</v>
      </c>
      <c r="R902" t="s">
        <v>74</v>
      </c>
      <c r="S902" t="s">
        <v>74</v>
      </c>
      <c r="T902" t="s">
        <v>16612</v>
      </c>
      <c r="U902" t="s">
        <v>16613</v>
      </c>
      <c r="V902" t="s">
        <v>16614</v>
      </c>
      <c r="W902" t="s">
        <v>16615</v>
      </c>
      <c r="X902" t="s">
        <v>74</v>
      </c>
      <c r="Y902" t="s">
        <v>16616</v>
      </c>
      <c r="Z902" t="s">
        <v>16617</v>
      </c>
      <c r="AA902" t="s">
        <v>74</v>
      </c>
      <c r="AB902" t="s">
        <v>74</v>
      </c>
      <c r="AC902" t="s">
        <v>16618</v>
      </c>
      <c r="AD902" t="s">
        <v>16619</v>
      </c>
      <c r="AE902" t="s">
        <v>16620</v>
      </c>
      <c r="AF902" t="s">
        <v>74</v>
      </c>
      <c r="AG902">
        <v>30</v>
      </c>
      <c r="AH902">
        <v>0</v>
      </c>
      <c r="AI902">
        <v>0</v>
      </c>
      <c r="AJ902">
        <v>0</v>
      </c>
      <c r="AK902">
        <v>0</v>
      </c>
      <c r="AL902" t="s">
        <v>317</v>
      </c>
      <c r="AM902" t="s">
        <v>245</v>
      </c>
      <c r="AN902" t="s">
        <v>318</v>
      </c>
      <c r="AO902" t="s">
        <v>16621</v>
      </c>
      <c r="AP902" t="s">
        <v>16622</v>
      </c>
      <c r="AQ902" t="s">
        <v>74</v>
      </c>
      <c r="AR902" t="s">
        <v>16623</v>
      </c>
      <c r="AS902" t="s">
        <v>16624</v>
      </c>
      <c r="AT902" t="s">
        <v>16266</v>
      </c>
      <c r="AU902">
        <v>2023</v>
      </c>
      <c r="AV902" t="s">
        <v>74</v>
      </c>
      <c r="AW902" t="s">
        <v>74</v>
      </c>
      <c r="AX902" t="s">
        <v>74</v>
      </c>
      <c r="AY902" t="s">
        <v>74</v>
      </c>
      <c r="AZ902" t="s">
        <v>74</v>
      </c>
      <c r="BA902" t="s">
        <v>74</v>
      </c>
      <c r="BB902" t="s">
        <v>74</v>
      </c>
      <c r="BC902" t="s">
        <v>74</v>
      </c>
      <c r="BD902" t="s">
        <v>74</v>
      </c>
      <c r="BE902" t="s">
        <v>16625</v>
      </c>
      <c r="BF902" t="str">
        <f>HYPERLINK("http://dx.doi.org/10.1007/s41939-023-00211-7","http://dx.doi.org/10.1007/s41939-023-00211-7")</f>
        <v>http://dx.doi.org/10.1007/s41939-023-00211-7</v>
      </c>
      <c r="BG902" t="s">
        <v>74</v>
      </c>
      <c r="BH902" t="s">
        <v>10650</v>
      </c>
      <c r="BI902">
        <v>10</v>
      </c>
      <c r="BJ902" t="s">
        <v>16626</v>
      </c>
      <c r="BK902" t="s">
        <v>97</v>
      </c>
      <c r="BL902" t="s">
        <v>8393</v>
      </c>
      <c r="BM902" t="s">
        <v>16627</v>
      </c>
      <c r="BN902" t="s">
        <v>74</v>
      </c>
      <c r="BO902" t="s">
        <v>74</v>
      </c>
      <c r="BP902" t="s">
        <v>74</v>
      </c>
      <c r="BQ902" t="s">
        <v>74</v>
      </c>
      <c r="BR902" t="s">
        <v>99</v>
      </c>
      <c r="BS902" t="s">
        <v>16628</v>
      </c>
      <c r="BT902" t="str">
        <f>HYPERLINK("https%3A%2F%2Fwww.webofscience.com%2Fwos%2Fwoscc%2Ffull-record%2FWOS:001049979000001","View Full Record in Web of Science")</f>
        <v>View Full Record in Web of Science</v>
      </c>
    </row>
    <row r="903" spans="1:72" x14ac:dyDescent="0.15">
      <c r="A903" t="s">
        <v>72</v>
      </c>
      <c r="B903" t="s">
        <v>16629</v>
      </c>
      <c r="C903" t="s">
        <v>74</v>
      </c>
      <c r="D903" t="s">
        <v>74</v>
      </c>
      <c r="E903" t="s">
        <v>74</v>
      </c>
      <c r="F903" t="s">
        <v>16630</v>
      </c>
      <c r="G903" t="s">
        <v>74</v>
      </c>
      <c r="H903" t="s">
        <v>74</v>
      </c>
      <c r="I903" t="s">
        <v>16631</v>
      </c>
      <c r="J903" t="s">
        <v>16632</v>
      </c>
      <c r="K903" t="s">
        <v>74</v>
      </c>
      <c r="L903" t="s">
        <v>74</v>
      </c>
      <c r="M903" t="s">
        <v>78</v>
      </c>
      <c r="N903" t="s">
        <v>79</v>
      </c>
      <c r="O903" t="s">
        <v>74</v>
      </c>
      <c r="P903" t="s">
        <v>74</v>
      </c>
      <c r="Q903" t="s">
        <v>74</v>
      </c>
      <c r="R903" t="s">
        <v>74</v>
      </c>
      <c r="S903" t="s">
        <v>74</v>
      </c>
      <c r="T903" t="s">
        <v>16633</v>
      </c>
      <c r="U903" t="s">
        <v>16634</v>
      </c>
      <c r="V903" t="s">
        <v>16635</v>
      </c>
      <c r="W903" t="s">
        <v>16636</v>
      </c>
      <c r="X903" t="s">
        <v>16637</v>
      </c>
      <c r="Y903" t="s">
        <v>16638</v>
      </c>
      <c r="Z903" t="s">
        <v>16639</v>
      </c>
      <c r="AA903" t="s">
        <v>74</v>
      </c>
      <c r="AB903" t="s">
        <v>74</v>
      </c>
      <c r="AC903" t="s">
        <v>74</v>
      </c>
      <c r="AD903" t="s">
        <v>74</v>
      </c>
      <c r="AE903" t="s">
        <v>74</v>
      </c>
      <c r="AF903" t="s">
        <v>74</v>
      </c>
      <c r="AG903">
        <v>23</v>
      </c>
      <c r="AH903">
        <v>0</v>
      </c>
      <c r="AI903">
        <v>0</v>
      </c>
      <c r="AJ903">
        <v>1</v>
      </c>
      <c r="AK903">
        <v>1</v>
      </c>
      <c r="AL903" t="s">
        <v>443</v>
      </c>
      <c r="AM903" t="s">
        <v>245</v>
      </c>
      <c r="AN903" t="s">
        <v>444</v>
      </c>
      <c r="AO903" t="s">
        <v>16640</v>
      </c>
      <c r="AP903" t="s">
        <v>74</v>
      </c>
      <c r="AQ903" t="s">
        <v>74</v>
      </c>
      <c r="AR903" t="s">
        <v>16641</v>
      </c>
      <c r="AS903" t="s">
        <v>16642</v>
      </c>
      <c r="AT903" t="s">
        <v>16153</v>
      </c>
      <c r="AU903">
        <v>2023</v>
      </c>
      <c r="AV903">
        <v>23</v>
      </c>
      <c r="AW903">
        <v>1</v>
      </c>
      <c r="AX903" t="s">
        <v>74</v>
      </c>
      <c r="AY903" t="s">
        <v>74</v>
      </c>
      <c r="AZ903" t="s">
        <v>74</v>
      </c>
      <c r="BA903" t="s">
        <v>74</v>
      </c>
      <c r="BB903" t="s">
        <v>74</v>
      </c>
      <c r="BC903" t="s">
        <v>74</v>
      </c>
      <c r="BD903">
        <v>108</v>
      </c>
      <c r="BE903" t="s">
        <v>16643</v>
      </c>
      <c r="BF903" t="str">
        <f>HYPERLINK("http://dx.doi.org/10.1186/s12880-023-01066-7","http://dx.doi.org/10.1186/s12880-023-01066-7")</f>
        <v>http://dx.doi.org/10.1186/s12880-023-01066-7</v>
      </c>
      <c r="BG903" t="s">
        <v>74</v>
      </c>
      <c r="BH903" t="s">
        <v>74</v>
      </c>
      <c r="BI903">
        <v>9</v>
      </c>
      <c r="BJ903" t="s">
        <v>2396</v>
      </c>
      <c r="BK903" t="s">
        <v>126</v>
      </c>
      <c r="BL903" t="s">
        <v>2396</v>
      </c>
      <c r="BM903" t="s">
        <v>16644</v>
      </c>
      <c r="BN903">
        <v>37592200</v>
      </c>
      <c r="BO903" t="s">
        <v>981</v>
      </c>
      <c r="BP903" t="s">
        <v>74</v>
      </c>
      <c r="BQ903" t="s">
        <v>74</v>
      </c>
      <c r="BR903" t="s">
        <v>99</v>
      </c>
      <c r="BS903" t="s">
        <v>16645</v>
      </c>
      <c r="BT903" t="str">
        <f>HYPERLINK("https%3A%2F%2Fwww.webofscience.com%2Fwos%2Fwoscc%2Ffull-record%2FWOS:001049480700001","View Full Record in Web of Science")</f>
        <v>View Full Record in Web of Science</v>
      </c>
    </row>
    <row r="904" spans="1:72" x14ac:dyDescent="0.15">
      <c r="A904" t="s">
        <v>72</v>
      </c>
      <c r="B904" t="s">
        <v>16646</v>
      </c>
      <c r="C904" t="s">
        <v>74</v>
      </c>
      <c r="D904" t="s">
        <v>74</v>
      </c>
      <c r="E904" t="s">
        <v>74</v>
      </c>
      <c r="F904" t="s">
        <v>16647</v>
      </c>
      <c r="G904" t="s">
        <v>74</v>
      </c>
      <c r="H904" t="s">
        <v>74</v>
      </c>
      <c r="I904" t="s">
        <v>16648</v>
      </c>
      <c r="J904" t="s">
        <v>3402</v>
      </c>
      <c r="K904" t="s">
        <v>74</v>
      </c>
      <c r="L904" t="s">
        <v>74</v>
      </c>
      <c r="M904" t="s">
        <v>78</v>
      </c>
      <c r="N904" t="s">
        <v>79</v>
      </c>
      <c r="O904" t="s">
        <v>74</v>
      </c>
      <c r="P904" t="s">
        <v>74</v>
      </c>
      <c r="Q904" t="s">
        <v>74</v>
      </c>
      <c r="R904" t="s">
        <v>74</v>
      </c>
      <c r="S904" t="s">
        <v>74</v>
      </c>
      <c r="T904" t="s">
        <v>16649</v>
      </c>
      <c r="U904" t="s">
        <v>16650</v>
      </c>
      <c r="V904" t="s">
        <v>16651</v>
      </c>
      <c r="W904" t="s">
        <v>16652</v>
      </c>
      <c r="X904" t="s">
        <v>16653</v>
      </c>
      <c r="Y904" t="s">
        <v>16654</v>
      </c>
      <c r="Z904" t="s">
        <v>16655</v>
      </c>
      <c r="AA904" t="s">
        <v>74</v>
      </c>
      <c r="AB904" t="s">
        <v>74</v>
      </c>
      <c r="AC904" t="s">
        <v>74</v>
      </c>
      <c r="AD904" t="s">
        <v>74</v>
      </c>
      <c r="AE904" t="s">
        <v>74</v>
      </c>
      <c r="AF904" t="s">
        <v>74</v>
      </c>
      <c r="AG904">
        <v>27</v>
      </c>
      <c r="AH904">
        <v>0</v>
      </c>
      <c r="AI904">
        <v>0</v>
      </c>
      <c r="AJ904">
        <v>1</v>
      </c>
      <c r="AK904">
        <v>1</v>
      </c>
      <c r="AL904" t="s">
        <v>443</v>
      </c>
      <c r="AM904" t="s">
        <v>245</v>
      </c>
      <c r="AN904" t="s">
        <v>444</v>
      </c>
      <c r="AO904" t="s">
        <v>3410</v>
      </c>
      <c r="AP904" t="s">
        <v>3411</v>
      </c>
      <c r="AQ904" t="s">
        <v>74</v>
      </c>
      <c r="AR904" t="s">
        <v>3412</v>
      </c>
      <c r="AS904" t="s">
        <v>3413</v>
      </c>
      <c r="AT904" t="s">
        <v>16153</v>
      </c>
      <c r="AU904">
        <v>2023</v>
      </c>
      <c r="AV904">
        <v>28</v>
      </c>
      <c r="AW904">
        <v>1</v>
      </c>
      <c r="AX904" t="s">
        <v>74</v>
      </c>
      <c r="AY904" t="s">
        <v>74</v>
      </c>
      <c r="AZ904" t="s">
        <v>74</v>
      </c>
      <c r="BA904" t="s">
        <v>74</v>
      </c>
      <c r="BB904" t="s">
        <v>74</v>
      </c>
      <c r="BC904" t="s">
        <v>74</v>
      </c>
      <c r="BD904">
        <v>287</v>
      </c>
      <c r="BE904" t="s">
        <v>16656</v>
      </c>
      <c r="BF904" t="str">
        <f>HYPERLINK("http://dx.doi.org/10.1186/s40001-023-01247-8","http://dx.doi.org/10.1186/s40001-023-01247-8")</f>
        <v>http://dx.doi.org/10.1186/s40001-023-01247-8</v>
      </c>
      <c r="BG904" t="s">
        <v>74</v>
      </c>
      <c r="BH904" t="s">
        <v>74</v>
      </c>
      <c r="BI904">
        <v>7</v>
      </c>
      <c r="BJ904" t="s">
        <v>3415</v>
      </c>
      <c r="BK904" t="s">
        <v>126</v>
      </c>
      <c r="BL904" t="s">
        <v>3416</v>
      </c>
      <c r="BM904" t="s">
        <v>16657</v>
      </c>
      <c r="BN904">
        <v>37592356</v>
      </c>
      <c r="BO904" t="s">
        <v>157</v>
      </c>
      <c r="BP904" t="s">
        <v>74</v>
      </c>
      <c r="BQ904" t="s">
        <v>74</v>
      </c>
      <c r="BR904" t="s">
        <v>99</v>
      </c>
      <c r="BS904" t="s">
        <v>16658</v>
      </c>
      <c r="BT904" t="str">
        <f>HYPERLINK("https%3A%2F%2Fwww.webofscience.com%2Fwos%2Fwoscc%2Ffull-record%2FWOS:001050065500002","View Full Record in Web of Science")</f>
        <v>View Full Record in Web of Science</v>
      </c>
    </row>
    <row r="905" spans="1:72" x14ac:dyDescent="0.15">
      <c r="A905" t="s">
        <v>72</v>
      </c>
      <c r="B905" t="s">
        <v>16659</v>
      </c>
      <c r="C905" t="s">
        <v>74</v>
      </c>
      <c r="D905" t="s">
        <v>74</v>
      </c>
      <c r="E905" t="s">
        <v>74</v>
      </c>
      <c r="F905" t="s">
        <v>16660</v>
      </c>
      <c r="G905" t="s">
        <v>74</v>
      </c>
      <c r="H905" t="s">
        <v>74</v>
      </c>
      <c r="I905" t="s">
        <v>16661</v>
      </c>
      <c r="J905" t="s">
        <v>7716</v>
      </c>
      <c r="K905" t="s">
        <v>74</v>
      </c>
      <c r="L905" t="s">
        <v>74</v>
      </c>
      <c r="M905" t="s">
        <v>78</v>
      </c>
      <c r="N905" t="s">
        <v>79</v>
      </c>
      <c r="O905" t="s">
        <v>74</v>
      </c>
      <c r="P905" t="s">
        <v>74</v>
      </c>
      <c r="Q905" t="s">
        <v>74</v>
      </c>
      <c r="R905" t="s">
        <v>74</v>
      </c>
      <c r="S905" t="s">
        <v>74</v>
      </c>
      <c r="T905" t="s">
        <v>16662</v>
      </c>
      <c r="U905" t="s">
        <v>16663</v>
      </c>
      <c r="V905" t="s">
        <v>16664</v>
      </c>
      <c r="W905" t="s">
        <v>16665</v>
      </c>
      <c r="X905" t="s">
        <v>16666</v>
      </c>
      <c r="Y905" t="s">
        <v>16667</v>
      </c>
      <c r="Z905" t="s">
        <v>16668</v>
      </c>
      <c r="AA905" t="s">
        <v>16669</v>
      </c>
      <c r="AB905" t="s">
        <v>16670</v>
      </c>
      <c r="AC905" t="s">
        <v>74</v>
      </c>
      <c r="AD905" t="s">
        <v>74</v>
      </c>
      <c r="AE905" t="s">
        <v>74</v>
      </c>
      <c r="AF905" t="s">
        <v>74</v>
      </c>
      <c r="AG905">
        <v>80</v>
      </c>
      <c r="AH905">
        <v>0</v>
      </c>
      <c r="AI905">
        <v>0</v>
      </c>
      <c r="AJ905">
        <v>7</v>
      </c>
      <c r="AK905">
        <v>7</v>
      </c>
      <c r="AL905" t="s">
        <v>443</v>
      </c>
      <c r="AM905" t="s">
        <v>245</v>
      </c>
      <c r="AN905" t="s">
        <v>444</v>
      </c>
      <c r="AO905" t="s">
        <v>7727</v>
      </c>
      <c r="AP905" t="s">
        <v>74</v>
      </c>
      <c r="AQ905" t="s">
        <v>74</v>
      </c>
      <c r="AR905" t="s">
        <v>7716</v>
      </c>
      <c r="AS905" t="s">
        <v>7728</v>
      </c>
      <c r="AT905" t="s">
        <v>16153</v>
      </c>
      <c r="AU905">
        <v>2023</v>
      </c>
      <c r="AV905">
        <v>24</v>
      </c>
      <c r="AW905">
        <v>1</v>
      </c>
      <c r="AX905" t="s">
        <v>74</v>
      </c>
      <c r="AY905" t="s">
        <v>74</v>
      </c>
      <c r="AZ905" t="s">
        <v>74</v>
      </c>
      <c r="BA905" t="s">
        <v>74</v>
      </c>
      <c r="BB905" t="s">
        <v>74</v>
      </c>
      <c r="BC905" t="s">
        <v>74</v>
      </c>
      <c r="BD905">
        <v>462</v>
      </c>
      <c r="BE905" t="s">
        <v>16671</v>
      </c>
      <c r="BF905" t="str">
        <f>HYPERLINK("http://dx.doi.org/10.1186/s12864-023-09555-3","http://dx.doi.org/10.1186/s12864-023-09555-3")</f>
        <v>http://dx.doi.org/10.1186/s12864-023-09555-3</v>
      </c>
      <c r="BG905" t="s">
        <v>74</v>
      </c>
      <c r="BH905" t="s">
        <v>74</v>
      </c>
      <c r="BI905">
        <v>16</v>
      </c>
      <c r="BJ905" t="s">
        <v>4881</v>
      </c>
      <c r="BK905" t="s">
        <v>126</v>
      </c>
      <c r="BL905" t="s">
        <v>4881</v>
      </c>
      <c r="BM905" t="s">
        <v>16672</v>
      </c>
      <c r="BN905">
        <v>37592233</v>
      </c>
      <c r="BO905" t="s">
        <v>981</v>
      </c>
      <c r="BP905" t="s">
        <v>74</v>
      </c>
      <c r="BQ905" t="s">
        <v>74</v>
      </c>
      <c r="BR905" t="s">
        <v>99</v>
      </c>
      <c r="BS905" t="s">
        <v>16673</v>
      </c>
      <c r="BT905" t="str">
        <f>HYPERLINK("https%3A%2F%2Fwww.webofscience.com%2Fwos%2Fwoscc%2Ffull-record%2FWOS:001049488100004","View Full Record in Web of Science")</f>
        <v>View Full Record in Web of Science</v>
      </c>
    </row>
    <row r="906" spans="1:72" x14ac:dyDescent="0.15">
      <c r="A906" t="s">
        <v>72</v>
      </c>
      <c r="B906" t="s">
        <v>16674</v>
      </c>
      <c r="C906" t="s">
        <v>74</v>
      </c>
      <c r="D906" t="s">
        <v>74</v>
      </c>
      <c r="E906" t="s">
        <v>74</v>
      </c>
      <c r="F906" t="s">
        <v>16675</v>
      </c>
      <c r="G906" t="s">
        <v>74</v>
      </c>
      <c r="H906" t="s">
        <v>74</v>
      </c>
      <c r="I906" t="s">
        <v>16676</v>
      </c>
      <c r="J906" t="s">
        <v>7161</v>
      </c>
      <c r="K906" t="s">
        <v>74</v>
      </c>
      <c r="L906" t="s">
        <v>74</v>
      </c>
      <c r="M906" t="s">
        <v>78</v>
      </c>
      <c r="N906" t="s">
        <v>79</v>
      </c>
      <c r="O906" t="s">
        <v>74</v>
      </c>
      <c r="P906" t="s">
        <v>74</v>
      </c>
      <c r="Q906" t="s">
        <v>74</v>
      </c>
      <c r="R906" t="s">
        <v>74</v>
      </c>
      <c r="S906" t="s">
        <v>74</v>
      </c>
      <c r="T906" t="s">
        <v>16677</v>
      </c>
      <c r="U906" t="s">
        <v>16678</v>
      </c>
      <c r="V906" t="s">
        <v>16679</v>
      </c>
      <c r="W906" t="s">
        <v>16680</v>
      </c>
      <c r="X906" t="s">
        <v>16681</v>
      </c>
      <c r="Y906" t="s">
        <v>16682</v>
      </c>
      <c r="Z906" t="s">
        <v>16683</v>
      </c>
      <c r="AA906" t="s">
        <v>74</v>
      </c>
      <c r="AB906" t="s">
        <v>74</v>
      </c>
      <c r="AC906" t="s">
        <v>16684</v>
      </c>
      <c r="AD906" t="s">
        <v>16685</v>
      </c>
      <c r="AE906" t="s">
        <v>16686</v>
      </c>
      <c r="AF906" t="s">
        <v>74</v>
      </c>
      <c r="AG906">
        <v>76</v>
      </c>
      <c r="AH906">
        <v>0</v>
      </c>
      <c r="AI906">
        <v>0</v>
      </c>
      <c r="AJ906">
        <v>7</v>
      </c>
      <c r="AK906">
        <v>7</v>
      </c>
      <c r="AL906" t="s">
        <v>172</v>
      </c>
      <c r="AM906" t="s">
        <v>173</v>
      </c>
      <c r="AN906" t="s">
        <v>174</v>
      </c>
      <c r="AO906" t="s">
        <v>7172</v>
      </c>
      <c r="AP906" t="s">
        <v>7173</v>
      </c>
      <c r="AQ906" t="s">
        <v>74</v>
      </c>
      <c r="AR906" t="s">
        <v>7174</v>
      </c>
      <c r="AS906" t="s">
        <v>7175</v>
      </c>
      <c r="AT906" t="s">
        <v>8614</v>
      </c>
      <c r="AU906">
        <v>2023</v>
      </c>
      <c r="AV906">
        <v>30</v>
      </c>
      <c r="AW906">
        <v>43</v>
      </c>
      <c r="AX906" t="s">
        <v>74</v>
      </c>
      <c r="AY906" t="s">
        <v>74</v>
      </c>
      <c r="AZ906" t="s">
        <v>74</v>
      </c>
      <c r="BA906" t="s">
        <v>74</v>
      </c>
      <c r="BB906">
        <v>97195</v>
      </c>
      <c r="BC906">
        <v>97208</v>
      </c>
      <c r="BD906" t="s">
        <v>74</v>
      </c>
      <c r="BE906" t="s">
        <v>16687</v>
      </c>
      <c r="BF906" t="str">
        <f>HYPERLINK("http://dx.doi.org/10.1007/s11356-023-28819-9","http://dx.doi.org/10.1007/s11356-023-28819-9")</f>
        <v>http://dx.doi.org/10.1007/s11356-023-28819-9</v>
      </c>
      <c r="BG906" t="s">
        <v>74</v>
      </c>
      <c r="BH906" t="s">
        <v>10650</v>
      </c>
      <c r="BI906">
        <v>14</v>
      </c>
      <c r="BJ906" t="s">
        <v>1346</v>
      </c>
      <c r="BK906" t="s">
        <v>126</v>
      </c>
      <c r="BL906" t="s">
        <v>1347</v>
      </c>
      <c r="BM906" t="s">
        <v>14337</v>
      </c>
      <c r="BN906">
        <v>37589843</v>
      </c>
      <c r="BO906" t="s">
        <v>74</v>
      </c>
      <c r="BP906" t="s">
        <v>74</v>
      </c>
      <c r="BQ906" t="s">
        <v>74</v>
      </c>
      <c r="BR906" t="s">
        <v>99</v>
      </c>
      <c r="BS906" t="s">
        <v>16688</v>
      </c>
      <c r="BT906" t="str">
        <f>HYPERLINK("https%3A%2F%2Fwww.webofscience.com%2Fwos%2Fwoscc%2Ffull-record%2FWOS:001050424400001","View Full Record in Web of Science")</f>
        <v>View Full Record in Web of Science</v>
      </c>
    </row>
    <row r="907" spans="1:72" x14ac:dyDescent="0.15">
      <c r="A907" t="s">
        <v>72</v>
      </c>
      <c r="B907" t="s">
        <v>16689</v>
      </c>
      <c r="C907" t="s">
        <v>74</v>
      </c>
      <c r="D907" t="s">
        <v>74</v>
      </c>
      <c r="E907" t="s">
        <v>74</v>
      </c>
      <c r="F907" t="s">
        <v>16690</v>
      </c>
      <c r="G907" t="s">
        <v>74</v>
      </c>
      <c r="H907" t="s">
        <v>74</v>
      </c>
      <c r="I907" t="s">
        <v>16691</v>
      </c>
      <c r="J907" t="s">
        <v>1226</v>
      </c>
      <c r="K907" t="s">
        <v>74</v>
      </c>
      <c r="L907" t="s">
        <v>74</v>
      </c>
      <c r="M907" t="s">
        <v>78</v>
      </c>
      <c r="N907" t="s">
        <v>79</v>
      </c>
      <c r="O907" t="s">
        <v>74</v>
      </c>
      <c r="P907" t="s">
        <v>74</v>
      </c>
      <c r="Q907" t="s">
        <v>74</v>
      </c>
      <c r="R907" t="s">
        <v>74</v>
      </c>
      <c r="S907" t="s">
        <v>74</v>
      </c>
      <c r="T907" t="s">
        <v>16692</v>
      </c>
      <c r="U907" t="s">
        <v>16693</v>
      </c>
      <c r="V907" t="s">
        <v>16694</v>
      </c>
      <c r="W907" t="s">
        <v>16695</v>
      </c>
      <c r="X907" t="s">
        <v>16696</v>
      </c>
      <c r="Y907" t="s">
        <v>16697</v>
      </c>
      <c r="Z907" t="s">
        <v>16698</v>
      </c>
      <c r="AA907" t="s">
        <v>74</v>
      </c>
      <c r="AB907" t="s">
        <v>74</v>
      </c>
      <c r="AC907" t="s">
        <v>74</v>
      </c>
      <c r="AD907" t="s">
        <v>74</v>
      </c>
      <c r="AE907" t="s">
        <v>74</v>
      </c>
      <c r="AF907" t="s">
        <v>74</v>
      </c>
      <c r="AG907">
        <v>14</v>
      </c>
      <c r="AH907">
        <v>0</v>
      </c>
      <c r="AI907">
        <v>0</v>
      </c>
      <c r="AJ907">
        <v>0</v>
      </c>
      <c r="AK907">
        <v>0</v>
      </c>
      <c r="AL907" t="s">
        <v>317</v>
      </c>
      <c r="AM907" t="s">
        <v>245</v>
      </c>
      <c r="AN907" t="s">
        <v>318</v>
      </c>
      <c r="AO907" t="s">
        <v>74</v>
      </c>
      <c r="AP907" t="s">
        <v>1232</v>
      </c>
      <c r="AQ907" t="s">
        <v>74</v>
      </c>
      <c r="AR907" t="s">
        <v>1233</v>
      </c>
      <c r="AS907" t="s">
        <v>1234</v>
      </c>
      <c r="AT907" t="s">
        <v>16699</v>
      </c>
      <c r="AU907">
        <v>2023</v>
      </c>
      <c r="AV907">
        <v>15</v>
      </c>
      <c r="AW907">
        <v>8</v>
      </c>
      <c r="AX907" t="s">
        <v>74</v>
      </c>
      <c r="AY907" t="s">
        <v>74</v>
      </c>
      <c r="AZ907" t="s">
        <v>74</v>
      </c>
      <c r="BA907" t="s">
        <v>74</v>
      </c>
      <c r="BB907" t="s">
        <v>74</v>
      </c>
      <c r="BC907" t="s">
        <v>74</v>
      </c>
      <c r="BD907" t="s">
        <v>16700</v>
      </c>
      <c r="BE907" t="s">
        <v>16701</v>
      </c>
      <c r="BF907" t="str">
        <f>HYPERLINK("http://dx.doi.org/10.7759/cureus.43570","http://dx.doi.org/10.7759/cureus.43570")</f>
        <v>http://dx.doi.org/10.7759/cureus.43570</v>
      </c>
      <c r="BG907" t="s">
        <v>74</v>
      </c>
      <c r="BH907" t="s">
        <v>74</v>
      </c>
      <c r="BI907">
        <v>10</v>
      </c>
      <c r="BJ907" t="s">
        <v>1238</v>
      </c>
      <c r="BK907" t="s">
        <v>97</v>
      </c>
      <c r="BL907" t="s">
        <v>1239</v>
      </c>
      <c r="BM907" t="s">
        <v>16702</v>
      </c>
      <c r="BN907">
        <v>37719519</v>
      </c>
      <c r="BO907" t="s">
        <v>157</v>
      </c>
      <c r="BP907" t="s">
        <v>74</v>
      </c>
      <c r="BQ907" t="s">
        <v>74</v>
      </c>
      <c r="BR907" t="s">
        <v>99</v>
      </c>
      <c r="BS907" t="s">
        <v>16703</v>
      </c>
      <c r="BT907" t="str">
        <f>HYPERLINK("https%3A%2F%2Fwww.webofscience.com%2Fwos%2Fwoscc%2Ffull-record%2FWOS:001058399300017","View Full Record in Web of Science")</f>
        <v>View Full Record in Web of Science</v>
      </c>
    </row>
    <row r="908" spans="1:72" x14ac:dyDescent="0.15">
      <c r="A908" t="s">
        <v>72</v>
      </c>
      <c r="B908" t="s">
        <v>16704</v>
      </c>
      <c r="C908" t="s">
        <v>74</v>
      </c>
      <c r="D908" t="s">
        <v>74</v>
      </c>
      <c r="E908" t="s">
        <v>74</v>
      </c>
      <c r="F908" t="s">
        <v>16705</v>
      </c>
      <c r="G908" t="s">
        <v>74</v>
      </c>
      <c r="H908" t="s">
        <v>74</v>
      </c>
      <c r="I908" t="s">
        <v>16706</v>
      </c>
      <c r="J908" t="s">
        <v>16707</v>
      </c>
      <c r="K908" t="s">
        <v>74</v>
      </c>
      <c r="L908" t="s">
        <v>74</v>
      </c>
      <c r="M908" t="s">
        <v>78</v>
      </c>
      <c r="N908" t="s">
        <v>5945</v>
      </c>
      <c r="O908" t="s">
        <v>74</v>
      </c>
      <c r="P908" t="s">
        <v>74</v>
      </c>
      <c r="Q908" t="s">
        <v>74</v>
      </c>
      <c r="R908" t="s">
        <v>74</v>
      </c>
      <c r="S908" t="s">
        <v>74</v>
      </c>
      <c r="T908" t="s">
        <v>74</v>
      </c>
      <c r="U908" t="s">
        <v>74</v>
      </c>
      <c r="V908" t="s">
        <v>74</v>
      </c>
      <c r="W908" t="s">
        <v>16708</v>
      </c>
      <c r="X908" t="s">
        <v>16709</v>
      </c>
      <c r="Y908" t="s">
        <v>16710</v>
      </c>
      <c r="Z908" t="s">
        <v>16711</v>
      </c>
      <c r="AA908" t="s">
        <v>74</v>
      </c>
      <c r="AB908" t="s">
        <v>74</v>
      </c>
      <c r="AC908" t="s">
        <v>74</v>
      </c>
      <c r="AD908" t="s">
        <v>74</v>
      </c>
      <c r="AE908" t="s">
        <v>74</v>
      </c>
      <c r="AF908" t="s">
        <v>74</v>
      </c>
      <c r="AG908">
        <v>1</v>
      </c>
      <c r="AH908">
        <v>0</v>
      </c>
      <c r="AI908">
        <v>0</v>
      </c>
      <c r="AJ908">
        <v>1</v>
      </c>
      <c r="AK908">
        <v>1</v>
      </c>
      <c r="AL908" t="s">
        <v>172</v>
      </c>
      <c r="AM908" t="s">
        <v>173</v>
      </c>
      <c r="AN908" t="s">
        <v>174</v>
      </c>
      <c r="AO908" t="s">
        <v>16712</v>
      </c>
      <c r="AP908" t="s">
        <v>16713</v>
      </c>
      <c r="AQ908" t="s">
        <v>74</v>
      </c>
      <c r="AR908" t="s">
        <v>16714</v>
      </c>
      <c r="AS908" t="s">
        <v>16715</v>
      </c>
      <c r="AT908" t="s">
        <v>16716</v>
      </c>
      <c r="AU908">
        <v>2023</v>
      </c>
      <c r="AV908" t="s">
        <v>74</v>
      </c>
      <c r="AW908" t="s">
        <v>74</v>
      </c>
      <c r="AX908" t="s">
        <v>74</v>
      </c>
      <c r="AY908" t="s">
        <v>74</v>
      </c>
      <c r="AZ908" t="s">
        <v>74</v>
      </c>
      <c r="BA908" t="s">
        <v>74</v>
      </c>
      <c r="BB908" t="s">
        <v>74</v>
      </c>
      <c r="BC908" t="s">
        <v>74</v>
      </c>
      <c r="BD908" t="s">
        <v>74</v>
      </c>
      <c r="BE908" t="s">
        <v>16717</v>
      </c>
      <c r="BF908" t="str">
        <f>HYPERLINK("http://dx.doi.org/10.1140/epjs/s11734-023-00958-7","http://dx.doi.org/10.1140/epjs/s11734-023-00958-7")</f>
        <v>http://dx.doi.org/10.1140/epjs/s11734-023-00958-7</v>
      </c>
      <c r="BG908" t="s">
        <v>74</v>
      </c>
      <c r="BH908" t="s">
        <v>10650</v>
      </c>
      <c r="BI908">
        <v>1</v>
      </c>
      <c r="BJ908" t="s">
        <v>386</v>
      </c>
      <c r="BK908" t="s">
        <v>126</v>
      </c>
      <c r="BL908" t="s">
        <v>387</v>
      </c>
      <c r="BM908" t="s">
        <v>16718</v>
      </c>
      <c r="BN908" t="s">
        <v>74</v>
      </c>
      <c r="BO908" t="s">
        <v>762</v>
      </c>
      <c r="BP908" t="s">
        <v>74</v>
      </c>
      <c r="BQ908" t="s">
        <v>74</v>
      </c>
      <c r="BR908" t="s">
        <v>99</v>
      </c>
      <c r="BS908" t="s">
        <v>16719</v>
      </c>
      <c r="BT908" t="str">
        <f>HYPERLINK("https%3A%2F%2Fwww.webofscience.com%2Fwos%2Fwoscc%2Ffull-record%2FWOS:001049794900002","View Full Record in Web of Science")</f>
        <v>View Full Record in Web of Science</v>
      </c>
    </row>
    <row r="909" spans="1:72" x14ac:dyDescent="0.15">
      <c r="A909" t="s">
        <v>72</v>
      </c>
      <c r="B909" t="s">
        <v>16720</v>
      </c>
      <c r="C909" t="s">
        <v>74</v>
      </c>
      <c r="D909" t="s">
        <v>74</v>
      </c>
      <c r="E909" t="s">
        <v>74</v>
      </c>
      <c r="F909" t="s">
        <v>16721</v>
      </c>
      <c r="G909" t="s">
        <v>74</v>
      </c>
      <c r="H909" t="s">
        <v>74</v>
      </c>
      <c r="I909" t="s">
        <v>16722</v>
      </c>
      <c r="J909" t="s">
        <v>16112</v>
      </c>
      <c r="K909" t="s">
        <v>74</v>
      </c>
      <c r="L909" t="s">
        <v>74</v>
      </c>
      <c r="M909" t="s">
        <v>78</v>
      </c>
      <c r="N909" t="s">
        <v>79</v>
      </c>
      <c r="O909" t="s">
        <v>74</v>
      </c>
      <c r="P909" t="s">
        <v>74</v>
      </c>
      <c r="Q909" t="s">
        <v>74</v>
      </c>
      <c r="R909" t="s">
        <v>74</v>
      </c>
      <c r="S909" t="s">
        <v>74</v>
      </c>
      <c r="T909" t="s">
        <v>16723</v>
      </c>
      <c r="U909" t="s">
        <v>74</v>
      </c>
      <c r="V909" t="s">
        <v>16724</v>
      </c>
      <c r="W909" t="s">
        <v>16725</v>
      </c>
      <c r="X909" t="s">
        <v>16726</v>
      </c>
      <c r="Y909" t="s">
        <v>16727</v>
      </c>
      <c r="Z909" t="s">
        <v>16728</v>
      </c>
      <c r="AA909" t="s">
        <v>74</v>
      </c>
      <c r="AB909" t="s">
        <v>16729</v>
      </c>
      <c r="AC909" t="s">
        <v>16730</v>
      </c>
      <c r="AD909" t="s">
        <v>16731</v>
      </c>
      <c r="AE909" t="s">
        <v>16732</v>
      </c>
      <c r="AF909" t="s">
        <v>74</v>
      </c>
      <c r="AG909">
        <v>27</v>
      </c>
      <c r="AH909">
        <v>0</v>
      </c>
      <c r="AI909">
        <v>0</v>
      </c>
      <c r="AJ909">
        <v>0</v>
      </c>
      <c r="AK909">
        <v>0</v>
      </c>
      <c r="AL909" t="s">
        <v>117</v>
      </c>
      <c r="AM909" t="s">
        <v>118</v>
      </c>
      <c r="AN909" t="s">
        <v>119</v>
      </c>
      <c r="AO909" t="s">
        <v>16123</v>
      </c>
      <c r="AP909" t="s">
        <v>74</v>
      </c>
      <c r="AQ909" t="s">
        <v>74</v>
      </c>
      <c r="AR909" t="s">
        <v>16124</v>
      </c>
      <c r="AS909" t="s">
        <v>16125</v>
      </c>
      <c r="AT909" t="s">
        <v>16699</v>
      </c>
      <c r="AU909">
        <v>2023</v>
      </c>
      <c r="AV909" t="s">
        <v>74</v>
      </c>
      <c r="AW909">
        <v>8</v>
      </c>
      <c r="AX909" t="s">
        <v>74</v>
      </c>
      <c r="AY909" t="s">
        <v>74</v>
      </c>
      <c r="AZ909" t="s">
        <v>74</v>
      </c>
      <c r="BA909" t="s">
        <v>74</v>
      </c>
      <c r="BB909" t="s">
        <v>74</v>
      </c>
      <c r="BC909" t="s">
        <v>74</v>
      </c>
      <c r="BD909">
        <v>84</v>
      </c>
      <c r="BE909" t="s">
        <v>16733</v>
      </c>
      <c r="BF909" t="str">
        <f>HYPERLINK("http://dx.doi.org/10.1007/JHEP08(2023)084","http://dx.doi.org/10.1007/JHEP08(2023)084")</f>
        <v>http://dx.doi.org/10.1007/JHEP08(2023)084</v>
      </c>
      <c r="BG909" t="s">
        <v>74</v>
      </c>
      <c r="BH909" t="s">
        <v>74</v>
      </c>
      <c r="BI909">
        <v>13</v>
      </c>
      <c r="BJ909" t="s">
        <v>15335</v>
      </c>
      <c r="BK909" t="s">
        <v>126</v>
      </c>
      <c r="BL909" t="s">
        <v>387</v>
      </c>
      <c r="BM909" t="s">
        <v>16734</v>
      </c>
      <c r="BN909" t="s">
        <v>74</v>
      </c>
      <c r="BO909" t="s">
        <v>302</v>
      </c>
      <c r="BP909" t="s">
        <v>74</v>
      </c>
      <c r="BQ909" t="s">
        <v>74</v>
      </c>
      <c r="BR909" t="s">
        <v>99</v>
      </c>
      <c r="BS909" t="s">
        <v>16735</v>
      </c>
      <c r="BT909" t="str">
        <f>HYPERLINK("https%3A%2F%2Fwww.webofscience.com%2Fwos%2Fwoscc%2Ffull-record%2FWOS:001049819100010","View Full Record in Web of Science")</f>
        <v>View Full Record in Web of Science</v>
      </c>
    </row>
    <row r="910" spans="1:72" x14ac:dyDescent="0.15">
      <c r="A910" t="s">
        <v>72</v>
      </c>
      <c r="B910" t="s">
        <v>16736</v>
      </c>
      <c r="C910" t="s">
        <v>74</v>
      </c>
      <c r="D910" t="s">
        <v>74</v>
      </c>
      <c r="E910" t="s">
        <v>74</v>
      </c>
      <c r="F910" t="s">
        <v>16737</v>
      </c>
      <c r="G910" t="s">
        <v>74</v>
      </c>
      <c r="H910" t="s">
        <v>74</v>
      </c>
      <c r="I910" t="s">
        <v>16738</v>
      </c>
      <c r="J910" t="s">
        <v>8456</v>
      </c>
      <c r="K910" t="s">
        <v>74</v>
      </c>
      <c r="L910" t="s">
        <v>74</v>
      </c>
      <c r="M910" t="s">
        <v>78</v>
      </c>
      <c r="N910" t="s">
        <v>79</v>
      </c>
      <c r="O910" t="s">
        <v>74</v>
      </c>
      <c r="P910" t="s">
        <v>74</v>
      </c>
      <c r="Q910" t="s">
        <v>74</v>
      </c>
      <c r="R910" t="s">
        <v>74</v>
      </c>
      <c r="S910" t="s">
        <v>74</v>
      </c>
      <c r="T910" t="s">
        <v>16739</v>
      </c>
      <c r="U910" t="s">
        <v>16740</v>
      </c>
      <c r="V910" t="s">
        <v>16741</v>
      </c>
      <c r="W910" t="s">
        <v>16742</v>
      </c>
      <c r="X910" t="s">
        <v>16743</v>
      </c>
      <c r="Y910" t="s">
        <v>16744</v>
      </c>
      <c r="Z910" t="s">
        <v>16745</v>
      </c>
      <c r="AA910" t="s">
        <v>16746</v>
      </c>
      <c r="AB910" t="s">
        <v>74</v>
      </c>
      <c r="AC910" t="s">
        <v>74</v>
      </c>
      <c r="AD910" t="s">
        <v>74</v>
      </c>
      <c r="AE910" t="s">
        <v>74</v>
      </c>
      <c r="AF910" t="s">
        <v>74</v>
      </c>
      <c r="AG910">
        <v>51</v>
      </c>
      <c r="AH910">
        <v>0</v>
      </c>
      <c r="AI910">
        <v>0</v>
      </c>
      <c r="AJ910">
        <v>2</v>
      </c>
      <c r="AK910">
        <v>2</v>
      </c>
      <c r="AL910" t="s">
        <v>443</v>
      </c>
      <c r="AM910" t="s">
        <v>245</v>
      </c>
      <c r="AN910" t="s">
        <v>444</v>
      </c>
      <c r="AO910" t="s">
        <v>74</v>
      </c>
      <c r="AP910" t="s">
        <v>8465</v>
      </c>
      <c r="AQ910" t="s">
        <v>74</v>
      </c>
      <c r="AR910" t="s">
        <v>8466</v>
      </c>
      <c r="AS910" t="s">
        <v>8467</v>
      </c>
      <c r="AT910" t="s">
        <v>16699</v>
      </c>
      <c r="AU910">
        <v>2023</v>
      </c>
      <c r="AV910">
        <v>21</v>
      </c>
      <c r="AW910">
        <v>1</v>
      </c>
      <c r="AX910" t="s">
        <v>74</v>
      </c>
      <c r="AY910" t="s">
        <v>74</v>
      </c>
      <c r="AZ910" t="s">
        <v>74</v>
      </c>
      <c r="BA910" t="s">
        <v>74</v>
      </c>
      <c r="BB910" t="s">
        <v>74</v>
      </c>
      <c r="BC910" t="s">
        <v>74</v>
      </c>
      <c r="BD910">
        <v>547</v>
      </c>
      <c r="BE910" t="s">
        <v>16747</v>
      </c>
      <c r="BF910" t="str">
        <f>HYPERLINK("http://dx.doi.org/10.1186/s12967-023-04403-0","http://dx.doi.org/10.1186/s12967-023-04403-0")</f>
        <v>http://dx.doi.org/10.1186/s12967-023-04403-0</v>
      </c>
      <c r="BG910" t="s">
        <v>74</v>
      </c>
      <c r="BH910" t="s">
        <v>74</v>
      </c>
      <c r="BI910">
        <v>15</v>
      </c>
      <c r="BJ910" t="s">
        <v>3415</v>
      </c>
      <c r="BK910" t="s">
        <v>126</v>
      </c>
      <c r="BL910" t="s">
        <v>3416</v>
      </c>
      <c r="BM910" t="s">
        <v>16748</v>
      </c>
      <c r="BN910">
        <v>37587486</v>
      </c>
      <c r="BO910" t="s">
        <v>4201</v>
      </c>
      <c r="BP910" t="s">
        <v>74</v>
      </c>
      <c r="BQ910" t="s">
        <v>74</v>
      </c>
      <c r="BR910" t="s">
        <v>99</v>
      </c>
      <c r="BS910" t="s">
        <v>16749</v>
      </c>
      <c r="BT910" t="str">
        <f>HYPERLINK("https%3A%2F%2Fwww.webofscience.com%2Fwos%2Fwoscc%2Ffull-record%2FWOS:001051778000005","View Full Record in Web of Science")</f>
        <v>View Full Record in Web of Science</v>
      </c>
    </row>
    <row r="911" spans="1:72" x14ac:dyDescent="0.15">
      <c r="A911" t="s">
        <v>72</v>
      </c>
      <c r="B911" t="s">
        <v>16750</v>
      </c>
      <c r="C911" t="s">
        <v>74</v>
      </c>
      <c r="D911" t="s">
        <v>74</v>
      </c>
      <c r="E911" t="s">
        <v>74</v>
      </c>
      <c r="F911" t="s">
        <v>16751</v>
      </c>
      <c r="G911" t="s">
        <v>74</v>
      </c>
      <c r="H911" t="s">
        <v>74</v>
      </c>
      <c r="I911" t="s">
        <v>16752</v>
      </c>
      <c r="J911" t="s">
        <v>16753</v>
      </c>
      <c r="K911" t="s">
        <v>74</v>
      </c>
      <c r="L911" t="s">
        <v>74</v>
      </c>
      <c r="M911" t="s">
        <v>78</v>
      </c>
      <c r="N911" t="s">
        <v>3179</v>
      </c>
      <c r="O911" t="s">
        <v>74</v>
      </c>
      <c r="P911" t="s">
        <v>74</v>
      </c>
      <c r="Q911" t="s">
        <v>74</v>
      </c>
      <c r="R911" t="s">
        <v>74</v>
      </c>
      <c r="S911" t="s">
        <v>74</v>
      </c>
      <c r="T911" t="s">
        <v>74</v>
      </c>
      <c r="U911" t="s">
        <v>74</v>
      </c>
      <c r="V911" t="s">
        <v>74</v>
      </c>
      <c r="W911" t="s">
        <v>16754</v>
      </c>
      <c r="X911" t="s">
        <v>16755</v>
      </c>
      <c r="Y911" t="s">
        <v>16756</v>
      </c>
      <c r="Z911" t="s">
        <v>16757</v>
      </c>
      <c r="AA911" t="s">
        <v>74</v>
      </c>
      <c r="AB911" t="s">
        <v>74</v>
      </c>
      <c r="AC911" t="s">
        <v>74</v>
      </c>
      <c r="AD911" t="s">
        <v>74</v>
      </c>
      <c r="AE911" t="s">
        <v>74</v>
      </c>
      <c r="AF911" t="s">
        <v>74</v>
      </c>
      <c r="AG911">
        <v>12</v>
      </c>
      <c r="AH911">
        <v>0</v>
      </c>
      <c r="AI911">
        <v>0</v>
      </c>
      <c r="AJ911">
        <v>0</v>
      </c>
      <c r="AK911">
        <v>0</v>
      </c>
      <c r="AL911" t="s">
        <v>317</v>
      </c>
      <c r="AM911" t="s">
        <v>245</v>
      </c>
      <c r="AN911" t="s">
        <v>318</v>
      </c>
      <c r="AO911" t="s">
        <v>16758</v>
      </c>
      <c r="AP911" t="s">
        <v>16759</v>
      </c>
      <c r="AQ911" t="s">
        <v>74</v>
      </c>
      <c r="AR911" t="s">
        <v>16753</v>
      </c>
      <c r="AS911" t="s">
        <v>16760</v>
      </c>
      <c r="AT911" t="s">
        <v>16716</v>
      </c>
      <c r="AU911">
        <v>2023</v>
      </c>
      <c r="AV911" t="s">
        <v>74</v>
      </c>
      <c r="AW911" t="s">
        <v>74</v>
      </c>
      <c r="AX911" t="s">
        <v>74</v>
      </c>
      <c r="AY911" t="s">
        <v>74</v>
      </c>
      <c r="AZ911" t="s">
        <v>74</v>
      </c>
      <c r="BA911" t="s">
        <v>74</v>
      </c>
      <c r="BB911" t="s">
        <v>74</v>
      </c>
      <c r="BC911" t="s">
        <v>74</v>
      </c>
      <c r="BD911" t="s">
        <v>74</v>
      </c>
      <c r="BE911" t="s">
        <v>16761</v>
      </c>
      <c r="BF911" t="str">
        <f>HYPERLINK("http://dx.doi.org/10.1007/s41701-023-00154-x","http://dx.doi.org/10.1007/s41701-023-00154-x")</f>
        <v>http://dx.doi.org/10.1007/s41701-023-00154-x</v>
      </c>
      <c r="BG911" t="s">
        <v>74</v>
      </c>
      <c r="BH911" t="s">
        <v>10650</v>
      </c>
      <c r="BI911">
        <v>6</v>
      </c>
      <c r="BJ911" t="s">
        <v>16762</v>
      </c>
      <c r="BK911" t="s">
        <v>97</v>
      </c>
      <c r="BL911" t="s">
        <v>16763</v>
      </c>
      <c r="BM911" t="s">
        <v>16764</v>
      </c>
      <c r="BN911" t="s">
        <v>74</v>
      </c>
      <c r="BO911" t="s">
        <v>74</v>
      </c>
      <c r="BP911" t="s">
        <v>74</v>
      </c>
      <c r="BQ911" t="s">
        <v>74</v>
      </c>
      <c r="BR911" t="s">
        <v>99</v>
      </c>
      <c r="BS911" t="s">
        <v>16765</v>
      </c>
      <c r="BT911" t="str">
        <f>HYPERLINK("https%3A%2F%2Fwww.webofscience.com%2Fwos%2Fwoscc%2Ffull-record%2FWOS:001049776300001","View Full Record in Web of Science")</f>
        <v>View Full Record in Web of Science</v>
      </c>
    </row>
    <row r="912" spans="1:72" x14ac:dyDescent="0.15">
      <c r="A912" t="s">
        <v>72</v>
      </c>
      <c r="B912" t="s">
        <v>16766</v>
      </c>
      <c r="C912" t="s">
        <v>74</v>
      </c>
      <c r="D912" t="s">
        <v>74</v>
      </c>
      <c r="E912" t="s">
        <v>74</v>
      </c>
      <c r="F912" t="s">
        <v>16767</v>
      </c>
      <c r="G912" t="s">
        <v>74</v>
      </c>
      <c r="H912" t="s">
        <v>74</v>
      </c>
      <c r="I912" t="s">
        <v>16768</v>
      </c>
      <c r="J912" t="s">
        <v>16769</v>
      </c>
      <c r="K912" t="s">
        <v>74</v>
      </c>
      <c r="L912" t="s">
        <v>74</v>
      </c>
      <c r="M912" t="s">
        <v>78</v>
      </c>
      <c r="N912" t="s">
        <v>1246</v>
      </c>
      <c r="O912" t="s">
        <v>74</v>
      </c>
      <c r="P912" t="s">
        <v>74</v>
      </c>
      <c r="Q912" t="s">
        <v>74</v>
      </c>
      <c r="R912" t="s">
        <v>74</v>
      </c>
      <c r="S912" t="s">
        <v>74</v>
      </c>
      <c r="T912" t="s">
        <v>16770</v>
      </c>
      <c r="U912" t="s">
        <v>16771</v>
      </c>
      <c r="V912" t="s">
        <v>16772</v>
      </c>
      <c r="W912" t="s">
        <v>16773</v>
      </c>
      <c r="X912" t="s">
        <v>16774</v>
      </c>
      <c r="Y912" t="s">
        <v>16775</v>
      </c>
      <c r="Z912" t="s">
        <v>16776</v>
      </c>
      <c r="AA912" t="s">
        <v>74</v>
      </c>
      <c r="AB912" t="s">
        <v>74</v>
      </c>
      <c r="AC912" t="s">
        <v>74</v>
      </c>
      <c r="AD912" t="s">
        <v>74</v>
      </c>
      <c r="AE912" t="s">
        <v>74</v>
      </c>
      <c r="AF912" t="s">
        <v>74</v>
      </c>
      <c r="AG912">
        <v>34</v>
      </c>
      <c r="AH912">
        <v>0</v>
      </c>
      <c r="AI912">
        <v>0</v>
      </c>
      <c r="AJ912">
        <v>0</v>
      </c>
      <c r="AK912">
        <v>0</v>
      </c>
      <c r="AL912" t="s">
        <v>269</v>
      </c>
      <c r="AM912" t="s">
        <v>118</v>
      </c>
      <c r="AN912" t="s">
        <v>270</v>
      </c>
      <c r="AO912" t="s">
        <v>16777</v>
      </c>
      <c r="AP912" t="s">
        <v>16778</v>
      </c>
      <c r="AQ912" t="s">
        <v>74</v>
      </c>
      <c r="AR912" t="s">
        <v>16779</v>
      </c>
      <c r="AS912" t="s">
        <v>16780</v>
      </c>
      <c r="AT912" t="s">
        <v>16716</v>
      </c>
      <c r="AU912">
        <v>2023</v>
      </c>
      <c r="AV912" t="s">
        <v>74</v>
      </c>
      <c r="AW912" t="s">
        <v>74</v>
      </c>
      <c r="AX912" t="s">
        <v>74</v>
      </c>
      <c r="AY912" t="s">
        <v>74</v>
      </c>
      <c r="AZ912" t="s">
        <v>74</v>
      </c>
      <c r="BA912" t="s">
        <v>74</v>
      </c>
      <c r="BB912" t="s">
        <v>74</v>
      </c>
      <c r="BC912" t="s">
        <v>74</v>
      </c>
      <c r="BD912" t="s">
        <v>74</v>
      </c>
      <c r="BE912" t="s">
        <v>16781</v>
      </c>
      <c r="BF912" t="str">
        <f>HYPERLINK("http://dx.doi.org/10.1007/s10863-023-09977-4","http://dx.doi.org/10.1007/s10863-023-09977-4")</f>
        <v>http://dx.doi.org/10.1007/s10863-023-09977-4</v>
      </c>
      <c r="BG912" t="s">
        <v>74</v>
      </c>
      <c r="BH912" t="s">
        <v>10650</v>
      </c>
      <c r="BI912">
        <v>15</v>
      </c>
      <c r="BJ912" t="s">
        <v>16782</v>
      </c>
      <c r="BK912" t="s">
        <v>126</v>
      </c>
      <c r="BL912" t="s">
        <v>16782</v>
      </c>
      <c r="BM912" t="s">
        <v>16783</v>
      </c>
      <c r="BN912">
        <v>37584737</v>
      </c>
      <c r="BO912" t="s">
        <v>74</v>
      </c>
      <c r="BP912" t="s">
        <v>74</v>
      </c>
      <c r="BQ912" t="s">
        <v>74</v>
      </c>
      <c r="BR912" t="s">
        <v>99</v>
      </c>
      <c r="BS912" t="s">
        <v>16784</v>
      </c>
      <c r="BT912" t="str">
        <f>HYPERLINK("https%3A%2F%2Fwww.webofscience.com%2Fwos%2Fwoscc%2Ffull-record%2FWOS:001049159900001","View Full Record in Web of Science")</f>
        <v>View Full Record in Web of Science</v>
      </c>
    </row>
    <row r="913" spans="1:72" x14ac:dyDescent="0.15">
      <c r="A913" t="s">
        <v>72</v>
      </c>
      <c r="B913" t="s">
        <v>16785</v>
      </c>
      <c r="C913" t="s">
        <v>74</v>
      </c>
      <c r="D913" t="s">
        <v>74</v>
      </c>
      <c r="E913" t="s">
        <v>74</v>
      </c>
      <c r="F913" t="s">
        <v>16786</v>
      </c>
      <c r="G913" t="s">
        <v>74</v>
      </c>
      <c r="H913" t="s">
        <v>74</v>
      </c>
      <c r="I913" t="s">
        <v>16787</v>
      </c>
      <c r="J913" t="s">
        <v>16788</v>
      </c>
      <c r="K913" t="s">
        <v>74</v>
      </c>
      <c r="L913" t="s">
        <v>74</v>
      </c>
      <c r="M913" t="s">
        <v>78</v>
      </c>
      <c r="N913" t="s">
        <v>1246</v>
      </c>
      <c r="O913" t="s">
        <v>74</v>
      </c>
      <c r="P913" t="s">
        <v>74</v>
      </c>
      <c r="Q913" t="s">
        <v>74</v>
      </c>
      <c r="R913" t="s">
        <v>74</v>
      </c>
      <c r="S913" t="s">
        <v>74</v>
      </c>
      <c r="T913" t="s">
        <v>16789</v>
      </c>
      <c r="U913" t="s">
        <v>74</v>
      </c>
      <c r="V913" t="s">
        <v>16790</v>
      </c>
      <c r="W913" t="s">
        <v>16791</v>
      </c>
      <c r="X913" t="s">
        <v>16792</v>
      </c>
      <c r="Y913" t="s">
        <v>16793</v>
      </c>
      <c r="Z913" t="s">
        <v>16794</v>
      </c>
      <c r="AA913" t="s">
        <v>74</v>
      </c>
      <c r="AB913" t="s">
        <v>74</v>
      </c>
      <c r="AC913" t="s">
        <v>74</v>
      </c>
      <c r="AD913" t="s">
        <v>74</v>
      </c>
      <c r="AE913" t="s">
        <v>74</v>
      </c>
      <c r="AF913" t="s">
        <v>74</v>
      </c>
      <c r="AG913">
        <v>13</v>
      </c>
      <c r="AH913">
        <v>0</v>
      </c>
      <c r="AI913">
        <v>0</v>
      </c>
      <c r="AJ913">
        <v>1</v>
      </c>
      <c r="AK913">
        <v>1</v>
      </c>
      <c r="AL913" t="s">
        <v>117</v>
      </c>
      <c r="AM913" t="s">
        <v>118</v>
      </c>
      <c r="AN913" t="s">
        <v>119</v>
      </c>
      <c r="AO913" t="s">
        <v>16795</v>
      </c>
      <c r="AP913" t="s">
        <v>16796</v>
      </c>
      <c r="AQ913" t="s">
        <v>74</v>
      </c>
      <c r="AR913" t="s">
        <v>16797</v>
      </c>
      <c r="AS913" t="s">
        <v>16798</v>
      </c>
      <c r="AT913" t="s">
        <v>16716</v>
      </c>
      <c r="AU913">
        <v>2023</v>
      </c>
      <c r="AV913" t="s">
        <v>74</v>
      </c>
      <c r="AW913" t="s">
        <v>74</v>
      </c>
      <c r="AX913" t="s">
        <v>74</v>
      </c>
      <c r="AY913" t="s">
        <v>74</v>
      </c>
      <c r="AZ913" t="s">
        <v>74</v>
      </c>
      <c r="BA913" t="s">
        <v>74</v>
      </c>
      <c r="BB913" t="s">
        <v>74</v>
      </c>
      <c r="BC913" t="s">
        <v>74</v>
      </c>
      <c r="BD913" t="s">
        <v>74</v>
      </c>
      <c r="BE913" t="s">
        <v>16799</v>
      </c>
      <c r="BF913" t="str">
        <f>HYPERLINK("http://dx.doi.org/10.1007/s00345-023-04548-z","http://dx.doi.org/10.1007/s00345-023-04548-z")</f>
        <v>http://dx.doi.org/10.1007/s00345-023-04548-z</v>
      </c>
      <c r="BG913" t="s">
        <v>74</v>
      </c>
      <c r="BH913" t="s">
        <v>10650</v>
      </c>
      <c r="BI913">
        <v>5</v>
      </c>
      <c r="BJ913" t="s">
        <v>7322</v>
      </c>
      <c r="BK913" t="s">
        <v>126</v>
      </c>
      <c r="BL913" t="s">
        <v>7322</v>
      </c>
      <c r="BM913" t="s">
        <v>16800</v>
      </c>
      <c r="BN913">
        <v>37584692</v>
      </c>
      <c r="BO913" t="s">
        <v>74</v>
      </c>
      <c r="BP913" t="s">
        <v>74</v>
      </c>
      <c r="BQ913" t="s">
        <v>74</v>
      </c>
      <c r="BR913" t="s">
        <v>99</v>
      </c>
      <c r="BS913" t="s">
        <v>16801</v>
      </c>
      <c r="BT913" t="str">
        <f>HYPERLINK("https%3A%2F%2Fwww.webofscience.com%2Fwos%2Fwoscc%2Ffull-record%2FWOS:001049120000002","View Full Record in Web of Science")</f>
        <v>View Full Record in Web of Science</v>
      </c>
    </row>
    <row r="914" spans="1:72" x14ac:dyDescent="0.15">
      <c r="A914" t="s">
        <v>72</v>
      </c>
      <c r="B914" t="s">
        <v>16802</v>
      </c>
      <c r="C914" t="s">
        <v>74</v>
      </c>
      <c r="D914" t="s">
        <v>74</v>
      </c>
      <c r="E914" t="s">
        <v>74</v>
      </c>
      <c r="F914" t="s">
        <v>16803</v>
      </c>
      <c r="G914" t="s">
        <v>74</v>
      </c>
      <c r="H914" t="s">
        <v>74</v>
      </c>
      <c r="I914" t="s">
        <v>16804</v>
      </c>
      <c r="J914" t="s">
        <v>16805</v>
      </c>
      <c r="K914" t="s">
        <v>74</v>
      </c>
      <c r="L914" t="s">
        <v>74</v>
      </c>
      <c r="M914" t="s">
        <v>78</v>
      </c>
      <c r="N914" t="s">
        <v>79</v>
      </c>
      <c r="O914" t="s">
        <v>74</v>
      </c>
      <c r="P914" t="s">
        <v>74</v>
      </c>
      <c r="Q914" t="s">
        <v>74</v>
      </c>
      <c r="R914" t="s">
        <v>74</v>
      </c>
      <c r="S914" t="s">
        <v>74</v>
      </c>
      <c r="T914" t="s">
        <v>16806</v>
      </c>
      <c r="U914" t="s">
        <v>74</v>
      </c>
      <c r="V914" t="s">
        <v>16807</v>
      </c>
      <c r="W914" t="s">
        <v>16808</v>
      </c>
      <c r="X914" t="s">
        <v>16809</v>
      </c>
      <c r="Y914" t="s">
        <v>16810</v>
      </c>
      <c r="Z914" t="s">
        <v>16811</v>
      </c>
      <c r="AA914" t="s">
        <v>74</v>
      </c>
      <c r="AB914" t="s">
        <v>74</v>
      </c>
      <c r="AC914" t="s">
        <v>74</v>
      </c>
      <c r="AD914" t="s">
        <v>74</v>
      </c>
      <c r="AE914" t="s">
        <v>74</v>
      </c>
      <c r="AF914" t="s">
        <v>74</v>
      </c>
      <c r="AG914">
        <v>15</v>
      </c>
      <c r="AH914">
        <v>0</v>
      </c>
      <c r="AI914">
        <v>0</v>
      </c>
      <c r="AJ914">
        <v>1</v>
      </c>
      <c r="AK914">
        <v>1</v>
      </c>
      <c r="AL914" t="s">
        <v>443</v>
      </c>
      <c r="AM914" t="s">
        <v>245</v>
      </c>
      <c r="AN914" t="s">
        <v>444</v>
      </c>
      <c r="AO914" t="s">
        <v>74</v>
      </c>
      <c r="AP914" t="s">
        <v>16812</v>
      </c>
      <c r="AQ914" t="s">
        <v>74</v>
      </c>
      <c r="AR914" t="s">
        <v>16813</v>
      </c>
      <c r="AS914" t="s">
        <v>16814</v>
      </c>
      <c r="AT914" t="s">
        <v>16699</v>
      </c>
      <c r="AU914">
        <v>2023</v>
      </c>
      <c r="AV914">
        <v>23</v>
      </c>
      <c r="AW914">
        <v>1</v>
      </c>
      <c r="AX914" t="s">
        <v>74</v>
      </c>
      <c r="AY914" t="s">
        <v>74</v>
      </c>
      <c r="AZ914" t="s">
        <v>74</v>
      </c>
      <c r="BA914" t="s">
        <v>74</v>
      </c>
      <c r="BB914" t="s">
        <v>74</v>
      </c>
      <c r="BC914" t="s">
        <v>74</v>
      </c>
      <c r="BD914">
        <v>359</v>
      </c>
      <c r="BE914" t="s">
        <v>16815</v>
      </c>
      <c r="BF914" t="str">
        <f>HYPERLINK("http://dx.doi.org/10.1186/s12886-023-03102-0","http://dx.doi.org/10.1186/s12886-023-03102-0")</f>
        <v>http://dx.doi.org/10.1186/s12886-023-03102-0</v>
      </c>
      <c r="BG914" t="s">
        <v>74</v>
      </c>
      <c r="BH914" t="s">
        <v>74</v>
      </c>
      <c r="BI914">
        <v>10</v>
      </c>
      <c r="BJ914" t="s">
        <v>7038</v>
      </c>
      <c r="BK914" t="s">
        <v>126</v>
      </c>
      <c r="BL914" t="s">
        <v>7038</v>
      </c>
      <c r="BM914" t="s">
        <v>16816</v>
      </c>
      <c r="BN914">
        <v>37587408</v>
      </c>
      <c r="BO914" t="s">
        <v>157</v>
      </c>
      <c r="BP914" t="s">
        <v>74</v>
      </c>
      <c r="BQ914" t="s">
        <v>74</v>
      </c>
      <c r="BR914" t="s">
        <v>99</v>
      </c>
      <c r="BS914" t="s">
        <v>16817</v>
      </c>
      <c r="BT914" t="str">
        <f>HYPERLINK("https%3A%2F%2Fwww.webofscience.com%2Fwos%2Fwoscc%2Ffull-record%2FWOS:001048613700002","View Full Record in Web of Science")</f>
        <v>View Full Record in Web of Science</v>
      </c>
    </row>
    <row r="915" spans="1:72" x14ac:dyDescent="0.15">
      <c r="A915" t="s">
        <v>72</v>
      </c>
      <c r="B915" t="s">
        <v>16818</v>
      </c>
      <c r="C915" t="s">
        <v>74</v>
      </c>
      <c r="D915" t="s">
        <v>74</v>
      </c>
      <c r="E915" t="s">
        <v>74</v>
      </c>
      <c r="F915" t="s">
        <v>16819</v>
      </c>
      <c r="G915" t="s">
        <v>74</v>
      </c>
      <c r="H915" t="s">
        <v>74</v>
      </c>
      <c r="I915" t="s">
        <v>16820</v>
      </c>
      <c r="J915" t="s">
        <v>16821</v>
      </c>
      <c r="K915" t="s">
        <v>74</v>
      </c>
      <c r="L915" t="s">
        <v>74</v>
      </c>
      <c r="M915" t="s">
        <v>78</v>
      </c>
      <c r="N915" t="s">
        <v>79</v>
      </c>
      <c r="O915" t="s">
        <v>74</v>
      </c>
      <c r="P915" t="s">
        <v>74</v>
      </c>
      <c r="Q915" t="s">
        <v>74</v>
      </c>
      <c r="R915" t="s">
        <v>74</v>
      </c>
      <c r="S915" t="s">
        <v>74</v>
      </c>
      <c r="T915" t="s">
        <v>16822</v>
      </c>
      <c r="U915" t="s">
        <v>16823</v>
      </c>
      <c r="V915" t="s">
        <v>16824</v>
      </c>
      <c r="W915" t="s">
        <v>16825</v>
      </c>
      <c r="X915" t="s">
        <v>16826</v>
      </c>
      <c r="Y915" t="s">
        <v>16827</v>
      </c>
      <c r="Z915" t="s">
        <v>16828</v>
      </c>
      <c r="AA915" t="s">
        <v>16829</v>
      </c>
      <c r="AB915" t="s">
        <v>16830</v>
      </c>
      <c r="AC915" t="s">
        <v>16831</v>
      </c>
      <c r="AD915" t="s">
        <v>16832</v>
      </c>
      <c r="AE915" t="s">
        <v>16833</v>
      </c>
      <c r="AF915" t="s">
        <v>74</v>
      </c>
      <c r="AG915">
        <v>26</v>
      </c>
      <c r="AH915">
        <v>0</v>
      </c>
      <c r="AI915">
        <v>0</v>
      </c>
      <c r="AJ915">
        <v>0</v>
      </c>
      <c r="AK915">
        <v>0</v>
      </c>
      <c r="AL915" t="s">
        <v>117</v>
      </c>
      <c r="AM915" t="s">
        <v>118</v>
      </c>
      <c r="AN915" t="s">
        <v>119</v>
      </c>
      <c r="AO915" t="s">
        <v>16834</v>
      </c>
      <c r="AP915" t="s">
        <v>16835</v>
      </c>
      <c r="AQ915" t="s">
        <v>74</v>
      </c>
      <c r="AR915" t="s">
        <v>16836</v>
      </c>
      <c r="AS915" t="s">
        <v>16837</v>
      </c>
      <c r="AT915" t="s">
        <v>1136</v>
      </c>
      <c r="AU915">
        <v>2023</v>
      </c>
      <c r="AV915">
        <v>249</v>
      </c>
      <c r="AW915">
        <v>11</v>
      </c>
      <c r="AX915" t="s">
        <v>74</v>
      </c>
      <c r="AY915" t="s">
        <v>74</v>
      </c>
      <c r="AZ915" t="s">
        <v>74</v>
      </c>
      <c r="BA915" t="s">
        <v>74</v>
      </c>
      <c r="BB915">
        <v>3001</v>
      </c>
      <c r="BC915">
        <v>3009</v>
      </c>
      <c r="BD915" t="s">
        <v>74</v>
      </c>
      <c r="BE915" t="s">
        <v>16838</v>
      </c>
      <c r="BF915" t="str">
        <f>HYPERLINK("http://dx.doi.org/10.1007/s00217-023-04344-4","http://dx.doi.org/10.1007/s00217-023-04344-4")</f>
        <v>http://dx.doi.org/10.1007/s00217-023-04344-4</v>
      </c>
      <c r="BG915" t="s">
        <v>74</v>
      </c>
      <c r="BH915" t="s">
        <v>10650</v>
      </c>
      <c r="BI915">
        <v>9</v>
      </c>
      <c r="BJ915" t="s">
        <v>4453</v>
      </c>
      <c r="BK915" t="s">
        <v>126</v>
      </c>
      <c r="BL915" t="s">
        <v>4453</v>
      </c>
      <c r="BM915" t="s">
        <v>16839</v>
      </c>
      <c r="BN915" t="s">
        <v>74</v>
      </c>
      <c r="BO915" t="s">
        <v>74</v>
      </c>
      <c r="BP915" t="s">
        <v>74</v>
      </c>
      <c r="BQ915" t="s">
        <v>74</v>
      </c>
      <c r="BR915" t="s">
        <v>99</v>
      </c>
      <c r="BS915" t="s">
        <v>16840</v>
      </c>
      <c r="BT915" t="str">
        <f>HYPERLINK("https%3A%2F%2Fwww.webofscience.com%2Fwos%2Fwoscc%2Ffull-record%2FWOS:001049123500001","View Full Record in Web of Science")</f>
        <v>View Full Record in Web of Science</v>
      </c>
    </row>
    <row r="916" spans="1:72" x14ac:dyDescent="0.15">
      <c r="A916" t="s">
        <v>72</v>
      </c>
      <c r="B916" t="s">
        <v>16841</v>
      </c>
      <c r="C916" t="s">
        <v>74</v>
      </c>
      <c r="D916" t="s">
        <v>74</v>
      </c>
      <c r="E916" t="s">
        <v>74</v>
      </c>
      <c r="F916" t="s">
        <v>16842</v>
      </c>
      <c r="G916" t="s">
        <v>74</v>
      </c>
      <c r="H916" t="s">
        <v>74</v>
      </c>
      <c r="I916" t="s">
        <v>16843</v>
      </c>
      <c r="J916" t="s">
        <v>16844</v>
      </c>
      <c r="K916" t="s">
        <v>74</v>
      </c>
      <c r="L916" t="s">
        <v>74</v>
      </c>
      <c r="M916" t="s">
        <v>78</v>
      </c>
      <c r="N916" t="s">
        <v>1246</v>
      </c>
      <c r="O916" t="s">
        <v>74</v>
      </c>
      <c r="P916" t="s">
        <v>74</v>
      </c>
      <c r="Q916" t="s">
        <v>74</v>
      </c>
      <c r="R916" t="s">
        <v>74</v>
      </c>
      <c r="S916" t="s">
        <v>74</v>
      </c>
      <c r="T916" t="s">
        <v>16845</v>
      </c>
      <c r="U916" t="s">
        <v>74</v>
      </c>
      <c r="V916" t="s">
        <v>16846</v>
      </c>
      <c r="W916" t="s">
        <v>16847</v>
      </c>
      <c r="X916" t="s">
        <v>16848</v>
      </c>
      <c r="Y916" t="s">
        <v>16849</v>
      </c>
      <c r="Z916" t="s">
        <v>16850</v>
      </c>
      <c r="AA916" t="s">
        <v>16851</v>
      </c>
      <c r="AB916" t="s">
        <v>16852</v>
      </c>
      <c r="AC916" t="s">
        <v>16853</v>
      </c>
      <c r="AD916" t="s">
        <v>16854</v>
      </c>
      <c r="AE916" t="s">
        <v>16855</v>
      </c>
      <c r="AF916" t="s">
        <v>74</v>
      </c>
      <c r="AG916">
        <v>33</v>
      </c>
      <c r="AH916">
        <v>0</v>
      </c>
      <c r="AI916">
        <v>0</v>
      </c>
      <c r="AJ916">
        <v>2</v>
      </c>
      <c r="AK916">
        <v>2</v>
      </c>
      <c r="AL916" t="s">
        <v>172</v>
      </c>
      <c r="AM916" t="s">
        <v>173</v>
      </c>
      <c r="AN916" t="s">
        <v>174</v>
      </c>
      <c r="AO916" t="s">
        <v>16856</v>
      </c>
      <c r="AP916" t="s">
        <v>16857</v>
      </c>
      <c r="AQ916" t="s">
        <v>74</v>
      </c>
      <c r="AR916" t="s">
        <v>16858</v>
      </c>
      <c r="AS916" t="s">
        <v>16859</v>
      </c>
      <c r="AT916" t="s">
        <v>16716</v>
      </c>
      <c r="AU916">
        <v>2023</v>
      </c>
      <c r="AV916" t="s">
        <v>74</v>
      </c>
      <c r="AW916" t="s">
        <v>74</v>
      </c>
      <c r="AX916" t="s">
        <v>74</v>
      </c>
      <c r="AY916" t="s">
        <v>74</v>
      </c>
      <c r="AZ916" t="s">
        <v>74</v>
      </c>
      <c r="BA916" t="s">
        <v>74</v>
      </c>
      <c r="BB916" t="s">
        <v>74</v>
      </c>
      <c r="BC916" t="s">
        <v>74</v>
      </c>
      <c r="BD916" t="s">
        <v>74</v>
      </c>
      <c r="BE916" t="s">
        <v>16860</v>
      </c>
      <c r="BF916" t="str">
        <f>HYPERLINK("http://dx.doi.org/10.1007/s43153-023-00387-y","http://dx.doi.org/10.1007/s43153-023-00387-y")</f>
        <v>http://dx.doi.org/10.1007/s43153-023-00387-y</v>
      </c>
      <c r="BG916" t="s">
        <v>74</v>
      </c>
      <c r="BH916" t="s">
        <v>10650</v>
      </c>
      <c r="BI916">
        <v>10</v>
      </c>
      <c r="BJ916" t="s">
        <v>16861</v>
      </c>
      <c r="BK916" t="s">
        <v>126</v>
      </c>
      <c r="BL916" t="s">
        <v>277</v>
      </c>
      <c r="BM916" t="s">
        <v>16862</v>
      </c>
      <c r="BN916" t="s">
        <v>74</v>
      </c>
      <c r="BO916" t="s">
        <v>74</v>
      </c>
      <c r="BP916" t="s">
        <v>74</v>
      </c>
      <c r="BQ916" t="s">
        <v>74</v>
      </c>
      <c r="BR916" t="s">
        <v>99</v>
      </c>
      <c r="BS916" t="s">
        <v>16863</v>
      </c>
      <c r="BT916" t="str">
        <f>HYPERLINK("https%3A%2F%2Fwww.webofscience.com%2Fwos%2Fwoscc%2Ffull-record%2FWOS:001049778100002","View Full Record in Web of Science")</f>
        <v>View Full Record in Web of Science</v>
      </c>
    </row>
    <row r="917" spans="1:72" x14ac:dyDescent="0.15">
      <c r="A917" t="s">
        <v>72</v>
      </c>
      <c r="B917" t="s">
        <v>16864</v>
      </c>
      <c r="C917" t="s">
        <v>74</v>
      </c>
      <c r="D917" t="s">
        <v>74</v>
      </c>
      <c r="E917" t="s">
        <v>74</v>
      </c>
      <c r="F917" t="s">
        <v>16865</v>
      </c>
      <c r="G917" t="s">
        <v>74</v>
      </c>
      <c r="H917" t="s">
        <v>74</v>
      </c>
      <c r="I917" t="s">
        <v>16866</v>
      </c>
      <c r="J917" t="s">
        <v>16867</v>
      </c>
      <c r="K917" t="s">
        <v>74</v>
      </c>
      <c r="L917" t="s">
        <v>74</v>
      </c>
      <c r="M917" t="s">
        <v>78</v>
      </c>
      <c r="N917" t="s">
        <v>1246</v>
      </c>
      <c r="O917" t="s">
        <v>74</v>
      </c>
      <c r="P917" t="s">
        <v>74</v>
      </c>
      <c r="Q917" t="s">
        <v>74</v>
      </c>
      <c r="R917" t="s">
        <v>74</v>
      </c>
      <c r="S917" t="s">
        <v>74</v>
      </c>
      <c r="T917" t="s">
        <v>16868</v>
      </c>
      <c r="U917" t="s">
        <v>16869</v>
      </c>
      <c r="V917" t="s">
        <v>16870</v>
      </c>
      <c r="W917" t="s">
        <v>16871</v>
      </c>
      <c r="X917" t="s">
        <v>16261</v>
      </c>
      <c r="Y917" t="s">
        <v>16872</v>
      </c>
      <c r="Z917" t="s">
        <v>16873</v>
      </c>
      <c r="AA917" t="s">
        <v>74</v>
      </c>
      <c r="AB917" t="s">
        <v>74</v>
      </c>
      <c r="AC917" t="s">
        <v>16874</v>
      </c>
      <c r="AD917" t="s">
        <v>16875</v>
      </c>
      <c r="AE917" t="s">
        <v>16876</v>
      </c>
      <c r="AF917" t="s">
        <v>74</v>
      </c>
      <c r="AG917">
        <v>33</v>
      </c>
      <c r="AH917">
        <v>0</v>
      </c>
      <c r="AI917">
        <v>0</v>
      </c>
      <c r="AJ917">
        <v>0</v>
      </c>
      <c r="AK917">
        <v>0</v>
      </c>
      <c r="AL917" t="s">
        <v>172</v>
      </c>
      <c r="AM917" t="s">
        <v>173</v>
      </c>
      <c r="AN917" t="s">
        <v>174</v>
      </c>
      <c r="AO917" t="s">
        <v>16877</v>
      </c>
      <c r="AP917" t="s">
        <v>16878</v>
      </c>
      <c r="AQ917" t="s">
        <v>74</v>
      </c>
      <c r="AR917" t="s">
        <v>16879</v>
      </c>
      <c r="AS917" t="s">
        <v>16880</v>
      </c>
      <c r="AT917" t="s">
        <v>16716</v>
      </c>
      <c r="AU917">
        <v>2023</v>
      </c>
      <c r="AV917" t="s">
        <v>74</v>
      </c>
      <c r="AW917" t="s">
        <v>74</v>
      </c>
      <c r="AX917" t="s">
        <v>74</v>
      </c>
      <c r="AY917" t="s">
        <v>74</v>
      </c>
      <c r="AZ917" t="s">
        <v>74</v>
      </c>
      <c r="BA917" t="s">
        <v>74</v>
      </c>
      <c r="BB917" t="s">
        <v>74</v>
      </c>
      <c r="BC917" t="s">
        <v>74</v>
      </c>
      <c r="BD917" t="s">
        <v>74</v>
      </c>
      <c r="BE917" t="s">
        <v>16881</v>
      </c>
      <c r="BF917" t="str">
        <f>HYPERLINK("http://dx.doi.org/10.1557/s43579-023-00422-6","http://dx.doi.org/10.1557/s43579-023-00422-6")</f>
        <v>http://dx.doi.org/10.1557/s43579-023-00422-6</v>
      </c>
      <c r="BG917" t="s">
        <v>74</v>
      </c>
      <c r="BH917" t="s">
        <v>10650</v>
      </c>
      <c r="BI917">
        <v>7</v>
      </c>
      <c r="BJ917" t="s">
        <v>5216</v>
      </c>
      <c r="BK917" t="s">
        <v>126</v>
      </c>
      <c r="BL917" t="s">
        <v>2293</v>
      </c>
      <c r="BM917" t="s">
        <v>16882</v>
      </c>
      <c r="BN917" t="s">
        <v>74</v>
      </c>
      <c r="BO917" t="s">
        <v>74</v>
      </c>
      <c r="BP917" t="s">
        <v>74</v>
      </c>
      <c r="BQ917" t="s">
        <v>74</v>
      </c>
      <c r="BR917" t="s">
        <v>99</v>
      </c>
      <c r="BS917" t="s">
        <v>16883</v>
      </c>
      <c r="BT917" t="str">
        <f>HYPERLINK("https%3A%2F%2Fwww.webofscience.com%2Fwos%2Fwoscc%2Ffull-record%2FWOS:001049778500006","View Full Record in Web of Science")</f>
        <v>View Full Record in Web of Science</v>
      </c>
    </row>
    <row r="918" spans="1:72" x14ac:dyDescent="0.15">
      <c r="A918" t="s">
        <v>72</v>
      </c>
      <c r="B918" t="s">
        <v>16884</v>
      </c>
      <c r="C918" t="s">
        <v>74</v>
      </c>
      <c r="D918" t="s">
        <v>74</v>
      </c>
      <c r="E918" t="s">
        <v>74</v>
      </c>
      <c r="F918" t="s">
        <v>16885</v>
      </c>
      <c r="G918" t="s">
        <v>74</v>
      </c>
      <c r="H918" t="s">
        <v>74</v>
      </c>
      <c r="I918" t="s">
        <v>16886</v>
      </c>
      <c r="J918" t="s">
        <v>7161</v>
      </c>
      <c r="K918" t="s">
        <v>74</v>
      </c>
      <c r="L918" t="s">
        <v>74</v>
      </c>
      <c r="M918" t="s">
        <v>78</v>
      </c>
      <c r="N918" t="s">
        <v>79</v>
      </c>
      <c r="O918" t="s">
        <v>74</v>
      </c>
      <c r="P918" t="s">
        <v>74</v>
      </c>
      <c r="Q918" t="s">
        <v>74</v>
      </c>
      <c r="R918" t="s">
        <v>74</v>
      </c>
      <c r="S918" t="s">
        <v>74</v>
      </c>
      <c r="T918" t="s">
        <v>16887</v>
      </c>
      <c r="U918" t="s">
        <v>16888</v>
      </c>
      <c r="V918" t="s">
        <v>16889</v>
      </c>
      <c r="W918" t="s">
        <v>16890</v>
      </c>
      <c r="X918" t="s">
        <v>16891</v>
      </c>
      <c r="Y918" t="s">
        <v>16892</v>
      </c>
      <c r="Z918" t="s">
        <v>16893</v>
      </c>
      <c r="AA918" t="s">
        <v>74</v>
      </c>
      <c r="AB918" t="s">
        <v>16894</v>
      </c>
      <c r="AC918" t="s">
        <v>16895</v>
      </c>
      <c r="AD918" t="s">
        <v>16896</v>
      </c>
      <c r="AE918" t="s">
        <v>16897</v>
      </c>
      <c r="AF918" t="s">
        <v>74</v>
      </c>
      <c r="AG918">
        <v>45</v>
      </c>
      <c r="AH918">
        <v>0</v>
      </c>
      <c r="AI918">
        <v>0</v>
      </c>
      <c r="AJ918">
        <v>3</v>
      </c>
      <c r="AK918">
        <v>3</v>
      </c>
      <c r="AL918" t="s">
        <v>172</v>
      </c>
      <c r="AM918" t="s">
        <v>173</v>
      </c>
      <c r="AN918" t="s">
        <v>174</v>
      </c>
      <c r="AO918" t="s">
        <v>7172</v>
      </c>
      <c r="AP918" t="s">
        <v>7173</v>
      </c>
      <c r="AQ918" t="s">
        <v>74</v>
      </c>
      <c r="AR918" t="s">
        <v>7174</v>
      </c>
      <c r="AS918" t="s">
        <v>7175</v>
      </c>
      <c r="AT918" t="s">
        <v>8614</v>
      </c>
      <c r="AU918">
        <v>2023</v>
      </c>
      <c r="AV918">
        <v>30</v>
      </c>
      <c r="AW918">
        <v>43</v>
      </c>
      <c r="AX918" t="s">
        <v>74</v>
      </c>
      <c r="AY918" t="s">
        <v>74</v>
      </c>
      <c r="AZ918" t="s">
        <v>74</v>
      </c>
      <c r="BA918" t="s">
        <v>74</v>
      </c>
      <c r="BB918">
        <v>97092</v>
      </c>
      <c r="BC918">
        <v>97101</v>
      </c>
      <c r="BD918" t="s">
        <v>74</v>
      </c>
      <c r="BE918" t="s">
        <v>16898</v>
      </c>
      <c r="BF918" t="str">
        <f>HYPERLINK("http://dx.doi.org/10.1007/s11356-023-29187-0","http://dx.doi.org/10.1007/s11356-023-29187-0")</f>
        <v>http://dx.doi.org/10.1007/s11356-023-29187-0</v>
      </c>
      <c r="BG918" t="s">
        <v>74</v>
      </c>
      <c r="BH918" t="s">
        <v>10650</v>
      </c>
      <c r="BI918">
        <v>10</v>
      </c>
      <c r="BJ918" t="s">
        <v>1346</v>
      </c>
      <c r="BK918" t="s">
        <v>126</v>
      </c>
      <c r="BL918" t="s">
        <v>1347</v>
      </c>
      <c r="BM918" t="s">
        <v>14337</v>
      </c>
      <c r="BN918">
        <v>37584800</v>
      </c>
      <c r="BO918" t="s">
        <v>74</v>
      </c>
      <c r="BP918" t="s">
        <v>74</v>
      </c>
      <c r="BQ918" t="s">
        <v>74</v>
      </c>
      <c r="BR918" t="s">
        <v>99</v>
      </c>
      <c r="BS918" t="s">
        <v>16899</v>
      </c>
      <c r="BT918" t="str">
        <f>HYPERLINK("https%3A%2F%2Fwww.webofscience.com%2Fwos%2Fwoscc%2Ffull-record%2FWOS:001049824000012","View Full Record in Web of Science")</f>
        <v>View Full Record in Web of Science</v>
      </c>
    </row>
    <row r="919" spans="1:72" x14ac:dyDescent="0.15">
      <c r="A919" t="s">
        <v>72</v>
      </c>
      <c r="B919" t="s">
        <v>16900</v>
      </c>
      <c r="C919" t="s">
        <v>74</v>
      </c>
      <c r="D919" t="s">
        <v>74</v>
      </c>
      <c r="E919" t="s">
        <v>74</v>
      </c>
      <c r="F919" t="s">
        <v>16901</v>
      </c>
      <c r="G919" t="s">
        <v>74</v>
      </c>
      <c r="H919" t="s">
        <v>74</v>
      </c>
      <c r="I919" t="s">
        <v>16902</v>
      </c>
      <c r="J919" t="s">
        <v>6927</v>
      </c>
      <c r="K919" t="s">
        <v>74</v>
      </c>
      <c r="L919" t="s">
        <v>74</v>
      </c>
      <c r="M919" t="s">
        <v>78</v>
      </c>
      <c r="N919" t="s">
        <v>2174</v>
      </c>
      <c r="O919" t="s">
        <v>74</v>
      </c>
      <c r="P919" t="s">
        <v>74</v>
      </c>
      <c r="Q919" t="s">
        <v>74</v>
      </c>
      <c r="R919" t="s">
        <v>74</v>
      </c>
      <c r="S919" t="s">
        <v>74</v>
      </c>
      <c r="T919" t="s">
        <v>16903</v>
      </c>
      <c r="U919" t="s">
        <v>16904</v>
      </c>
      <c r="V919" t="s">
        <v>16905</v>
      </c>
      <c r="W919" t="s">
        <v>16906</v>
      </c>
      <c r="X919" t="s">
        <v>16907</v>
      </c>
      <c r="Y919" t="s">
        <v>16908</v>
      </c>
      <c r="Z919" t="s">
        <v>16909</v>
      </c>
      <c r="AA919" t="s">
        <v>74</v>
      </c>
      <c r="AB919" t="s">
        <v>74</v>
      </c>
      <c r="AC919" t="s">
        <v>74</v>
      </c>
      <c r="AD919" t="s">
        <v>74</v>
      </c>
      <c r="AE919" t="s">
        <v>74</v>
      </c>
      <c r="AF919" t="s">
        <v>74</v>
      </c>
      <c r="AG919">
        <v>73</v>
      </c>
      <c r="AH919">
        <v>0</v>
      </c>
      <c r="AI919">
        <v>0</v>
      </c>
      <c r="AJ919">
        <v>0</v>
      </c>
      <c r="AK919">
        <v>0</v>
      </c>
      <c r="AL919" t="s">
        <v>117</v>
      </c>
      <c r="AM919" t="s">
        <v>118</v>
      </c>
      <c r="AN919" t="s">
        <v>119</v>
      </c>
      <c r="AO919" t="s">
        <v>6933</v>
      </c>
      <c r="AP919" t="s">
        <v>6934</v>
      </c>
      <c r="AQ919" t="s">
        <v>74</v>
      </c>
      <c r="AR919" t="s">
        <v>6935</v>
      </c>
      <c r="AS919" t="s">
        <v>6936</v>
      </c>
      <c r="AT919" t="s">
        <v>16716</v>
      </c>
      <c r="AU919">
        <v>2023</v>
      </c>
      <c r="AV919" t="s">
        <v>74</v>
      </c>
      <c r="AW919" t="s">
        <v>74</v>
      </c>
      <c r="AX919" t="s">
        <v>74</v>
      </c>
      <c r="AY919" t="s">
        <v>74</v>
      </c>
      <c r="AZ919" t="s">
        <v>74</v>
      </c>
      <c r="BA919" t="s">
        <v>74</v>
      </c>
      <c r="BB919" t="s">
        <v>74</v>
      </c>
      <c r="BC919" t="s">
        <v>74</v>
      </c>
      <c r="BD919" t="s">
        <v>74</v>
      </c>
      <c r="BE919" t="s">
        <v>16910</v>
      </c>
      <c r="BF919" t="str">
        <f>HYPERLINK("http://dx.doi.org/10.1245/s10434-023-13866-w","http://dx.doi.org/10.1245/s10434-023-13866-w")</f>
        <v>http://dx.doi.org/10.1245/s10434-023-13866-w</v>
      </c>
      <c r="BG919" t="s">
        <v>74</v>
      </c>
      <c r="BH919" t="s">
        <v>10650</v>
      </c>
      <c r="BI919">
        <v>14</v>
      </c>
      <c r="BJ919" t="s">
        <v>6938</v>
      </c>
      <c r="BK919" t="s">
        <v>126</v>
      </c>
      <c r="BL919" t="s">
        <v>6938</v>
      </c>
      <c r="BM919" t="s">
        <v>16911</v>
      </c>
      <c r="BN919">
        <v>37587359</v>
      </c>
      <c r="BO919" t="s">
        <v>74</v>
      </c>
      <c r="BP919" t="s">
        <v>74</v>
      </c>
      <c r="BQ919" t="s">
        <v>74</v>
      </c>
      <c r="BR919" t="s">
        <v>99</v>
      </c>
      <c r="BS919" t="s">
        <v>16912</v>
      </c>
      <c r="BT919" t="str">
        <f>HYPERLINK("https%3A%2F%2Fwww.webofscience.com%2Fwos%2Fwoscc%2Ffull-record%2FWOS:001049788900004","View Full Record in Web of Science")</f>
        <v>View Full Record in Web of Science</v>
      </c>
    </row>
    <row r="920" spans="1:72" x14ac:dyDescent="0.15">
      <c r="A920" t="s">
        <v>72</v>
      </c>
      <c r="B920" t="s">
        <v>16913</v>
      </c>
      <c r="C920" t="s">
        <v>74</v>
      </c>
      <c r="D920" t="s">
        <v>74</v>
      </c>
      <c r="E920" t="s">
        <v>74</v>
      </c>
      <c r="F920" t="s">
        <v>16914</v>
      </c>
      <c r="G920" t="s">
        <v>74</v>
      </c>
      <c r="H920" t="s">
        <v>74</v>
      </c>
      <c r="I920" t="s">
        <v>16915</v>
      </c>
      <c r="J920" t="s">
        <v>9344</v>
      </c>
      <c r="K920" t="s">
        <v>74</v>
      </c>
      <c r="L920" t="s">
        <v>74</v>
      </c>
      <c r="M920" t="s">
        <v>78</v>
      </c>
      <c r="N920" t="s">
        <v>1246</v>
      </c>
      <c r="O920" t="s">
        <v>74</v>
      </c>
      <c r="P920" t="s">
        <v>74</v>
      </c>
      <c r="Q920" t="s">
        <v>74</v>
      </c>
      <c r="R920" t="s">
        <v>74</v>
      </c>
      <c r="S920" t="s">
        <v>74</v>
      </c>
      <c r="T920" t="s">
        <v>16916</v>
      </c>
      <c r="U920" t="s">
        <v>16917</v>
      </c>
      <c r="V920" t="s">
        <v>16918</v>
      </c>
      <c r="W920" t="s">
        <v>16919</v>
      </c>
      <c r="X920" t="s">
        <v>16920</v>
      </c>
      <c r="Y920" t="s">
        <v>16921</v>
      </c>
      <c r="Z920" t="s">
        <v>16922</v>
      </c>
      <c r="AA920" t="s">
        <v>74</v>
      </c>
      <c r="AB920" t="s">
        <v>74</v>
      </c>
      <c r="AC920" t="s">
        <v>16923</v>
      </c>
      <c r="AD920" t="s">
        <v>16924</v>
      </c>
      <c r="AE920" t="s">
        <v>16925</v>
      </c>
      <c r="AF920" t="s">
        <v>74</v>
      </c>
      <c r="AG920">
        <v>30</v>
      </c>
      <c r="AH920">
        <v>0</v>
      </c>
      <c r="AI920">
        <v>0</v>
      </c>
      <c r="AJ920">
        <v>1</v>
      </c>
      <c r="AK920">
        <v>1</v>
      </c>
      <c r="AL920" t="s">
        <v>117</v>
      </c>
      <c r="AM920" t="s">
        <v>627</v>
      </c>
      <c r="AN920" t="s">
        <v>628</v>
      </c>
      <c r="AO920" t="s">
        <v>9356</v>
      </c>
      <c r="AP920" t="s">
        <v>9357</v>
      </c>
      <c r="AQ920" t="s">
        <v>74</v>
      </c>
      <c r="AR920" t="s">
        <v>9358</v>
      </c>
      <c r="AS920" t="s">
        <v>9359</v>
      </c>
      <c r="AT920" t="s">
        <v>16716</v>
      </c>
      <c r="AU920">
        <v>2023</v>
      </c>
      <c r="AV920" t="s">
        <v>74</v>
      </c>
      <c r="AW920" t="s">
        <v>74</v>
      </c>
      <c r="AX920" t="s">
        <v>74</v>
      </c>
      <c r="AY920" t="s">
        <v>74</v>
      </c>
      <c r="AZ920" t="s">
        <v>74</v>
      </c>
      <c r="BA920" t="s">
        <v>74</v>
      </c>
      <c r="BB920" t="s">
        <v>74</v>
      </c>
      <c r="BC920" t="s">
        <v>74</v>
      </c>
      <c r="BD920" t="s">
        <v>74</v>
      </c>
      <c r="BE920" t="s">
        <v>16926</v>
      </c>
      <c r="BF920" t="str">
        <f>HYPERLINK("http://dx.doi.org/10.1007/s10618-023-00951-7","http://dx.doi.org/10.1007/s10618-023-00951-7")</f>
        <v>http://dx.doi.org/10.1007/s10618-023-00951-7</v>
      </c>
      <c r="BG920" t="s">
        <v>74</v>
      </c>
      <c r="BH920" t="s">
        <v>10650</v>
      </c>
      <c r="BI920">
        <v>41</v>
      </c>
      <c r="BJ920" t="s">
        <v>3818</v>
      </c>
      <c r="BK920" t="s">
        <v>126</v>
      </c>
      <c r="BL920" t="s">
        <v>1139</v>
      </c>
      <c r="BM920" t="s">
        <v>16927</v>
      </c>
      <c r="BN920" t="s">
        <v>74</v>
      </c>
      <c r="BO920" t="s">
        <v>762</v>
      </c>
      <c r="BP920" t="s">
        <v>74</v>
      </c>
      <c r="BQ920" t="s">
        <v>74</v>
      </c>
      <c r="BR920" t="s">
        <v>99</v>
      </c>
      <c r="BS920" t="s">
        <v>16928</v>
      </c>
      <c r="BT920" t="str">
        <f>HYPERLINK("https%3A%2F%2Fwww.webofscience.com%2Fwos%2Fwoscc%2Ffull-record%2FWOS:001049155100001","View Full Record in Web of Science")</f>
        <v>View Full Record in Web of Science</v>
      </c>
    </row>
    <row r="921" spans="1:72" x14ac:dyDescent="0.15">
      <c r="A921" t="s">
        <v>72</v>
      </c>
      <c r="B921" t="s">
        <v>16929</v>
      </c>
      <c r="C921" t="s">
        <v>74</v>
      </c>
      <c r="D921" t="s">
        <v>74</v>
      </c>
      <c r="E921" t="s">
        <v>74</v>
      </c>
      <c r="F921" t="s">
        <v>16930</v>
      </c>
      <c r="G921" t="s">
        <v>74</v>
      </c>
      <c r="H921" t="s">
        <v>74</v>
      </c>
      <c r="I921" t="s">
        <v>16931</v>
      </c>
      <c r="J921" t="s">
        <v>16805</v>
      </c>
      <c r="K921" t="s">
        <v>74</v>
      </c>
      <c r="L921" t="s">
        <v>74</v>
      </c>
      <c r="M921" t="s">
        <v>78</v>
      </c>
      <c r="N921" t="s">
        <v>79</v>
      </c>
      <c r="O921" t="s">
        <v>74</v>
      </c>
      <c r="P921" t="s">
        <v>74</v>
      </c>
      <c r="Q921" t="s">
        <v>74</v>
      </c>
      <c r="R921" t="s">
        <v>74</v>
      </c>
      <c r="S921" t="s">
        <v>74</v>
      </c>
      <c r="T921" t="s">
        <v>16932</v>
      </c>
      <c r="U921" t="s">
        <v>16933</v>
      </c>
      <c r="V921" t="s">
        <v>16934</v>
      </c>
      <c r="W921" t="s">
        <v>16935</v>
      </c>
      <c r="X921" t="s">
        <v>16936</v>
      </c>
      <c r="Y921" t="s">
        <v>16937</v>
      </c>
      <c r="Z921" t="s">
        <v>16938</v>
      </c>
      <c r="AA921" t="s">
        <v>74</v>
      </c>
      <c r="AB921" t="s">
        <v>74</v>
      </c>
      <c r="AC921" t="s">
        <v>74</v>
      </c>
      <c r="AD921" t="s">
        <v>74</v>
      </c>
      <c r="AE921" t="s">
        <v>74</v>
      </c>
      <c r="AF921" t="s">
        <v>74</v>
      </c>
      <c r="AG921">
        <v>56</v>
      </c>
      <c r="AH921">
        <v>0</v>
      </c>
      <c r="AI921">
        <v>0</v>
      </c>
      <c r="AJ921">
        <v>2</v>
      </c>
      <c r="AK921">
        <v>2</v>
      </c>
      <c r="AL921" t="s">
        <v>443</v>
      </c>
      <c r="AM921" t="s">
        <v>245</v>
      </c>
      <c r="AN921" t="s">
        <v>444</v>
      </c>
      <c r="AO921" t="s">
        <v>74</v>
      </c>
      <c r="AP921" t="s">
        <v>16812</v>
      </c>
      <c r="AQ921" t="s">
        <v>74</v>
      </c>
      <c r="AR921" t="s">
        <v>16813</v>
      </c>
      <c r="AS921" t="s">
        <v>16814</v>
      </c>
      <c r="AT921" t="s">
        <v>16699</v>
      </c>
      <c r="AU921">
        <v>2023</v>
      </c>
      <c r="AV921">
        <v>23</v>
      </c>
      <c r="AW921">
        <v>1</v>
      </c>
      <c r="AX921" t="s">
        <v>74</v>
      </c>
      <c r="AY921" t="s">
        <v>74</v>
      </c>
      <c r="AZ921" t="s">
        <v>74</v>
      </c>
      <c r="BA921" t="s">
        <v>74</v>
      </c>
      <c r="BB921" t="s">
        <v>74</v>
      </c>
      <c r="BC921" t="s">
        <v>74</v>
      </c>
      <c r="BD921">
        <v>358</v>
      </c>
      <c r="BE921" t="s">
        <v>16939</v>
      </c>
      <c r="BF921" t="str">
        <f>HYPERLINK("http://dx.doi.org/10.1186/s12886-023-03085-y","http://dx.doi.org/10.1186/s12886-023-03085-y")</f>
        <v>http://dx.doi.org/10.1186/s12886-023-03085-y</v>
      </c>
      <c r="BG921" t="s">
        <v>74</v>
      </c>
      <c r="BH921" t="s">
        <v>74</v>
      </c>
      <c r="BI921">
        <v>10</v>
      </c>
      <c r="BJ921" t="s">
        <v>7038</v>
      </c>
      <c r="BK921" t="s">
        <v>126</v>
      </c>
      <c r="BL921" t="s">
        <v>7038</v>
      </c>
      <c r="BM921" t="s">
        <v>16816</v>
      </c>
      <c r="BN921">
        <v>37587412</v>
      </c>
      <c r="BO921" t="s">
        <v>157</v>
      </c>
      <c r="BP921" t="s">
        <v>74</v>
      </c>
      <c r="BQ921" t="s">
        <v>74</v>
      </c>
      <c r="BR921" t="s">
        <v>99</v>
      </c>
      <c r="BS921" t="s">
        <v>16940</v>
      </c>
      <c r="BT921" t="str">
        <f>HYPERLINK("https%3A%2F%2Fwww.webofscience.com%2Fwos%2Fwoscc%2Ffull-record%2FWOS:001048613700001","View Full Record in Web of Science")</f>
        <v>View Full Record in Web of Science</v>
      </c>
    </row>
    <row r="922" spans="1:72" x14ac:dyDescent="0.15">
      <c r="A922" t="s">
        <v>72</v>
      </c>
      <c r="B922" t="s">
        <v>16941</v>
      </c>
      <c r="C922" t="s">
        <v>74</v>
      </c>
      <c r="D922" t="s">
        <v>74</v>
      </c>
      <c r="E922" t="s">
        <v>74</v>
      </c>
      <c r="F922" t="s">
        <v>16942</v>
      </c>
      <c r="G922" t="s">
        <v>74</v>
      </c>
      <c r="H922" t="s">
        <v>74</v>
      </c>
      <c r="I922" t="s">
        <v>16943</v>
      </c>
      <c r="J922" t="s">
        <v>16944</v>
      </c>
      <c r="K922" t="s">
        <v>74</v>
      </c>
      <c r="L922" t="s">
        <v>74</v>
      </c>
      <c r="M922" t="s">
        <v>78</v>
      </c>
      <c r="N922" t="s">
        <v>1246</v>
      </c>
      <c r="O922" t="s">
        <v>74</v>
      </c>
      <c r="P922" t="s">
        <v>74</v>
      </c>
      <c r="Q922" t="s">
        <v>74</v>
      </c>
      <c r="R922" t="s">
        <v>74</v>
      </c>
      <c r="S922" t="s">
        <v>74</v>
      </c>
      <c r="T922" t="s">
        <v>16945</v>
      </c>
      <c r="U922" t="s">
        <v>16946</v>
      </c>
      <c r="V922" t="s">
        <v>16947</v>
      </c>
      <c r="W922" t="s">
        <v>16948</v>
      </c>
      <c r="X922" t="s">
        <v>16949</v>
      </c>
      <c r="Y922" t="s">
        <v>16950</v>
      </c>
      <c r="Z922" t="s">
        <v>16951</v>
      </c>
      <c r="AA922" t="s">
        <v>16952</v>
      </c>
      <c r="AB922" t="s">
        <v>16953</v>
      </c>
      <c r="AC922" t="s">
        <v>74</v>
      </c>
      <c r="AD922" t="s">
        <v>74</v>
      </c>
      <c r="AE922" t="s">
        <v>74</v>
      </c>
      <c r="AF922" t="s">
        <v>74</v>
      </c>
      <c r="AG922">
        <v>73</v>
      </c>
      <c r="AH922">
        <v>0</v>
      </c>
      <c r="AI922">
        <v>0</v>
      </c>
      <c r="AJ922">
        <v>3</v>
      </c>
      <c r="AK922">
        <v>3</v>
      </c>
      <c r="AL922" t="s">
        <v>117</v>
      </c>
      <c r="AM922" t="s">
        <v>627</v>
      </c>
      <c r="AN922" t="s">
        <v>628</v>
      </c>
      <c r="AO922" t="s">
        <v>16954</v>
      </c>
      <c r="AP922" t="s">
        <v>16955</v>
      </c>
      <c r="AQ922" t="s">
        <v>74</v>
      </c>
      <c r="AR922" t="s">
        <v>16956</v>
      </c>
      <c r="AS922" t="s">
        <v>16957</v>
      </c>
      <c r="AT922" t="s">
        <v>16716</v>
      </c>
      <c r="AU922">
        <v>2023</v>
      </c>
      <c r="AV922" t="s">
        <v>74</v>
      </c>
      <c r="AW922" t="s">
        <v>74</v>
      </c>
      <c r="AX922" t="s">
        <v>74</v>
      </c>
      <c r="AY922" t="s">
        <v>74</v>
      </c>
      <c r="AZ922" t="s">
        <v>74</v>
      </c>
      <c r="BA922" t="s">
        <v>74</v>
      </c>
      <c r="BB922" t="s">
        <v>74</v>
      </c>
      <c r="BC922" t="s">
        <v>74</v>
      </c>
      <c r="BD922" t="s">
        <v>74</v>
      </c>
      <c r="BE922" t="s">
        <v>16958</v>
      </c>
      <c r="BF922" t="str">
        <f>HYPERLINK("http://dx.doi.org/10.1007/s10660-023-09747-9","http://dx.doi.org/10.1007/s10660-023-09747-9")</f>
        <v>http://dx.doi.org/10.1007/s10660-023-09747-9</v>
      </c>
      <c r="BG922" t="s">
        <v>74</v>
      </c>
      <c r="BH922" t="s">
        <v>10650</v>
      </c>
      <c r="BI922">
        <v>30</v>
      </c>
      <c r="BJ922" t="s">
        <v>424</v>
      </c>
      <c r="BK922" t="s">
        <v>425</v>
      </c>
      <c r="BL922" t="s">
        <v>426</v>
      </c>
      <c r="BM922" t="s">
        <v>16959</v>
      </c>
      <c r="BN922" t="s">
        <v>74</v>
      </c>
      <c r="BO922" t="s">
        <v>74</v>
      </c>
      <c r="BP922" t="s">
        <v>74</v>
      </c>
      <c r="BQ922" t="s">
        <v>74</v>
      </c>
      <c r="BR922" t="s">
        <v>99</v>
      </c>
      <c r="BS922" t="s">
        <v>16960</v>
      </c>
      <c r="BT922" t="str">
        <f>HYPERLINK("https%3A%2F%2Fwww.webofscience.com%2Fwos%2Fwoscc%2Ffull-record%2FWOS:001050433300001","View Full Record in Web of Science")</f>
        <v>View Full Record in Web of Science</v>
      </c>
    </row>
    <row r="923" spans="1:72" x14ac:dyDescent="0.15">
      <c r="A923" t="s">
        <v>72</v>
      </c>
      <c r="B923" t="s">
        <v>16961</v>
      </c>
      <c r="C923" t="s">
        <v>74</v>
      </c>
      <c r="D923" t="s">
        <v>74</v>
      </c>
      <c r="E923" t="s">
        <v>74</v>
      </c>
      <c r="F923" t="s">
        <v>16962</v>
      </c>
      <c r="G923" t="s">
        <v>74</v>
      </c>
      <c r="H923" t="s">
        <v>74</v>
      </c>
      <c r="I923" t="s">
        <v>16963</v>
      </c>
      <c r="J923" t="s">
        <v>6081</v>
      </c>
      <c r="K923" t="s">
        <v>74</v>
      </c>
      <c r="L923" t="s">
        <v>74</v>
      </c>
      <c r="M923" t="s">
        <v>78</v>
      </c>
      <c r="N923" t="s">
        <v>79</v>
      </c>
      <c r="O923" t="s">
        <v>74</v>
      </c>
      <c r="P923" t="s">
        <v>74</v>
      </c>
      <c r="Q923" t="s">
        <v>74</v>
      </c>
      <c r="R923" t="s">
        <v>74</v>
      </c>
      <c r="S923" t="s">
        <v>74</v>
      </c>
      <c r="T923" t="s">
        <v>16964</v>
      </c>
      <c r="U923" t="s">
        <v>16965</v>
      </c>
      <c r="V923" t="s">
        <v>16966</v>
      </c>
      <c r="W923" t="s">
        <v>16967</v>
      </c>
      <c r="X923" t="s">
        <v>16968</v>
      </c>
      <c r="Y923" t="s">
        <v>16969</v>
      </c>
      <c r="Z923" t="s">
        <v>16970</v>
      </c>
      <c r="AA923" t="s">
        <v>74</v>
      </c>
      <c r="AB923" t="s">
        <v>74</v>
      </c>
      <c r="AC923" t="s">
        <v>74</v>
      </c>
      <c r="AD923" t="s">
        <v>74</v>
      </c>
      <c r="AE923" t="s">
        <v>74</v>
      </c>
      <c r="AF923" t="s">
        <v>74</v>
      </c>
      <c r="AG923">
        <v>52</v>
      </c>
      <c r="AH923">
        <v>0</v>
      </c>
      <c r="AI923">
        <v>0</v>
      </c>
      <c r="AJ923">
        <v>0</v>
      </c>
      <c r="AK923">
        <v>0</v>
      </c>
      <c r="AL923" t="s">
        <v>443</v>
      </c>
      <c r="AM923" t="s">
        <v>245</v>
      </c>
      <c r="AN923" t="s">
        <v>444</v>
      </c>
      <c r="AO923" t="s">
        <v>74</v>
      </c>
      <c r="AP923" t="s">
        <v>6093</v>
      </c>
      <c r="AQ923" t="s">
        <v>74</v>
      </c>
      <c r="AR923" t="s">
        <v>6094</v>
      </c>
      <c r="AS923" t="s">
        <v>6095</v>
      </c>
      <c r="AT923" t="s">
        <v>16699</v>
      </c>
      <c r="AU923">
        <v>2023</v>
      </c>
      <c r="AV923">
        <v>24</v>
      </c>
      <c r="AW923">
        <v>1</v>
      </c>
      <c r="AX923" t="s">
        <v>74</v>
      </c>
      <c r="AY923" t="s">
        <v>74</v>
      </c>
      <c r="AZ923" t="s">
        <v>74</v>
      </c>
      <c r="BA923" t="s">
        <v>74</v>
      </c>
      <c r="BB923" t="s">
        <v>74</v>
      </c>
      <c r="BC923" t="s">
        <v>74</v>
      </c>
      <c r="BD923">
        <v>654</v>
      </c>
      <c r="BE923" t="s">
        <v>16971</v>
      </c>
      <c r="BF923" t="str">
        <f>HYPERLINK("http://dx.doi.org/10.1186/s12891-023-06761-8","http://dx.doi.org/10.1186/s12891-023-06761-8")</f>
        <v>http://dx.doi.org/10.1186/s12891-023-06761-8</v>
      </c>
      <c r="BG923" t="s">
        <v>74</v>
      </c>
      <c r="BH923" t="s">
        <v>74</v>
      </c>
      <c r="BI923">
        <v>12</v>
      </c>
      <c r="BJ923" t="s">
        <v>6097</v>
      </c>
      <c r="BK923" t="s">
        <v>126</v>
      </c>
      <c r="BL923" t="s">
        <v>6097</v>
      </c>
      <c r="BM923" t="s">
        <v>16972</v>
      </c>
      <c r="BN923">
        <v>37587439</v>
      </c>
      <c r="BO923" t="s">
        <v>981</v>
      </c>
      <c r="BP923" t="s">
        <v>74</v>
      </c>
      <c r="BQ923" t="s">
        <v>74</v>
      </c>
      <c r="BR923" t="s">
        <v>99</v>
      </c>
      <c r="BS923" t="s">
        <v>16973</v>
      </c>
      <c r="BT923" t="str">
        <f>HYPERLINK("https%3A%2F%2Fwww.webofscience.com%2Fwos%2Fwoscc%2Ffull-record%2FWOS:001048651500001","View Full Record in Web of Science")</f>
        <v>View Full Record in Web of Science</v>
      </c>
    </row>
    <row r="924" spans="1:72" x14ac:dyDescent="0.15">
      <c r="A924" t="s">
        <v>72</v>
      </c>
      <c r="B924" t="s">
        <v>16974</v>
      </c>
      <c r="C924" t="s">
        <v>74</v>
      </c>
      <c r="D924" t="s">
        <v>74</v>
      </c>
      <c r="E924" t="s">
        <v>74</v>
      </c>
      <c r="F924" t="s">
        <v>16975</v>
      </c>
      <c r="G924" t="s">
        <v>74</v>
      </c>
      <c r="H924" t="s">
        <v>74</v>
      </c>
      <c r="I924" t="s">
        <v>16976</v>
      </c>
      <c r="J924" t="s">
        <v>16977</v>
      </c>
      <c r="K924" t="s">
        <v>74</v>
      </c>
      <c r="L924" t="s">
        <v>74</v>
      </c>
      <c r="M924" t="s">
        <v>78</v>
      </c>
      <c r="N924" t="s">
        <v>79</v>
      </c>
      <c r="O924" t="s">
        <v>74</v>
      </c>
      <c r="P924" t="s">
        <v>74</v>
      </c>
      <c r="Q924" t="s">
        <v>74</v>
      </c>
      <c r="R924" t="s">
        <v>74</v>
      </c>
      <c r="S924" t="s">
        <v>74</v>
      </c>
      <c r="T924" t="s">
        <v>16978</v>
      </c>
      <c r="U924" t="s">
        <v>16979</v>
      </c>
      <c r="V924" t="s">
        <v>16980</v>
      </c>
      <c r="W924" t="s">
        <v>16981</v>
      </c>
      <c r="X924" t="s">
        <v>16982</v>
      </c>
      <c r="Y924" t="s">
        <v>16983</v>
      </c>
      <c r="Z924" t="s">
        <v>16984</v>
      </c>
      <c r="AA924" t="s">
        <v>74</v>
      </c>
      <c r="AB924" t="s">
        <v>74</v>
      </c>
      <c r="AC924" t="s">
        <v>74</v>
      </c>
      <c r="AD924" t="s">
        <v>74</v>
      </c>
      <c r="AE924" t="s">
        <v>74</v>
      </c>
      <c r="AF924" t="s">
        <v>74</v>
      </c>
      <c r="AG924">
        <v>40</v>
      </c>
      <c r="AH924">
        <v>0</v>
      </c>
      <c r="AI924">
        <v>0</v>
      </c>
      <c r="AJ924">
        <v>0</v>
      </c>
      <c r="AK924">
        <v>0</v>
      </c>
      <c r="AL924" t="s">
        <v>117</v>
      </c>
      <c r="AM924" t="s">
        <v>627</v>
      </c>
      <c r="AN924" t="s">
        <v>628</v>
      </c>
      <c r="AO924" t="s">
        <v>16985</v>
      </c>
      <c r="AP924" t="s">
        <v>16986</v>
      </c>
      <c r="AQ924" t="s">
        <v>74</v>
      </c>
      <c r="AR924" t="s">
        <v>16987</v>
      </c>
      <c r="AS924" t="s">
        <v>16988</v>
      </c>
      <c r="AT924" t="s">
        <v>8614</v>
      </c>
      <c r="AU924">
        <v>2023</v>
      </c>
      <c r="AV924">
        <v>171</v>
      </c>
      <c r="AW924">
        <v>3</v>
      </c>
      <c r="AX924" t="s">
        <v>74</v>
      </c>
      <c r="AY924" t="s">
        <v>74</v>
      </c>
      <c r="AZ924" t="s">
        <v>74</v>
      </c>
      <c r="BA924" t="s">
        <v>74</v>
      </c>
      <c r="BB924">
        <v>207</v>
      </c>
      <c r="BC924">
        <v>238</v>
      </c>
      <c r="BD924" t="s">
        <v>74</v>
      </c>
      <c r="BE924" t="s">
        <v>16989</v>
      </c>
      <c r="BF924" t="str">
        <f>HYPERLINK("http://dx.doi.org/10.1007/s10645-023-09422-2","http://dx.doi.org/10.1007/s10645-023-09422-2")</f>
        <v>http://dx.doi.org/10.1007/s10645-023-09422-2</v>
      </c>
      <c r="BG924" t="s">
        <v>74</v>
      </c>
      <c r="BH924" t="s">
        <v>10650</v>
      </c>
      <c r="BI924">
        <v>32</v>
      </c>
      <c r="BJ924" t="s">
        <v>2781</v>
      </c>
      <c r="BK924" t="s">
        <v>425</v>
      </c>
      <c r="BL924" t="s">
        <v>426</v>
      </c>
      <c r="BM924" t="s">
        <v>16990</v>
      </c>
      <c r="BN924" t="s">
        <v>74</v>
      </c>
      <c r="BO924" t="s">
        <v>183</v>
      </c>
      <c r="BP924" t="s">
        <v>74</v>
      </c>
      <c r="BQ924" t="s">
        <v>74</v>
      </c>
      <c r="BR924" t="s">
        <v>99</v>
      </c>
      <c r="BS924" t="s">
        <v>16991</v>
      </c>
      <c r="BT924" t="str">
        <f>HYPERLINK("https%3A%2F%2Fwww.webofscience.com%2Fwos%2Fwoscc%2Ffull-record%2FWOS:001048584100001","View Full Record in Web of Science")</f>
        <v>View Full Record in Web of Science</v>
      </c>
    </row>
    <row r="925" spans="1:72" x14ac:dyDescent="0.15">
      <c r="A925" t="s">
        <v>72</v>
      </c>
      <c r="B925" t="s">
        <v>16992</v>
      </c>
      <c r="C925" t="s">
        <v>74</v>
      </c>
      <c r="D925" t="s">
        <v>74</v>
      </c>
      <c r="E925" t="s">
        <v>74</v>
      </c>
      <c r="F925" t="s">
        <v>16993</v>
      </c>
      <c r="G925" t="s">
        <v>74</v>
      </c>
      <c r="H925" t="s">
        <v>74</v>
      </c>
      <c r="I925" t="s">
        <v>16994</v>
      </c>
      <c r="J925" t="s">
        <v>4400</v>
      </c>
      <c r="K925" t="s">
        <v>74</v>
      </c>
      <c r="L925" t="s">
        <v>74</v>
      </c>
      <c r="M925" t="s">
        <v>78</v>
      </c>
      <c r="N925" t="s">
        <v>1246</v>
      </c>
      <c r="O925" t="s">
        <v>74</v>
      </c>
      <c r="P925" t="s">
        <v>74</v>
      </c>
      <c r="Q925" t="s">
        <v>74</v>
      </c>
      <c r="R925" t="s">
        <v>74</v>
      </c>
      <c r="S925" t="s">
        <v>74</v>
      </c>
      <c r="T925" t="s">
        <v>16995</v>
      </c>
      <c r="U925" t="s">
        <v>1627</v>
      </c>
      <c r="V925" t="s">
        <v>16996</v>
      </c>
      <c r="W925" t="s">
        <v>16997</v>
      </c>
      <c r="X925" t="s">
        <v>16998</v>
      </c>
      <c r="Y925" t="s">
        <v>16999</v>
      </c>
      <c r="Z925" t="s">
        <v>17000</v>
      </c>
      <c r="AA925" t="s">
        <v>74</v>
      </c>
      <c r="AB925" t="s">
        <v>74</v>
      </c>
      <c r="AC925" t="s">
        <v>17001</v>
      </c>
      <c r="AD925" t="s">
        <v>17002</v>
      </c>
      <c r="AE925" t="s">
        <v>17003</v>
      </c>
      <c r="AF925" t="s">
        <v>74</v>
      </c>
      <c r="AG925">
        <v>24</v>
      </c>
      <c r="AH925">
        <v>0</v>
      </c>
      <c r="AI925">
        <v>0</v>
      </c>
      <c r="AJ925">
        <v>0</v>
      </c>
      <c r="AK925">
        <v>0</v>
      </c>
      <c r="AL925" t="s">
        <v>117</v>
      </c>
      <c r="AM925" t="s">
        <v>118</v>
      </c>
      <c r="AN925" t="s">
        <v>119</v>
      </c>
      <c r="AO925" t="s">
        <v>4407</v>
      </c>
      <c r="AP925" t="s">
        <v>4408</v>
      </c>
      <c r="AQ925" t="s">
        <v>74</v>
      </c>
      <c r="AR925" t="s">
        <v>4409</v>
      </c>
      <c r="AS925" t="s">
        <v>4410</v>
      </c>
      <c r="AT925" t="s">
        <v>16716</v>
      </c>
      <c r="AU925">
        <v>2023</v>
      </c>
      <c r="AV925" t="s">
        <v>74</v>
      </c>
      <c r="AW925" t="s">
        <v>74</v>
      </c>
      <c r="AX925" t="s">
        <v>74</v>
      </c>
      <c r="AY925" t="s">
        <v>74</v>
      </c>
      <c r="AZ925" t="s">
        <v>74</v>
      </c>
      <c r="BA925" t="s">
        <v>74</v>
      </c>
      <c r="BB925" t="s">
        <v>74</v>
      </c>
      <c r="BC925" t="s">
        <v>74</v>
      </c>
      <c r="BD925" t="s">
        <v>74</v>
      </c>
      <c r="BE925" t="s">
        <v>17004</v>
      </c>
      <c r="BF925" t="str">
        <f>HYPERLINK("http://dx.doi.org/10.1007/s10998-023-00533-6","http://dx.doi.org/10.1007/s10998-023-00533-6")</f>
        <v>http://dx.doi.org/10.1007/s10998-023-00533-6</v>
      </c>
      <c r="BG925" t="s">
        <v>74</v>
      </c>
      <c r="BH925" t="s">
        <v>10650</v>
      </c>
      <c r="BI925">
        <v>8</v>
      </c>
      <c r="BJ925" t="s">
        <v>227</v>
      </c>
      <c r="BK925" t="s">
        <v>126</v>
      </c>
      <c r="BL925" t="s">
        <v>228</v>
      </c>
      <c r="BM925" t="s">
        <v>17005</v>
      </c>
      <c r="BN925" t="s">
        <v>74</v>
      </c>
      <c r="BO925" t="s">
        <v>327</v>
      </c>
      <c r="BP925" t="s">
        <v>74</v>
      </c>
      <c r="BQ925" t="s">
        <v>74</v>
      </c>
      <c r="BR925" t="s">
        <v>99</v>
      </c>
      <c r="BS925" t="s">
        <v>17006</v>
      </c>
      <c r="BT925" t="str">
        <f>HYPERLINK("https%3A%2F%2Fwww.webofscience.com%2Fwos%2Fwoscc%2Ffull-record%2FWOS:001049793800001","View Full Record in Web of Science")</f>
        <v>View Full Record in Web of Science</v>
      </c>
    </row>
    <row r="926" spans="1:72" x14ac:dyDescent="0.15">
      <c r="A926" t="s">
        <v>72</v>
      </c>
      <c r="B926" t="s">
        <v>17007</v>
      </c>
      <c r="C926" t="s">
        <v>74</v>
      </c>
      <c r="D926" t="s">
        <v>74</v>
      </c>
      <c r="E926" t="s">
        <v>74</v>
      </c>
      <c r="F926" t="s">
        <v>17008</v>
      </c>
      <c r="G926" t="s">
        <v>74</v>
      </c>
      <c r="H926" t="s">
        <v>74</v>
      </c>
      <c r="I926" t="s">
        <v>17009</v>
      </c>
      <c r="J926" t="s">
        <v>13436</v>
      </c>
      <c r="K926" t="s">
        <v>74</v>
      </c>
      <c r="L926" t="s">
        <v>74</v>
      </c>
      <c r="M926" t="s">
        <v>78</v>
      </c>
      <c r="N926" t="s">
        <v>1246</v>
      </c>
      <c r="O926" t="s">
        <v>74</v>
      </c>
      <c r="P926" t="s">
        <v>74</v>
      </c>
      <c r="Q926" t="s">
        <v>74</v>
      </c>
      <c r="R926" t="s">
        <v>74</v>
      </c>
      <c r="S926" t="s">
        <v>74</v>
      </c>
      <c r="T926" t="s">
        <v>17010</v>
      </c>
      <c r="U926" t="s">
        <v>17011</v>
      </c>
      <c r="V926" t="s">
        <v>17012</v>
      </c>
      <c r="W926" t="s">
        <v>17013</v>
      </c>
      <c r="X926" t="s">
        <v>17014</v>
      </c>
      <c r="Y926" t="s">
        <v>17015</v>
      </c>
      <c r="Z926" t="s">
        <v>17016</v>
      </c>
      <c r="AA926" t="s">
        <v>74</v>
      </c>
      <c r="AB926" t="s">
        <v>74</v>
      </c>
      <c r="AC926" t="s">
        <v>17017</v>
      </c>
      <c r="AD926" t="s">
        <v>17018</v>
      </c>
      <c r="AE926" t="s">
        <v>17019</v>
      </c>
      <c r="AF926" t="s">
        <v>74</v>
      </c>
      <c r="AG926">
        <v>21</v>
      </c>
      <c r="AH926">
        <v>0</v>
      </c>
      <c r="AI926">
        <v>0</v>
      </c>
      <c r="AJ926">
        <v>2</v>
      </c>
      <c r="AK926">
        <v>2</v>
      </c>
      <c r="AL926" t="s">
        <v>117</v>
      </c>
      <c r="AM926" t="s">
        <v>627</v>
      </c>
      <c r="AN926" t="s">
        <v>628</v>
      </c>
      <c r="AO926" t="s">
        <v>13448</v>
      </c>
      <c r="AP926" t="s">
        <v>13449</v>
      </c>
      <c r="AQ926" t="s">
        <v>74</v>
      </c>
      <c r="AR926" t="s">
        <v>13450</v>
      </c>
      <c r="AS926" t="s">
        <v>13451</v>
      </c>
      <c r="AT926" t="s">
        <v>16716</v>
      </c>
      <c r="AU926">
        <v>2023</v>
      </c>
      <c r="AV926" t="s">
        <v>74</v>
      </c>
      <c r="AW926" t="s">
        <v>74</v>
      </c>
      <c r="AX926" t="s">
        <v>74</v>
      </c>
      <c r="AY926" t="s">
        <v>74</v>
      </c>
      <c r="AZ926" t="s">
        <v>74</v>
      </c>
      <c r="BA926" t="s">
        <v>74</v>
      </c>
      <c r="BB926" t="s">
        <v>74</v>
      </c>
      <c r="BC926" t="s">
        <v>74</v>
      </c>
      <c r="BD926" t="s">
        <v>74</v>
      </c>
      <c r="BE926" t="s">
        <v>17020</v>
      </c>
      <c r="BF926" t="str">
        <f>HYPERLINK("http://dx.doi.org/10.1007/s10973-023-12379-8","http://dx.doi.org/10.1007/s10973-023-12379-8")</f>
        <v>http://dx.doi.org/10.1007/s10973-023-12379-8</v>
      </c>
      <c r="BG926" t="s">
        <v>74</v>
      </c>
      <c r="BH926" t="s">
        <v>10650</v>
      </c>
      <c r="BI926">
        <v>7</v>
      </c>
      <c r="BJ926" t="s">
        <v>13453</v>
      </c>
      <c r="BK926" t="s">
        <v>126</v>
      </c>
      <c r="BL926" t="s">
        <v>13454</v>
      </c>
      <c r="BM926" t="s">
        <v>17021</v>
      </c>
      <c r="BN926" t="s">
        <v>74</v>
      </c>
      <c r="BO926" t="s">
        <v>74</v>
      </c>
      <c r="BP926" t="s">
        <v>74</v>
      </c>
      <c r="BQ926" t="s">
        <v>74</v>
      </c>
      <c r="BR926" t="s">
        <v>99</v>
      </c>
      <c r="BS926" t="s">
        <v>17022</v>
      </c>
      <c r="BT926" t="str">
        <f>HYPERLINK("https%3A%2F%2Fwww.webofscience.com%2Fwos%2Fwoscc%2Ffull-record%2FWOS:001050974500003","View Full Record in Web of Science")</f>
        <v>View Full Record in Web of Science</v>
      </c>
    </row>
    <row r="927" spans="1:72" x14ac:dyDescent="0.15">
      <c r="A927" t="s">
        <v>72</v>
      </c>
      <c r="B927" t="s">
        <v>17023</v>
      </c>
      <c r="C927" t="s">
        <v>74</v>
      </c>
      <c r="D927" t="s">
        <v>74</v>
      </c>
      <c r="E927" t="s">
        <v>74</v>
      </c>
      <c r="F927" t="s">
        <v>17024</v>
      </c>
      <c r="G927" t="s">
        <v>74</v>
      </c>
      <c r="H927" t="s">
        <v>74</v>
      </c>
      <c r="I927" t="s">
        <v>17025</v>
      </c>
      <c r="J927" t="s">
        <v>17026</v>
      </c>
      <c r="K927" t="s">
        <v>74</v>
      </c>
      <c r="L927" t="s">
        <v>74</v>
      </c>
      <c r="M927" t="s">
        <v>78</v>
      </c>
      <c r="N927" t="s">
        <v>1246</v>
      </c>
      <c r="O927" t="s">
        <v>74</v>
      </c>
      <c r="P927" t="s">
        <v>74</v>
      </c>
      <c r="Q927" t="s">
        <v>74</v>
      </c>
      <c r="R927" t="s">
        <v>74</v>
      </c>
      <c r="S927" t="s">
        <v>74</v>
      </c>
      <c r="T927" t="s">
        <v>74</v>
      </c>
      <c r="U927" t="s">
        <v>17027</v>
      </c>
      <c r="V927" t="s">
        <v>17028</v>
      </c>
      <c r="W927" t="s">
        <v>17029</v>
      </c>
      <c r="X927" t="s">
        <v>17030</v>
      </c>
      <c r="Y927" t="s">
        <v>17031</v>
      </c>
      <c r="Z927" t="s">
        <v>17032</v>
      </c>
      <c r="AA927" t="s">
        <v>17033</v>
      </c>
      <c r="AB927" t="s">
        <v>17034</v>
      </c>
      <c r="AC927" t="s">
        <v>17035</v>
      </c>
      <c r="AD927" t="s">
        <v>74</v>
      </c>
      <c r="AE927" t="s">
        <v>17036</v>
      </c>
      <c r="AF927" t="s">
        <v>74</v>
      </c>
      <c r="AG927">
        <v>55</v>
      </c>
      <c r="AH927">
        <v>0</v>
      </c>
      <c r="AI927">
        <v>0</v>
      </c>
      <c r="AJ927">
        <v>4</v>
      </c>
      <c r="AK927">
        <v>4</v>
      </c>
      <c r="AL927" t="s">
        <v>317</v>
      </c>
      <c r="AM927" t="s">
        <v>245</v>
      </c>
      <c r="AN927" t="s">
        <v>318</v>
      </c>
      <c r="AO927" t="s">
        <v>17037</v>
      </c>
      <c r="AP927" t="s">
        <v>17038</v>
      </c>
      <c r="AQ927" t="s">
        <v>74</v>
      </c>
      <c r="AR927" t="s">
        <v>17039</v>
      </c>
      <c r="AS927" t="s">
        <v>17040</v>
      </c>
      <c r="AT927" t="s">
        <v>16716</v>
      </c>
      <c r="AU927">
        <v>2023</v>
      </c>
      <c r="AV927" t="s">
        <v>74</v>
      </c>
      <c r="AW927" t="s">
        <v>74</v>
      </c>
      <c r="AX927" t="s">
        <v>74</v>
      </c>
      <c r="AY927" t="s">
        <v>74</v>
      </c>
      <c r="AZ927" t="s">
        <v>74</v>
      </c>
      <c r="BA927" t="s">
        <v>74</v>
      </c>
      <c r="BB927" t="s">
        <v>74</v>
      </c>
      <c r="BC927" t="s">
        <v>74</v>
      </c>
      <c r="BD927" t="s">
        <v>74</v>
      </c>
      <c r="BE927" t="s">
        <v>17041</v>
      </c>
      <c r="BF927" t="str">
        <f>HYPERLINK("http://dx.doi.org/10.1038/s41397-023-00314-x","http://dx.doi.org/10.1038/s41397-023-00314-x")</f>
        <v>http://dx.doi.org/10.1038/s41397-023-00314-x</v>
      </c>
      <c r="BG927" t="s">
        <v>74</v>
      </c>
      <c r="BH927" t="s">
        <v>10650</v>
      </c>
      <c r="BI927">
        <v>8</v>
      </c>
      <c r="BJ927" t="s">
        <v>17042</v>
      </c>
      <c r="BK927" t="s">
        <v>126</v>
      </c>
      <c r="BL927" t="s">
        <v>17042</v>
      </c>
      <c r="BM927" t="s">
        <v>17043</v>
      </c>
      <c r="BN927">
        <v>37587271</v>
      </c>
      <c r="BO927" t="s">
        <v>327</v>
      </c>
      <c r="BP927" t="s">
        <v>74</v>
      </c>
      <c r="BQ927" t="s">
        <v>74</v>
      </c>
      <c r="BR927" t="s">
        <v>99</v>
      </c>
      <c r="BS927" t="s">
        <v>17044</v>
      </c>
      <c r="BT927" t="str">
        <f>HYPERLINK("https%3A%2F%2Fwww.webofscience.com%2Fwos%2Fwoscc%2Ffull-record%2FWOS:001048567000001","View Full Record in Web of Science")</f>
        <v>View Full Record in Web of Science</v>
      </c>
    </row>
    <row r="928" spans="1:72" x14ac:dyDescent="0.15">
      <c r="A928" t="s">
        <v>72</v>
      </c>
      <c r="B928" t="s">
        <v>17045</v>
      </c>
      <c r="C928" t="s">
        <v>74</v>
      </c>
      <c r="D928" t="s">
        <v>74</v>
      </c>
      <c r="E928" t="s">
        <v>74</v>
      </c>
      <c r="F928" t="s">
        <v>17046</v>
      </c>
      <c r="G928" t="s">
        <v>74</v>
      </c>
      <c r="H928" t="s">
        <v>74</v>
      </c>
      <c r="I928" t="s">
        <v>17047</v>
      </c>
      <c r="J928" t="s">
        <v>17048</v>
      </c>
      <c r="K928" t="s">
        <v>74</v>
      </c>
      <c r="L928" t="s">
        <v>74</v>
      </c>
      <c r="M928" t="s">
        <v>78</v>
      </c>
      <c r="N928" t="s">
        <v>79</v>
      </c>
      <c r="O928" t="s">
        <v>74</v>
      </c>
      <c r="P928" t="s">
        <v>74</v>
      </c>
      <c r="Q928" t="s">
        <v>74</v>
      </c>
      <c r="R928" t="s">
        <v>74</v>
      </c>
      <c r="S928" t="s">
        <v>74</v>
      </c>
      <c r="T928" t="s">
        <v>17049</v>
      </c>
      <c r="U928" t="s">
        <v>17050</v>
      </c>
      <c r="V928" t="s">
        <v>17051</v>
      </c>
      <c r="W928" t="s">
        <v>17052</v>
      </c>
      <c r="X928" t="s">
        <v>17053</v>
      </c>
      <c r="Y928" t="s">
        <v>17054</v>
      </c>
      <c r="Z928" t="s">
        <v>17055</v>
      </c>
      <c r="AA928" t="s">
        <v>74</v>
      </c>
      <c r="AB928" t="s">
        <v>74</v>
      </c>
      <c r="AC928" t="s">
        <v>17056</v>
      </c>
      <c r="AD928" t="s">
        <v>17057</v>
      </c>
      <c r="AE928" t="s">
        <v>17058</v>
      </c>
      <c r="AF928" t="s">
        <v>74</v>
      </c>
      <c r="AG928">
        <v>30</v>
      </c>
      <c r="AH928">
        <v>0</v>
      </c>
      <c r="AI928">
        <v>0</v>
      </c>
      <c r="AJ928">
        <v>1</v>
      </c>
      <c r="AK928">
        <v>1</v>
      </c>
      <c r="AL928" t="s">
        <v>443</v>
      </c>
      <c r="AM928" t="s">
        <v>245</v>
      </c>
      <c r="AN928" t="s">
        <v>444</v>
      </c>
      <c r="AO928" t="s">
        <v>74</v>
      </c>
      <c r="AP928" t="s">
        <v>17059</v>
      </c>
      <c r="AQ928" t="s">
        <v>74</v>
      </c>
      <c r="AR928" t="s">
        <v>17060</v>
      </c>
      <c r="AS928" t="s">
        <v>17061</v>
      </c>
      <c r="AT928" t="s">
        <v>16699</v>
      </c>
      <c r="AU928">
        <v>2023</v>
      </c>
      <c r="AV928">
        <v>23</v>
      </c>
      <c r="AW928">
        <v>1</v>
      </c>
      <c r="AX928" t="s">
        <v>74</v>
      </c>
      <c r="AY928" t="s">
        <v>74</v>
      </c>
      <c r="AZ928" t="s">
        <v>74</v>
      </c>
      <c r="BA928" t="s">
        <v>74</v>
      </c>
      <c r="BB928" t="s">
        <v>74</v>
      </c>
      <c r="BC928" t="s">
        <v>74</v>
      </c>
      <c r="BD928">
        <v>29</v>
      </c>
      <c r="BE928" t="s">
        <v>17062</v>
      </c>
      <c r="BF928" t="str">
        <f>HYPERLINK("http://dx.doi.org/10.1186/s12896-023-00799-1","http://dx.doi.org/10.1186/s12896-023-00799-1")</f>
        <v>http://dx.doi.org/10.1186/s12896-023-00799-1</v>
      </c>
      <c r="BG928" t="s">
        <v>74</v>
      </c>
      <c r="BH928" t="s">
        <v>74</v>
      </c>
      <c r="BI928">
        <v>9</v>
      </c>
      <c r="BJ928" t="s">
        <v>1843</v>
      </c>
      <c r="BK928" t="s">
        <v>126</v>
      </c>
      <c r="BL928" t="s">
        <v>1843</v>
      </c>
      <c r="BM928" t="s">
        <v>17063</v>
      </c>
      <c r="BN928">
        <v>37587435</v>
      </c>
      <c r="BO928" t="s">
        <v>157</v>
      </c>
      <c r="BP928" t="s">
        <v>74</v>
      </c>
      <c r="BQ928" t="s">
        <v>74</v>
      </c>
      <c r="BR928" t="s">
        <v>99</v>
      </c>
      <c r="BS928" t="s">
        <v>17064</v>
      </c>
      <c r="BT928" t="str">
        <f>HYPERLINK("https%3A%2F%2Fwww.webofscience.com%2Fwos%2Fwoscc%2Ffull-record%2FWOS:001049826000001","View Full Record in Web of Science")</f>
        <v>View Full Record in Web of Science</v>
      </c>
    </row>
    <row r="929" spans="1:72" x14ac:dyDescent="0.15">
      <c r="A929" t="s">
        <v>72</v>
      </c>
      <c r="B929" t="s">
        <v>17065</v>
      </c>
      <c r="C929" t="s">
        <v>74</v>
      </c>
      <c r="D929" t="s">
        <v>74</v>
      </c>
      <c r="E929" t="s">
        <v>74</v>
      </c>
      <c r="F929" t="s">
        <v>17066</v>
      </c>
      <c r="G929" t="s">
        <v>74</v>
      </c>
      <c r="H929" t="s">
        <v>74</v>
      </c>
      <c r="I929" t="s">
        <v>17067</v>
      </c>
      <c r="J929" t="s">
        <v>17068</v>
      </c>
      <c r="K929" t="s">
        <v>74</v>
      </c>
      <c r="L929" t="s">
        <v>74</v>
      </c>
      <c r="M929" t="s">
        <v>78</v>
      </c>
      <c r="N929" t="s">
        <v>1246</v>
      </c>
      <c r="O929" t="s">
        <v>74</v>
      </c>
      <c r="P929" t="s">
        <v>74</v>
      </c>
      <c r="Q929" t="s">
        <v>74</v>
      </c>
      <c r="R929" t="s">
        <v>74</v>
      </c>
      <c r="S929" t="s">
        <v>74</v>
      </c>
      <c r="T929" t="s">
        <v>17069</v>
      </c>
      <c r="U929" t="s">
        <v>17070</v>
      </c>
      <c r="V929" t="s">
        <v>17071</v>
      </c>
      <c r="W929" t="s">
        <v>17072</v>
      </c>
      <c r="X929" t="s">
        <v>17073</v>
      </c>
      <c r="Y929" t="s">
        <v>17074</v>
      </c>
      <c r="Z929" t="s">
        <v>17075</v>
      </c>
      <c r="AA929" t="s">
        <v>74</v>
      </c>
      <c r="AB929" t="s">
        <v>74</v>
      </c>
      <c r="AC929" t="s">
        <v>17076</v>
      </c>
      <c r="AD929" t="s">
        <v>17077</v>
      </c>
      <c r="AE929" t="s">
        <v>17078</v>
      </c>
      <c r="AF929" t="s">
        <v>74</v>
      </c>
      <c r="AG929">
        <v>45</v>
      </c>
      <c r="AH929">
        <v>0</v>
      </c>
      <c r="AI929">
        <v>0</v>
      </c>
      <c r="AJ929">
        <v>2</v>
      </c>
      <c r="AK929">
        <v>2</v>
      </c>
      <c r="AL929" t="s">
        <v>172</v>
      </c>
      <c r="AM929" t="s">
        <v>173</v>
      </c>
      <c r="AN929" t="s">
        <v>174</v>
      </c>
      <c r="AO929" t="s">
        <v>17079</v>
      </c>
      <c r="AP929" t="s">
        <v>17080</v>
      </c>
      <c r="AQ929" t="s">
        <v>74</v>
      </c>
      <c r="AR929" t="s">
        <v>17081</v>
      </c>
      <c r="AS929" t="s">
        <v>17082</v>
      </c>
      <c r="AT929" t="s">
        <v>16716</v>
      </c>
      <c r="AU929">
        <v>2023</v>
      </c>
      <c r="AV929" t="s">
        <v>74</v>
      </c>
      <c r="AW929" t="s">
        <v>74</v>
      </c>
      <c r="AX929" t="s">
        <v>74</v>
      </c>
      <c r="AY929" t="s">
        <v>74</v>
      </c>
      <c r="AZ929" t="s">
        <v>74</v>
      </c>
      <c r="BA929" t="s">
        <v>74</v>
      </c>
      <c r="BB929" t="s">
        <v>74</v>
      </c>
      <c r="BC929" t="s">
        <v>74</v>
      </c>
      <c r="BD929" t="s">
        <v>74</v>
      </c>
      <c r="BE929" t="s">
        <v>17083</v>
      </c>
      <c r="BF929" t="str">
        <f>HYPERLINK("http://dx.doi.org/10.1007/s13346-023-01408-6","http://dx.doi.org/10.1007/s13346-023-01408-6")</f>
        <v>http://dx.doi.org/10.1007/s13346-023-01408-6</v>
      </c>
      <c r="BG929" t="s">
        <v>74</v>
      </c>
      <c r="BH929" t="s">
        <v>10650</v>
      </c>
      <c r="BI929">
        <v>15</v>
      </c>
      <c r="BJ929" t="s">
        <v>17084</v>
      </c>
      <c r="BK929" t="s">
        <v>126</v>
      </c>
      <c r="BL929" t="s">
        <v>17085</v>
      </c>
      <c r="BM929" t="s">
        <v>17086</v>
      </c>
      <c r="BN929">
        <v>37587291</v>
      </c>
      <c r="BO929" t="s">
        <v>74</v>
      </c>
      <c r="BP929" t="s">
        <v>74</v>
      </c>
      <c r="BQ929" t="s">
        <v>74</v>
      </c>
      <c r="BR929" t="s">
        <v>99</v>
      </c>
      <c r="BS929" t="s">
        <v>17087</v>
      </c>
      <c r="BT929" t="str">
        <f>HYPERLINK("https%3A%2F%2Fwww.webofscience.com%2Fwos%2Fwoscc%2Ffull-record%2FWOS:001049813800001","View Full Record in Web of Science")</f>
        <v>View Full Record in Web of Science</v>
      </c>
    </row>
    <row r="930" spans="1:72" x14ac:dyDescent="0.15">
      <c r="A930" t="s">
        <v>72</v>
      </c>
      <c r="B930" t="s">
        <v>17088</v>
      </c>
      <c r="C930" t="s">
        <v>74</v>
      </c>
      <c r="D930" t="s">
        <v>74</v>
      </c>
      <c r="E930" t="s">
        <v>74</v>
      </c>
      <c r="F930" t="s">
        <v>17089</v>
      </c>
      <c r="G930" t="s">
        <v>74</v>
      </c>
      <c r="H930" t="s">
        <v>74</v>
      </c>
      <c r="I930" t="s">
        <v>17090</v>
      </c>
      <c r="J930" t="s">
        <v>16867</v>
      </c>
      <c r="K930" t="s">
        <v>74</v>
      </c>
      <c r="L930" t="s">
        <v>74</v>
      </c>
      <c r="M930" t="s">
        <v>78</v>
      </c>
      <c r="N930" t="s">
        <v>1246</v>
      </c>
      <c r="O930" t="s">
        <v>74</v>
      </c>
      <c r="P930" t="s">
        <v>74</v>
      </c>
      <c r="Q930" t="s">
        <v>74</v>
      </c>
      <c r="R930" t="s">
        <v>74</v>
      </c>
      <c r="S930" t="s">
        <v>74</v>
      </c>
      <c r="T930" t="s">
        <v>17091</v>
      </c>
      <c r="U930" t="s">
        <v>17092</v>
      </c>
      <c r="V930" t="s">
        <v>17093</v>
      </c>
      <c r="W930" t="s">
        <v>17094</v>
      </c>
      <c r="X930" t="s">
        <v>74</v>
      </c>
      <c r="Y930" t="s">
        <v>17095</v>
      </c>
      <c r="Z930" t="s">
        <v>17096</v>
      </c>
      <c r="AA930" t="s">
        <v>74</v>
      </c>
      <c r="AB930" t="s">
        <v>17097</v>
      </c>
      <c r="AC930" t="s">
        <v>17098</v>
      </c>
      <c r="AD930" t="s">
        <v>17099</v>
      </c>
      <c r="AE930" t="s">
        <v>17100</v>
      </c>
      <c r="AF930" t="s">
        <v>74</v>
      </c>
      <c r="AG930">
        <v>30</v>
      </c>
      <c r="AH930">
        <v>0</v>
      </c>
      <c r="AI930">
        <v>0</v>
      </c>
      <c r="AJ930">
        <v>0</v>
      </c>
      <c r="AK930">
        <v>0</v>
      </c>
      <c r="AL930" t="s">
        <v>172</v>
      </c>
      <c r="AM930" t="s">
        <v>173</v>
      </c>
      <c r="AN930" t="s">
        <v>174</v>
      </c>
      <c r="AO930" t="s">
        <v>16877</v>
      </c>
      <c r="AP930" t="s">
        <v>16878</v>
      </c>
      <c r="AQ930" t="s">
        <v>74</v>
      </c>
      <c r="AR930" t="s">
        <v>16879</v>
      </c>
      <c r="AS930" t="s">
        <v>16880</v>
      </c>
      <c r="AT930" t="s">
        <v>16716</v>
      </c>
      <c r="AU930">
        <v>2023</v>
      </c>
      <c r="AV930" t="s">
        <v>74</v>
      </c>
      <c r="AW930" t="s">
        <v>74</v>
      </c>
      <c r="AX930" t="s">
        <v>74</v>
      </c>
      <c r="AY930" t="s">
        <v>74</v>
      </c>
      <c r="AZ930" t="s">
        <v>74</v>
      </c>
      <c r="BA930" t="s">
        <v>74</v>
      </c>
      <c r="BB930" t="s">
        <v>74</v>
      </c>
      <c r="BC930" t="s">
        <v>74</v>
      </c>
      <c r="BD930" t="s">
        <v>74</v>
      </c>
      <c r="BE930" t="s">
        <v>17101</v>
      </c>
      <c r="BF930" t="str">
        <f>HYPERLINK("http://dx.doi.org/10.1557/s43579-023-00413-7","http://dx.doi.org/10.1557/s43579-023-00413-7")</f>
        <v>http://dx.doi.org/10.1557/s43579-023-00413-7</v>
      </c>
      <c r="BG930" t="s">
        <v>74</v>
      </c>
      <c r="BH930" t="s">
        <v>10650</v>
      </c>
      <c r="BI930">
        <v>6</v>
      </c>
      <c r="BJ930" t="s">
        <v>5216</v>
      </c>
      <c r="BK930" t="s">
        <v>126</v>
      </c>
      <c r="BL930" t="s">
        <v>2293</v>
      </c>
      <c r="BM930" t="s">
        <v>16882</v>
      </c>
      <c r="BN930" t="s">
        <v>74</v>
      </c>
      <c r="BO930" t="s">
        <v>74</v>
      </c>
      <c r="BP930" t="s">
        <v>74</v>
      </c>
      <c r="BQ930" t="s">
        <v>74</v>
      </c>
      <c r="BR930" t="s">
        <v>99</v>
      </c>
      <c r="BS930" t="s">
        <v>17102</v>
      </c>
      <c r="BT930" t="str">
        <f>HYPERLINK("https%3A%2F%2Fwww.webofscience.com%2Fwos%2Fwoscc%2Ffull-record%2FWOS:001049778500004","View Full Record in Web of Science")</f>
        <v>View Full Record in Web of Science</v>
      </c>
    </row>
    <row r="931" spans="1:72" x14ac:dyDescent="0.15">
      <c r="A931" t="s">
        <v>72</v>
      </c>
      <c r="B931" t="s">
        <v>17103</v>
      </c>
      <c r="C931" t="s">
        <v>74</v>
      </c>
      <c r="D931" t="s">
        <v>74</v>
      </c>
      <c r="E931" t="s">
        <v>74</v>
      </c>
      <c r="F931" t="s">
        <v>17104</v>
      </c>
      <c r="G931" t="s">
        <v>74</v>
      </c>
      <c r="H931" t="s">
        <v>74</v>
      </c>
      <c r="I931" t="s">
        <v>17105</v>
      </c>
      <c r="J931" t="s">
        <v>17106</v>
      </c>
      <c r="K931" t="s">
        <v>74</v>
      </c>
      <c r="L931" t="s">
        <v>74</v>
      </c>
      <c r="M931" t="s">
        <v>78</v>
      </c>
      <c r="N931" t="s">
        <v>1246</v>
      </c>
      <c r="O931" t="s">
        <v>74</v>
      </c>
      <c r="P931" t="s">
        <v>74</v>
      </c>
      <c r="Q931" t="s">
        <v>74</v>
      </c>
      <c r="R931" t="s">
        <v>74</v>
      </c>
      <c r="S931" t="s">
        <v>74</v>
      </c>
      <c r="T931" t="s">
        <v>17107</v>
      </c>
      <c r="U931" t="s">
        <v>17108</v>
      </c>
      <c r="V931" t="s">
        <v>17109</v>
      </c>
      <c r="W931" t="s">
        <v>17110</v>
      </c>
      <c r="X931" t="s">
        <v>17111</v>
      </c>
      <c r="Y931" t="s">
        <v>17112</v>
      </c>
      <c r="Z931" t="s">
        <v>17113</v>
      </c>
      <c r="AA931" t="s">
        <v>74</v>
      </c>
      <c r="AB931" t="s">
        <v>74</v>
      </c>
      <c r="AC931" t="s">
        <v>74</v>
      </c>
      <c r="AD931" t="s">
        <v>74</v>
      </c>
      <c r="AE931" t="s">
        <v>74</v>
      </c>
      <c r="AF931" t="s">
        <v>74</v>
      </c>
      <c r="AG931">
        <v>20</v>
      </c>
      <c r="AH931">
        <v>0</v>
      </c>
      <c r="AI931">
        <v>0</v>
      </c>
      <c r="AJ931">
        <v>0</v>
      </c>
      <c r="AK931">
        <v>0</v>
      </c>
      <c r="AL931" t="s">
        <v>117</v>
      </c>
      <c r="AM931" t="s">
        <v>118</v>
      </c>
      <c r="AN931" t="s">
        <v>119</v>
      </c>
      <c r="AO931" t="s">
        <v>17114</v>
      </c>
      <c r="AP931" t="s">
        <v>17115</v>
      </c>
      <c r="AQ931" t="s">
        <v>74</v>
      </c>
      <c r="AR931" t="s">
        <v>17116</v>
      </c>
      <c r="AS931" t="s">
        <v>17117</v>
      </c>
      <c r="AT931" t="s">
        <v>16716</v>
      </c>
      <c r="AU931">
        <v>2023</v>
      </c>
      <c r="AV931" t="s">
        <v>74</v>
      </c>
      <c r="AW931" t="s">
        <v>74</v>
      </c>
      <c r="AX931" t="s">
        <v>74</v>
      </c>
      <c r="AY931" t="s">
        <v>74</v>
      </c>
      <c r="AZ931" t="s">
        <v>74</v>
      </c>
      <c r="BA931" t="s">
        <v>74</v>
      </c>
      <c r="BB931" t="s">
        <v>74</v>
      </c>
      <c r="BC931" t="s">
        <v>74</v>
      </c>
      <c r="BD931" t="s">
        <v>74</v>
      </c>
      <c r="BE931" t="s">
        <v>17118</v>
      </c>
      <c r="BF931" t="str">
        <f>HYPERLINK("http://dx.doi.org/10.1007/s10891-023-02770-5","http://dx.doi.org/10.1007/s10891-023-02770-5")</f>
        <v>http://dx.doi.org/10.1007/s10891-023-02770-5</v>
      </c>
      <c r="BG931" t="s">
        <v>74</v>
      </c>
      <c r="BH931" t="s">
        <v>10650</v>
      </c>
      <c r="BI931">
        <v>6</v>
      </c>
      <c r="BJ931" t="s">
        <v>17119</v>
      </c>
      <c r="BK931" t="s">
        <v>97</v>
      </c>
      <c r="BL931" t="s">
        <v>17119</v>
      </c>
      <c r="BM931" t="s">
        <v>17120</v>
      </c>
      <c r="BN931" t="s">
        <v>74</v>
      </c>
      <c r="BO931" t="s">
        <v>74</v>
      </c>
      <c r="BP931" t="s">
        <v>74</v>
      </c>
      <c r="BQ931" t="s">
        <v>74</v>
      </c>
      <c r="BR931" t="s">
        <v>99</v>
      </c>
      <c r="BS931" t="s">
        <v>17121</v>
      </c>
      <c r="BT931" t="str">
        <f>HYPERLINK("https%3A%2F%2Fwww.webofscience.com%2Fwos%2Fwoscc%2Ffull-record%2FWOS:001049803300007","View Full Record in Web of Science")</f>
        <v>View Full Record in Web of Science</v>
      </c>
    </row>
    <row r="932" spans="1:72" x14ac:dyDescent="0.15">
      <c r="A932" t="s">
        <v>72</v>
      </c>
      <c r="B932" t="s">
        <v>17122</v>
      </c>
      <c r="C932" t="s">
        <v>74</v>
      </c>
      <c r="D932" t="s">
        <v>74</v>
      </c>
      <c r="E932" t="s">
        <v>74</v>
      </c>
      <c r="F932" t="s">
        <v>17123</v>
      </c>
      <c r="G932" t="s">
        <v>74</v>
      </c>
      <c r="H932" t="s">
        <v>74</v>
      </c>
      <c r="I932" t="s">
        <v>17124</v>
      </c>
      <c r="J932" t="s">
        <v>17125</v>
      </c>
      <c r="K932" t="s">
        <v>74</v>
      </c>
      <c r="L932" t="s">
        <v>74</v>
      </c>
      <c r="M932" t="s">
        <v>78</v>
      </c>
      <c r="N932" t="s">
        <v>79</v>
      </c>
      <c r="O932" t="s">
        <v>74</v>
      </c>
      <c r="P932" t="s">
        <v>74</v>
      </c>
      <c r="Q932" t="s">
        <v>74</v>
      </c>
      <c r="R932" t="s">
        <v>74</v>
      </c>
      <c r="S932" t="s">
        <v>74</v>
      </c>
      <c r="T932" t="s">
        <v>17126</v>
      </c>
      <c r="U932" t="s">
        <v>74</v>
      </c>
      <c r="V932" t="s">
        <v>17127</v>
      </c>
      <c r="W932" t="s">
        <v>17128</v>
      </c>
      <c r="X932" t="s">
        <v>17129</v>
      </c>
      <c r="Y932" t="s">
        <v>17130</v>
      </c>
      <c r="Z932" t="s">
        <v>17131</v>
      </c>
      <c r="AA932" t="s">
        <v>74</v>
      </c>
      <c r="AB932" t="s">
        <v>74</v>
      </c>
      <c r="AC932" t="s">
        <v>74</v>
      </c>
      <c r="AD932" t="s">
        <v>74</v>
      </c>
      <c r="AE932" t="s">
        <v>74</v>
      </c>
      <c r="AF932" t="s">
        <v>74</v>
      </c>
      <c r="AG932">
        <v>12</v>
      </c>
      <c r="AH932">
        <v>0</v>
      </c>
      <c r="AI932">
        <v>0</v>
      </c>
      <c r="AJ932">
        <v>2</v>
      </c>
      <c r="AK932">
        <v>2</v>
      </c>
      <c r="AL932" t="s">
        <v>443</v>
      </c>
      <c r="AM932" t="s">
        <v>245</v>
      </c>
      <c r="AN932" t="s">
        <v>444</v>
      </c>
      <c r="AO932" t="s">
        <v>17132</v>
      </c>
      <c r="AP932" t="s">
        <v>74</v>
      </c>
      <c r="AQ932" t="s">
        <v>74</v>
      </c>
      <c r="AR932" t="s">
        <v>17125</v>
      </c>
      <c r="AS932" t="s">
        <v>17133</v>
      </c>
      <c r="AT932" t="s">
        <v>16699</v>
      </c>
      <c r="AU932">
        <v>2023</v>
      </c>
      <c r="AV932">
        <v>24</v>
      </c>
      <c r="AW932">
        <v>1</v>
      </c>
      <c r="AX932" t="s">
        <v>74</v>
      </c>
      <c r="AY932" t="s">
        <v>74</v>
      </c>
      <c r="AZ932" t="s">
        <v>74</v>
      </c>
      <c r="BA932" t="s">
        <v>74</v>
      </c>
      <c r="BB932" t="s">
        <v>74</v>
      </c>
      <c r="BC932" t="s">
        <v>74</v>
      </c>
      <c r="BD932">
        <v>312</v>
      </c>
      <c r="BE932" t="s">
        <v>17134</v>
      </c>
      <c r="BF932" t="str">
        <f>HYPERLINK("http://dx.doi.org/10.1186/s12859-023-05433-7","http://dx.doi.org/10.1186/s12859-023-05433-7")</f>
        <v>http://dx.doi.org/10.1186/s12859-023-05433-7</v>
      </c>
      <c r="BG932" t="s">
        <v>74</v>
      </c>
      <c r="BH932" t="s">
        <v>74</v>
      </c>
      <c r="BI932">
        <v>7</v>
      </c>
      <c r="BJ932" t="s">
        <v>17135</v>
      </c>
      <c r="BK932" t="s">
        <v>126</v>
      </c>
      <c r="BL932" t="s">
        <v>17136</v>
      </c>
      <c r="BM932" t="s">
        <v>17137</v>
      </c>
      <c r="BN932">
        <v>37587443</v>
      </c>
      <c r="BO932" t="s">
        <v>981</v>
      </c>
      <c r="BP932" t="s">
        <v>74</v>
      </c>
      <c r="BQ932" t="s">
        <v>74</v>
      </c>
      <c r="BR932" t="s">
        <v>99</v>
      </c>
      <c r="BS932" t="s">
        <v>17138</v>
      </c>
      <c r="BT932" t="str">
        <f>HYPERLINK("https%3A%2F%2Fwww.webofscience.com%2Fwos%2Fwoscc%2Ffull-record%2FWOS:001048618300001","View Full Record in Web of Science")</f>
        <v>View Full Record in Web of Science</v>
      </c>
    </row>
    <row r="933" spans="1:72" x14ac:dyDescent="0.15">
      <c r="A933" t="s">
        <v>72</v>
      </c>
      <c r="B933" t="s">
        <v>17139</v>
      </c>
      <c r="C933" t="s">
        <v>74</v>
      </c>
      <c r="D933" t="s">
        <v>74</v>
      </c>
      <c r="E933" t="s">
        <v>74</v>
      </c>
      <c r="F933" t="s">
        <v>17140</v>
      </c>
      <c r="G933" t="s">
        <v>74</v>
      </c>
      <c r="H933" t="s">
        <v>74</v>
      </c>
      <c r="I933" t="s">
        <v>17141</v>
      </c>
      <c r="J933" t="s">
        <v>17142</v>
      </c>
      <c r="K933" t="s">
        <v>74</v>
      </c>
      <c r="L933" t="s">
        <v>74</v>
      </c>
      <c r="M933" t="s">
        <v>78</v>
      </c>
      <c r="N933" t="s">
        <v>79</v>
      </c>
      <c r="O933" t="s">
        <v>74</v>
      </c>
      <c r="P933" t="s">
        <v>74</v>
      </c>
      <c r="Q933" t="s">
        <v>74</v>
      </c>
      <c r="R933" t="s">
        <v>74</v>
      </c>
      <c r="S933" t="s">
        <v>74</v>
      </c>
      <c r="T933" t="s">
        <v>17143</v>
      </c>
      <c r="U933" t="s">
        <v>17144</v>
      </c>
      <c r="V933" t="s">
        <v>17145</v>
      </c>
      <c r="W933" t="s">
        <v>17146</v>
      </c>
      <c r="X933" t="s">
        <v>17147</v>
      </c>
      <c r="Y933" t="s">
        <v>17148</v>
      </c>
      <c r="Z933" t="s">
        <v>17149</v>
      </c>
      <c r="AA933" t="s">
        <v>17150</v>
      </c>
      <c r="AB933" t="s">
        <v>17151</v>
      </c>
      <c r="AC933" t="s">
        <v>17152</v>
      </c>
      <c r="AD933" t="s">
        <v>17153</v>
      </c>
      <c r="AE933" t="s">
        <v>17154</v>
      </c>
      <c r="AF933" t="s">
        <v>74</v>
      </c>
      <c r="AG933">
        <v>52</v>
      </c>
      <c r="AH933">
        <v>0</v>
      </c>
      <c r="AI933">
        <v>0</v>
      </c>
      <c r="AJ933">
        <v>2</v>
      </c>
      <c r="AK933">
        <v>2</v>
      </c>
      <c r="AL933" t="s">
        <v>172</v>
      </c>
      <c r="AM933" t="s">
        <v>173</v>
      </c>
      <c r="AN933" t="s">
        <v>174</v>
      </c>
      <c r="AO933" t="s">
        <v>17155</v>
      </c>
      <c r="AP933" t="s">
        <v>17156</v>
      </c>
      <c r="AQ933" t="s">
        <v>74</v>
      </c>
      <c r="AR933" t="s">
        <v>17157</v>
      </c>
      <c r="AS933" t="s">
        <v>17158</v>
      </c>
      <c r="AT933" t="s">
        <v>1275</v>
      </c>
      <c r="AU933">
        <v>2023</v>
      </c>
      <c r="AV933">
        <v>37</v>
      </c>
      <c r="AW933">
        <v>5</v>
      </c>
      <c r="AX933" t="s">
        <v>74</v>
      </c>
      <c r="AY933" t="s">
        <v>74</v>
      </c>
      <c r="AZ933" t="s">
        <v>74</v>
      </c>
      <c r="BA933" t="s">
        <v>74</v>
      </c>
      <c r="BB933">
        <v>1567</v>
      </c>
      <c r="BC933">
        <v>1581</v>
      </c>
      <c r="BD933" t="s">
        <v>74</v>
      </c>
      <c r="BE933" t="s">
        <v>17159</v>
      </c>
      <c r="BF933" t="str">
        <f>HYPERLINK("http://dx.doi.org/10.1007/s00468-023-02443-z","http://dx.doi.org/10.1007/s00468-023-02443-z")</f>
        <v>http://dx.doi.org/10.1007/s00468-023-02443-z</v>
      </c>
      <c r="BG933" t="s">
        <v>74</v>
      </c>
      <c r="BH933" t="s">
        <v>10650</v>
      </c>
      <c r="BI933">
        <v>15</v>
      </c>
      <c r="BJ933" t="s">
        <v>17160</v>
      </c>
      <c r="BK933" t="s">
        <v>126</v>
      </c>
      <c r="BL933" t="s">
        <v>17160</v>
      </c>
      <c r="BM933" t="s">
        <v>17161</v>
      </c>
      <c r="BN933" t="s">
        <v>74</v>
      </c>
      <c r="BO933" t="s">
        <v>74</v>
      </c>
      <c r="BP933" t="s">
        <v>74</v>
      </c>
      <c r="BQ933" t="s">
        <v>74</v>
      </c>
      <c r="BR933" t="s">
        <v>99</v>
      </c>
      <c r="BS933" t="s">
        <v>17162</v>
      </c>
      <c r="BT933" t="str">
        <f>HYPERLINK("https%3A%2F%2Fwww.webofscience.com%2Fwos%2Fwoscc%2Ffull-record%2FWOS:001049142900001","View Full Record in Web of Science")</f>
        <v>View Full Record in Web of Science</v>
      </c>
    </row>
    <row r="934" spans="1:72" x14ac:dyDescent="0.15">
      <c r="A934" t="s">
        <v>72</v>
      </c>
      <c r="B934" t="s">
        <v>17163</v>
      </c>
      <c r="C934" t="s">
        <v>74</v>
      </c>
      <c r="D934" t="s">
        <v>74</v>
      </c>
      <c r="E934" t="s">
        <v>74</v>
      </c>
      <c r="F934" t="s">
        <v>17164</v>
      </c>
      <c r="G934" t="s">
        <v>74</v>
      </c>
      <c r="H934" t="s">
        <v>74</v>
      </c>
      <c r="I934" t="s">
        <v>17165</v>
      </c>
      <c r="J934" t="s">
        <v>14940</v>
      </c>
      <c r="K934" t="s">
        <v>74</v>
      </c>
      <c r="L934" t="s">
        <v>74</v>
      </c>
      <c r="M934" t="s">
        <v>78</v>
      </c>
      <c r="N934" t="s">
        <v>1246</v>
      </c>
      <c r="O934" t="s">
        <v>74</v>
      </c>
      <c r="P934" t="s">
        <v>74</v>
      </c>
      <c r="Q934" t="s">
        <v>74</v>
      </c>
      <c r="R934" t="s">
        <v>74</v>
      </c>
      <c r="S934" t="s">
        <v>74</v>
      </c>
      <c r="T934" t="s">
        <v>17166</v>
      </c>
      <c r="U934" t="s">
        <v>17167</v>
      </c>
      <c r="V934" t="s">
        <v>17168</v>
      </c>
      <c r="W934" t="s">
        <v>17169</v>
      </c>
      <c r="X934" t="s">
        <v>17170</v>
      </c>
      <c r="Y934" t="s">
        <v>17171</v>
      </c>
      <c r="Z934" t="s">
        <v>17172</v>
      </c>
      <c r="AA934" t="s">
        <v>74</v>
      </c>
      <c r="AB934" t="s">
        <v>17173</v>
      </c>
      <c r="AC934" t="s">
        <v>74</v>
      </c>
      <c r="AD934" t="s">
        <v>74</v>
      </c>
      <c r="AE934" t="s">
        <v>74</v>
      </c>
      <c r="AF934" t="s">
        <v>74</v>
      </c>
      <c r="AG934">
        <v>62</v>
      </c>
      <c r="AH934">
        <v>0</v>
      </c>
      <c r="AI934">
        <v>0</v>
      </c>
      <c r="AJ934">
        <v>1</v>
      </c>
      <c r="AK934">
        <v>1</v>
      </c>
      <c r="AL934" t="s">
        <v>117</v>
      </c>
      <c r="AM934" t="s">
        <v>627</v>
      </c>
      <c r="AN934" t="s">
        <v>628</v>
      </c>
      <c r="AO934" t="s">
        <v>14948</v>
      </c>
      <c r="AP934" t="s">
        <v>14949</v>
      </c>
      <c r="AQ934" t="s">
        <v>74</v>
      </c>
      <c r="AR934" t="s">
        <v>14950</v>
      </c>
      <c r="AS934" t="s">
        <v>14951</v>
      </c>
      <c r="AT934" t="s">
        <v>16716</v>
      </c>
      <c r="AU934">
        <v>2023</v>
      </c>
      <c r="AV934" t="s">
        <v>74</v>
      </c>
      <c r="AW934" t="s">
        <v>74</v>
      </c>
      <c r="AX934" t="s">
        <v>74</v>
      </c>
      <c r="AY934" t="s">
        <v>74</v>
      </c>
      <c r="AZ934" t="s">
        <v>74</v>
      </c>
      <c r="BA934" t="s">
        <v>74</v>
      </c>
      <c r="BB934" t="s">
        <v>74</v>
      </c>
      <c r="BC934" t="s">
        <v>74</v>
      </c>
      <c r="BD934" t="s">
        <v>74</v>
      </c>
      <c r="BE934" t="s">
        <v>17174</v>
      </c>
      <c r="BF934" t="str">
        <f>HYPERLINK("http://dx.doi.org/10.1007/s11144-023-02469-x","http://dx.doi.org/10.1007/s11144-023-02469-x")</f>
        <v>http://dx.doi.org/10.1007/s11144-023-02469-x</v>
      </c>
      <c r="BG934" t="s">
        <v>74</v>
      </c>
      <c r="BH934" t="s">
        <v>10650</v>
      </c>
      <c r="BI934">
        <v>15</v>
      </c>
      <c r="BJ934" t="s">
        <v>8965</v>
      </c>
      <c r="BK934" t="s">
        <v>126</v>
      </c>
      <c r="BL934" t="s">
        <v>2826</v>
      </c>
      <c r="BM934" t="s">
        <v>17175</v>
      </c>
      <c r="BN934" t="s">
        <v>74</v>
      </c>
      <c r="BO934" t="s">
        <v>74</v>
      </c>
      <c r="BP934" t="s">
        <v>74</v>
      </c>
      <c r="BQ934" t="s">
        <v>74</v>
      </c>
      <c r="BR934" t="s">
        <v>99</v>
      </c>
      <c r="BS934" t="s">
        <v>17176</v>
      </c>
      <c r="BT934" t="str">
        <f>HYPERLINK("https%3A%2F%2Fwww.webofscience.com%2Fwos%2Fwoscc%2Ffull-record%2FWOS:001050965200002","View Full Record in Web of Science")</f>
        <v>View Full Record in Web of Science</v>
      </c>
    </row>
    <row r="935" spans="1:72" x14ac:dyDescent="0.15">
      <c r="A935" t="s">
        <v>72</v>
      </c>
      <c r="B935" t="s">
        <v>17177</v>
      </c>
      <c r="C935" t="s">
        <v>74</v>
      </c>
      <c r="D935" t="s">
        <v>74</v>
      </c>
      <c r="E935" t="s">
        <v>74</v>
      </c>
      <c r="F935" t="s">
        <v>17178</v>
      </c>
      <c r="G935" t="s">
        <v>74</v>
      </c>
      <c r="H935" t="s">
        <v>74</v>
      </c>
      <c r="I935" t="s">
        <v>17179</v>
      </c>
      <c r="J935" t="s">
        <v>7393</v>
      </c>
      <c r="K935" t="s">
        <v>74</v>
      </c>
      <c r="L935" t="s">
        <v>74</v>
      </c>
      <c r="M935" t="s">
        <v>78</v>
      </c>
      <c r="N935" t="s">
        <v>1246</v>
      </c>
      <c r="O935" t="s">
        <v>74</v>
      </c>
      <c r="P935" t="s">
        <v>74</v>
      </c>
      <c r="Q935" t="s">
        <v>74</v>
      </c>
      <c r="R935" t="s">
        <v>74</v>
      </c>
      <c r="S935" t="s">
        <v>74</v>
      </c>
      <c r="T935" t="s">
        <v>17180</v>
      </c>
      <c r="U935" t="s">
        <v>17181</v>
      </c>
      <c r="V935" t="s">
        <v>17182</v>
      </c>
      <c r="W935" t="s">
        <v>17183</v>
      </c>
      <c r="X935" t="s">
        <v>17184</v>
      </c>
      <c r="Y935" t="s">
        <v>17185</v>
      </c>
      <c r="Z935" t="s">
        <v>17186</v>
      </c>
      <c r="AA935" t="s">
        <v>74</v>
      </c>
      <c r="AB935" t="s">
        <v>74</v>
      </c>
      <c r="AC935" t="s">
        <v>17187</v>
      </c>
      <c r="AD935" t="s">
        <v>17188</v>
      </c>
      <c r="AE935" t="s">
        <v>17189</v>
      </c>
      <c r="AF935" t="s">
        <v>74</v>
      </c>
      <c r="AG935">
        <v>50</v>
      </c>
      <c r="AH935">
        <v>0</v>
      </c>
      <c r="AI935">
        <v>0</v>
      </c>
      <c r="AJ935">
        <v>1</v>
      </c>
      <c r="AK935">
        <v>1</v>
      </c>
      <c r="AL935" t="s">
        <v>117</v>
      </c>
      <c r="AM935" t="s">
        <v>627</v>
      </c>
      <c r="AN935" t="s">
        <v>628</v>
      </c>
      <c r="AO935" t="s">
        <v>7406</v>
      </c>
      <c r="AP935" t="s">
        <v>7407</v>
      </c>
      <c r="AQ935" t="s">
        <v>74</v>
      </c>
      <c r="AR935" t="s">
        <v>7393</v>
      </c>
      <c r="AS935" t="s">
        <v>7408</v>
      </c>
      <c r="AT935" t="s">
        <v>16716</v>
      </c>
      <c r="AU935">
        <v>2023</v>
      </c>
      <c r="AV935" t="s">
        <v>74</v>
      </c>
      <c r="AW935" t="s">
        <v>74</v>
      </c>
      <c r="AX935" t="s">
        <v>74</v>
      </c>
      <c r="AY935" t="s">
        <v>74</v>
      </c>
      <c r="AZ935" t="s">
        <v>74</v>
      </c>
      <c r="BA935" t="s">
        <v>74</v>
      </c>
      <c r="BB935" t="s">
        <v>74</v>
      </c>
      <c r="BC935" t="s">
        <v>74</v>
      </c>
      <c r="BD935" t="s">
        <v>74</v>
      </c>
      <c r="BE935" t="s">
        <v>17190</v>
      </c>
      <c r="BF935" t="str">
        <f>HYPERLINK("http://dx.doi.org/10.1007/s10750-023-05324-1","http://dx.doi.org/10.1007/s10750-023-05324-1")</f>
        <v>http://dx.doi.org/10.1007/s10750-023-05324-1</v>
      </c>
      <c r="BG935" t="s">
        <v>74</v>
      </c>
      <c r="BH935" t="s">
        <v>10650</v>
      </c>
      <c r="BI935">
        <v>18</v>
      </c>
      <c r="BJ935" t="s">
        <v>7410</v>
      </c>
      <c r="BK935" t="s">
        <v>126</v>
      </c>
      <c r="BL935" t="s">
        <v>7410</v>
      </c>
      <c r="BM935" t="s">
        <v>17191</v>
      </c>
      <c r="BN935" t="s">
        <v>74</v>
      </c>
      <c r="BO935" t="s">
        <v>183</v>
      </c>
      <c r="BP935" t="s">
        <v>74</v>
      </c>
      <c r="BQ935" t="s">
        <v>74</v>
      </c>
      <c r="BR935" t="s">
        <v>99</v>
      </c>
      <c r="BS935" t="s">
        <v>17192</v>
      </c>
      <c r="BT935" t="str">
        <f>HYPERLINK("https%3A%2F%2Fwww.webofscience.com%2Fwos%2Fwoscc%2Ffull-record%2FWOS:001049138400002","View Full Record in Web of Science")</f>
        <v>View Full Record in Web of Science</v>
      </c>
    </row>
    <row r="936" spans="1:72" x14ac:dyDescent="0.15">
      <c r="A936" t="s">
        <v>72</v>
      </c>
      <c r="B936" t="s">
        <v>17193</v>
      </c>
      <c r="C936" t="s">
        <v>74</v>
      </c>
      <c r="D936" t="s">
        <v>74</v>
      </c>
      <c r="E936" t="s">
        <v>74</v>
      </c>
      <c r="F936" t="s">
        <v>17194</v>
      </c>
      <c r="G936" t="s">
        <v>74</v>
      </c>
      <c r="H936" t="s">
        <v>74</v>
      </c>
      <c r="I936" t="s">
        <v>17195</v>
      </c>
      <c r="J936" t="s">
        <v>11665</v>
      </c>
      <c r="K936" t="s">
        <v>74</v>
      </c>
      <c r="L936" t="s">
        <v>74</v>
      </c>
      <c r="M936" t="s">
        <v>78</v>
      </c>
      <c r="N936" t="s">
        <v>1246</v>
      </c>
      <c r="O936" t="s">
        <v>74</v>
      </c>
      <c r="P936" t="s">
        <v>74</v>
      </c>
      <c r="Q936" t="s">
        <v>74</v>
      </c>
      <c r="R936" t="s">
        <v>74</v>
      </c>
      <c r="S936" t="s">
        <v>74</v>
      </c>
      <c r="T936" t="s">
        <v>74</v>
      </c>
      <c r="U936" t="s">
        <v>17196</v>
      </c>
      <c r="V936" t="s">
        <v>74</v>
      </c>
      <c r="W936" t="s">
        <v>17197</v>
      </c>
      <c r="X936" t="s">
        <v>17198</v>
      </c>
      <c r="Y936" t="s">
        <v>17199</v>
      </c>
      <c r="Z936" t="s">
        <v>17200</v>
      </c>
      <c r="AA936" t="s">
        <v>17201</v>
      </c>
      <c r="AB936" t="s">
        <v>17202</v>
      </c>
      <c r="AC936" t="s">
        <v>14060</v>
      </c>
      <c r="AD936" t="s">
        <v>14060</v>
      </c>
      <c r="AE936" t="s">
        <v>17203</v>
      </c>
      <c r="AF936" t="s">
        <v>74</v>
      </c>
      <c r="AG936">
        <v>53</v>
      </c>
      <c r="AH936">
        <v>0</v>
      </c>
      <c r="AI936">
        <v>0</v>
      </c>
      <c r="AJ936">
        <v>1</v>
      </c>
      <c r="AK936">
        <v>1</v>
      </c>
      <c r="AL936" t="s">
        <v>269</v>
      </c>
      <c r="AM936" t="s">
        <v>118</v>
      </c>
      <c r="AN936" t="s">
        <v>270</v>
      </c>
      <c r="AO936" t="s">
        <v>11675</v>
      </c>
      <c r="AP936" t="s">
        <v>11676</v>
      </c>
      <c r="AQ936" t="s">
        <v>74</v>
      </c>
      <c r="AR936" t="s">
        <v>11677</v>
      </c>
      <c r="AS936" t="s">
        <v>11678</v>
      </c>
      <c r="AT936" t="s">
        <v>16716</v>
      </c>
      <c r="AU936">
        <v>2023</v>
      </c>
      <c r="AV936" t="s">
        <v>74</v>
      </c>
      <c r="AW936" t="s">
        <v>74</v>
      </c>
      <c r="AX936" t="s">
        <v>74</v>
      </c>
      <c r="AY936" t="s">
        <v>74</v>
      </c>
      <c r="AZ936" t="s">
        <v>74</v>
      </c>
      <c r="BA936" t="s">
        <v>74</v>
      </c>
      <c r="BB936" t="s">
        <v>74</v>
      </c>
      <c r="BC936" t="s">
        <v>74</v>
      </c>
      <c r="BD936" t="s">
        <v>74</v>
      </c>
      <c r="BE936" t="s">
        <v>17204</v>
      </c>
      <c r="BF936" t="str">
        <f>HYPERLINK("http://dx.doi.org/10.1007/s10803-023-06109-0","http://dx.doi.org/10.1007/s10803-023-06109-0")</f>
        <v>http://dx.doi.org/10.1007/s10803-023-06109-0</v>
      </c>
      <c r="BG936" t="s">
        <v>74</v>
      </c>
      <c r="BH936" t="s">
        <v>10650</v>
      </c>
      <c r="BI936">
        <v>10</v>
      </c>
      <c r="BJ936" t="s">
        <v>11680</v>
      </c>
      <c r="BK936" t="s">
        <v>425</v>
      </c>
      <c r="BL936" t="s">
        <v>2907</v>
      </c>
      <c r="BM936" t="s">
        <v>17205</v>
      </c>
      <c r="BN936">
        <v>37584763</v>
      </c>
      <c r="BO936" t="s">
        <v>183</v>
      </c>
      <c r="BP936" t="s">
        <v>74</v>
      </c>
      <c r="BQ936" t="s">
        <v>74</v>
      </c>
      <c r="BR936" t="s">
        <v>99</v>
      </c>
      <c r="BS936" t="s">
        <v>17206</v>
      </c>
      <c r="BT936" t="str">
        <f>HYPERLINK("https%3A%2F%2Fwww.webofscience.com%2Fwos%2Fwoscc%2Ffull-record%2FWOS:001049786000005","View Full Record in Web of Science")</f>
        <v>View Full Record in Web of Science</v>
      </c>
    </row>
    <row r="937" spans="1:72" x14ac:dyDescent="0.15">
      <c r="A937" t="s">
        <v>72</v>
      </c>
      <c r="B937" t="s">
        <v>17207</v>
      </c>
      <c r="C937" t="s">
        <v>74</v>
      </c>
      <c r="D937" t="s">
        <v>74</v>
      </c>
      <c r="E937" t="s">
        <v>74</v>
      </c>
      <c r="F937" t="s">
        <v>17208</v>
      </c>
      <c r="G937" t="s">
        <v>74</v>
      </c>
      <c r="H937" t="s">
        <v>74</v>
      </c>
      <c r="I937" t="s">
        <v>17209</v>
      </c>
      <c r="J937" t="s">
        <v>2890</v>
      </c>
      <c r="K937" t="s">
        <v>74</v>
      </c>
      <c r="L937" t="s">
        <v>74</v>
      </c>
      <c r="M937" t="s">
        <v>78</v>
      </c>
      <c r="N937" t="s">
        <v>1246</v>
      </c>
      <c r="O937" t="s">
        <v>74</v>
      </c>
      <c r="P937" t="s">
        <v>74</v>
      </c>
      <c r="Q937" t="s">
        <v>74</v>
      </c>
      <c r="R937" t="s">
        <v>74</v>
      </c>
      <c r="S937" t="s">
        <v>74</v>
      </c>
      <c r="T937" t="s">
        <v>17210</v>
      </c>
      <c r="U937" t="s">
        <v>17211</v>
      </c>
      <c r="V937" t="s">
        <v>17212</v>
      </c>
      <c r="W937" t="s">
        <v>17213</v>
      </c>
      <c r="X937" t="s">
        <v>17214</v>
      </c>
      <c r="Y937" t="s">
        <v>17215</v>
      </c>
      <c r="Z937" t="s">
        <v>17216</v>
      </c>
      <c r="AA937" t="s">
        <v>74</v>
      </c>
      <c r="AB937" t="s">
        <v>74</v>
      </c>
      <c r="AC937" t="s">
        <v>17217</v>
      </c>
      <c r="AD937" t="s">
        <v>17217</v>
      </c>
      <c r="AE937" t="s">
        <v>17218</v>
      </c>
      <c r="AF937" t="s">
        <v>74</v>
      </c>
      <c r="AG937">
        <v>98</v>
      </c>
      <c r="AH937">
        <v>0</v>
      </c>
      <c r="AI937">
        <v>0</v>
      </c>
      <c r="AJ937">
        <v>0</v>
      </c>
      <c r="AK937">
        <v>0</v>
      </c>
      <c r="AL937" t="s">
        <v>117</v>
      </c>
      <c r="AM937" t="s">
        <v>118</v>
      </c>
      <c r="AN937" t="s">
        <v>119</v>
      </c>
      <c r="AO937" t="s">
        <v>2901</v>
      </c>
      <c r="AP937" t="s">
        <v>2902</v>
      </c>
      <c r="AQ937" t="s">
        <v>74</v>
      </c>
      <c r="AR937" t="s">
        <v>2903</v>
      </c>
      <c r="AS937" t="s">
        <v>2904</v>
      </c>
      <c r="AT937" t="s">
        <v>16716</v>
      </c>
      <c r="AU937">
        <v>2023</v>
      </c>
      <c r="AV937" t="s">
        <v>74</v>
      </c>
      <c r="AW937" t="s">
        <v>74</v>
      </c>
      <c r="AX937" t="s">
        <v>74</v>
      </c>
      <c r="AY937" t="s">
        <v>74</v>
      </c>
      <c r="AZ937" t="s">
        <v>74</v>
      </c>
      <c r="BA937" t="s">
        <v>74</v>
      </c>
      <c r="BB937" t="s">
        <v>74</v>
      </c>
      <c r="BC937" t="s">
        <v>74</v>
      </c>
      <c r="BD937" t="s">
        <v>74</v>
      </c>
      <c r="BE937" t="s">
        <v>17219</v>
      </c>
      <c r="BF937" t="str">
        <f>HYPERLINK("http://dx.doi.org/10.1007/s12144-023-04940-3","http://dx.doi.org/10.1007/s12144-023-04940-3")</f>
        <v>http://dx.doi.org/10.1007/s12144-023-04940-3</v>
      </c>
      <c r="BG937" t="s">
        <v>74</v>
      </c>
      <c r="BH937" t="s">
        <v>10650</v>
      </c>
      <c r="BI937">
        <v>14</v>
      </c>
      <c r="BJ937" t="s">
        <v>2906</v>
      </c>
      <c r="BK937" t="s">
        <v>425</v>
      </c>
      <c r="BL937" t="s">
        <v>2907</v>
      </c>
      <c r="BM937" t="s">
        <v>17220</v>
      </c>
      <c r="BN937" t="s">
        <v>74</v>
      </c>
      <c r="BO937" t="s">
        <v>183</v>
      </c>
      <c r="BP937" t="s">
        <v>74</v>
      </c>
      <c r="BQ937" t="s">
        <v>74</v>
      </c>
      <c r="BR937" t="s">
        <v>99</v>
      </c>
      <c r="BS937" t="s">
        <v>17221</v>
      </c>
      <c r="BT937" t="str">
        <f>HYPERLINK("https%3A%2F%2Fwww.webofscience.com%2Fwos%2Fwoscc%2Ffull-record%2FWOS:001048382900001","View Full Record in Web of Science")</f>
        <v>View Full Record in Web of Science</v>
      </c>
    </row>
    <row r="938" spans="1:72" x14ac:dyDescent="0.15">
      <c r="A938" t="s">
        <v>72</v>
      </c>
      <c r="B938" t="s">
        <v>17222</v>
      </c>
      <c r="C938" t="s">
        <v>74</v>
      </c>
      <c r="D938" t="s">
        <v>74</v>
      </c>
      <c r="E938" t="s">
        <v>74</v>
      </c>
      <c r="F938" t="s">
        <v>17223</v>
      </c>
      <c r="G938" t="s">
        <v>74</v>
      </c>
      <c r="H938" t="s">
        <v>74</v>
      </c>
      <c r="I938" t="s">
        <v>17224</v>
      </c>
      <c r="J938" t="s">
        <v>17225</v>
      </c>
      <c r="K938" t="s">
        <v>74</v>
      </c>
      <c r="L938" t="s">
        <v>74</v>
      </c>
      <c r="M938" t="s">
        <v>78</v>
      </c>
      <c r="N938" t="s">
        <v>1246</v>
      </c>
      <c r="O938" t="s">
        <v>74</v>
      </c>
      <c r="P938" t="s">
        <v>74</v>
      </c>
      <c r="Q938" t="s">
        <v>74</v>
      </c>
      <c r="R938" t="s">
        <v>74</v>
      </c>
      <c r="S938" t="s">
        <v>74</v>
      </c>
      <c r="T938" t="s">
        <v>17226</v>
      </c>
      <c r="U938" t="s">
        <v>74</v>
      </c>
      <c r="V938" t="s">
        <v>17227</v>
      </c>
      <c r="W938" t="s">
        <v>17228</v>
      </c>
      <c r="X938" t="s">
        <v>17229</v>
      </c>
      <c r="Y938" t="s">
        <v>17230</v>
      </c>
      <c r="Z938" t="s">
        <v>17231</v>
      </c>
      <c r="AA938" t="s">
        <v>74</v>
      </c>
      <c r="AB938" t="s">
        <v>74</v>
      </c>
      <c r="AC938" t="s">
        <v>17232</v>
      </c>
      <c r="AD938" t="s">
        <v>17233</v>
      </c>
      <c r="AE938" t="s">
        <v>17234</v>
      </c>
      <c r="AF938" t="s">
        <v>74</v>
      </c>
      <c r="AG938">
        <v>28</v>
      </c>
      <c r="AH938">
        <v>0</v>
      </c>
      <c r="AI938">
        <v>0</v>
      </c>
      <c r="AJ938">
        <v>0</v>
      </c>
      <c r="AK938">
        <v>0</v>
      </c>
      <c r="AL938" t="s">
        <v>117</v>
      </c>
      <c r="AM938" t="s">
        <v>627</v>
      </c>
      <c r="AN938" t="s">
        <v>628</v>
      </c>
      <c r="AO938" t="s">
        <v>17235</v>
      </c>
      <c r="AP938" t="s">
        <v>17236</v>
      </c>
      <c r="AQ938" t="s">
        <v>74</v>
      </c>
      <c r="AR938" t="s">
        <v>17237</v>
      </c>
      <c r="AS938" t="s">
        <v>17238</v>
      </c>
      <c r="AT938" t="s">
        <v>16716</v>
      </c>
      <c r="AU938">
        <v>2023</v>
      </c>
      <c r="AV938" t="s">
        <v>74</v>
      </c>
      <c r="AW938" t="s">
        <v>74</v>
      </c>
      <c r="AX938" t="s">
        <v>74</v>
      </c>
      <c r="AY938" t="s">
        <v>74</v>
      </c>
      <c r="AZ938" t="s">
        <v>74</v>
      </c>
      <c r="BA938" t="s">
        <v>74</v>
      </c>
      <c r="BB938" t="s">
        <v>74</v>
      </c>
      <c r="BC938" t="s">
        <v>74</v>
      </c>
      <c r="BD938" t="s">
        <v>74</v>
      </c>
      <c r="BE938" t="s">
        <v>17239</v>
      </c>
      <c r="BF938" t="str">
        <f>HYPERLINK("http://dx.doi.org/10.1007/s10623-023-01279-5","http://dx.doi.org/10.1007/s10623-023-01279-5")</f>
        <v>http://dx.doi.org/10.1007/s10623-023-01279-5</v>
      </c>
      <c r="BG938" t="s">
        <v>74</v>
      </c>
      <c r="BH938" t="s">
        <v>10650</v>
      </c>
      <c r="BI938">
        <v>18</v>
      </c>
      <c r="BJ938" t="s">
        <v>17240</v>
      </c>
      <c r="BK938" t="s">
        <v>126</v>
      </c>
      <c r="BL938" t="s">
        <v>1709</v>
      </c>
      <c r="BM938" t="s">
        <v>17241</v>
      </c>
      <c r="BN938" t="s">
        <v>74</v>
      </c>
      <c r="BO938" t="s">
        <v>1328</v>
      </c>
      <c r="BP938" t="s">
        <v>74</v>
      </c>
      <c r="BQ938" t="s">
        <v>74</v>
      </c>
      <c r="BR938" t="s">
        <v>99</v>
      </c>
      <c r="BS938" t="s">
        <v>17242</v>
      </c>
      <c r="BT938" t="str">
        <f>HYPERLINK("https%3A%2F%2Fwww.webofscience.com%2Fwos%2Fwoscc%2Ffull-record%2FWOS:001049769000002","View Full Record in Web of Science")</f>
        <v>View Full Record in Web of Science</v>
      </c>
    </row>
    <row r="939" spans="1:72" x14ac:dyDescent="0.15">
      <c r="A939" t="s">
        <v>72</v>
      </c>
      <c r="B939" t="s">
        <v>17243</v>
      </c>
      <c r="C939" t="s">
        <v>74</v>
      </c>
      <c r="D939" t="s">
        <v>74</v>
      </c>
      <c r="E939" t="s">
        <v>74</v>
      </c>
      <c r="F939" t="s">
        <v>17244</v>
      </c>
      <c r="G939" t="s">
        <v>74</v>
      </c>
      <c r="H939" t="s">
        <v>74</v>
      </c>
      <c r="I939" t="s">
        <v>17245</v>
      </c>
      <c r="J939" t="s">
        <v>17246</v>
      </c>
      <c r="K939" t="s">
        <v>74</v>
      </c>
      <c r="L939" t="s">
        <v>74</v>
      </c>
      <c r="M939" t="s">
        <v>78</v>
      </c>
      <c r="N939" t="s">
        <v>1246</v>
      </c>
      <c r="O939" t="s">
        <v>74</v>
      </c>
      <c r="P939" t="s">
        <v>74</v>
      </c>
      <c r="Q939" t="s">
        <v>74</v>
      </c>
      <c r="R939" t="s">
        <v>74</v>
      </c>
      <c r="S939" t="s">
        <v>74</v>
      </c>
      <c r="T939" t="s">
        <v>17247</v>
      </c>
      <c r="U939" t="s">
        <v>74</v>
      </c>
      <c r="V939" t="s">
        <v>17248</v>
      </c>
      <c r="W939" t="s">
        <v>17249</v>
      </c>
      <c r="X939" t="s">
        <v>17250</v>
      </c>
      <c r="Y939" t="s">
        <v>17251</v>
      </c>
      <c r="Z939" t="s">
        <v>17252</v>
      </c>
      <c r="AA939" t="s">
        <v>74</v>
      </c>
      <c r="AB939" t="s">
        <v>17253</v>
      </c>
      <c r="AC939" t="s">
        <v>74</v>
      </c>
      <c r="AD939" t="s">
        <v>74</v>
      </c>
      <c r="AE939" t="s">
        <v>74</v>
      </c>
      <c r="AF939" t="s">
        <v>74</v>
      </c>
      <c r="AG939">
        <v>50</v>
      </c>
      <c r="AH939">
        <v>0</v>
      </c>
      <c r="AI939">
        <v>0</v>
      </c>
      <c r="AJ939">
        <v>0</v>
      </c>
      <c r="AK939">
        <v>0</v>
      </c>
      <c r="AL939" t="s">
        <v>1295</v>
      </c>
      <c r="AM939" t="s">
        <v>1296</v>
      </c>
      <c r="AN939" t="s">
        <v>1297</v>
      </c>
      <c r="AO939" t="s">
        <v>17254</v>
      </c>
      <c r="AP939" t="s">
        <v>17255</v>
      </c>
      <c r="AQ939" t="s">
        <v>74</v>
      </c>
      <c r="AR939" t="s">
        <v>17256</v>
      </c>
      <c r="AS939" t="s">
        <v>17257</v>
      </c>
      <c r="AT939" t="s">
        <v>16716</v>
      </c>
      <c r="AU939">
        <v>2023</v>
      </c>
      <c r="AV939" t="s">
        <v>74</v>
      </c>
      <c r="AW939" t="s">
        <v>74</v>
      </c>
      <c r="AX939" t="s">
        <v>74</v>
      </c>
      <c r="AY939" t="s">
        <v>74</v>
      </c>
      <c r="AZ939" t="s">
        <v>74</v>
      </c>
      <c r="BA939" t="s">
        <v>74</v>
      </c>
      <c r="BB939" t="s">
        <v>74</v>
      </c>
      <c r="BC939" t="s">
        <v>74</v>
      </c>
      <c r="BD939" t="s">
        <v>74</v>
      </c>
      <c r="BE939" t="s">
        <v>17258</v>
      </c>
      <c r="BF939" t="str">
        <f>HYPERLINK("http://dx.doi.org/10.1007/s10238-023-01163-5","http://dx.doi.org/10.1007/s10238-023-01163-5")</f>
        <v>http://dx.doi.org/10.1007/s10238-023-01163-5</v>
      </c>
      <c r="BG939" t="s">
        <v>74</v>
      </c>
      <c r="BH939" t="s">
        <v>10650</v>
      </c>
      <c r="BI939">
        <v>14</v>
      </c>
      <c r="BJ939" t="s">
        <v>3415</v>
      </c>
      <c r="BK939" t="s">
        <v>126</v>
      </c>
      <c r="BL939" t="s">
        <v>3416</v>
      </c>
      <c r="BM939" t="s">
        <v>17259</v>
      </c>
      <c r="BN939">
        <v>37582911</v>
      </c>
      <c r="BO939" t="s">
        <v>74</v>
      </c>
      <c r="BP939" t="s">
        <v>74</v>
      </c>
      <c r="BQ939" t="s">
        <v>74</v>
      </c>
      <c r="BR939" t="s">
        <v>99</v>
      </c>
      <c r="BS939" t="s">
        <v>17260</v>
      </c>
      <c r="BT939" t="str">
        <f>HYPERLINK("https%3A%2F%2Fwww.webofscience.com%2Fwos%2Fwoscc%2Ffull-record%2FWOS:001048050800001","View Full Record in Web of Science")</f>
        <v>View Full Record in Web of Science</v>
      </c>
    </row>
    <row r="940" spans="1:72" x14ac:dyDescent="0.15">
      <c r="A940" t="s">
        <v>72</v>
      </c>
      <c r="B940" t="s">
        <v>17261</v>
      </c>
      <c r="C940" t="s">
        <v>74</v>
      </c>
      <c r="D940" t="s">
        <v>74</v>
      </c>
      <c r="E940" t="s">
        <v>74</v>
      </c>
      <c r="F940" t="s">
        <v>17262</v>
      </c>
      <c r="G940" t="s">
        <v>74</v>
      </c>
      <c r="H940" t="s">
        <v>74</v>
      </c>
      <c r="I940" t="s">
        <v>17263</v>
      </c>
      <c r="J940" t="s">
        <v>6274</v>
      </c>
      <c r="K940" t="s">
        <v>74</v>
      </c>
      <c r="L940" t="s">
        <v>74</v>
      </c>
      <c r="M940" t="s">
        <v>78</v>
      </c>
      <c r="N940" t="s">
        <v>79</v>
      </c>
      <c r="O940" t="s">
        <v>74</v>
      </c>
      <c r="P940" t="s">
        <v>74</v>
      </c>
      <c r="Q940" t="s">
        <v>74</v>
      </c>
      <c r="R940" t="s">
        <v>74</v>
      </c>
      <c r="S940" t="s">
        <v>74</v>
      </c>
      <c r="T940" t="s">
        <v>17264</v>
      </c>
      <c r="U940" t="s">
        <v>17265</v>
      </c>
      <c r="V940" t="s">
        <v>17266</v>
      </c>
      <c r="W940" t="s">
        <v>17267</v>
      </c>
      <c r="X940" t="s">
        <v>17268</v>
      </c>
      <c r="Y940" t="s">
        <v>17269</v>
      </c>
      <c r="Z940" t="s">
        <v>17270</v>
      </c>
      <c r="AA940" t="s">
        <v>74</v>
      </c>
      <c r="AB940" t="s">
        <v>74</v>
      </c>
      <c r="AC940" t="s">
        <v>74</v>
      </c>
      <c r="AD940" t="s">
        <v>74</v>
      </c>
      <c r="AE940" t="s">
        <v>74</v>
      </c>
      <c r="AF940" t="s">
        <v>74</v>
      </c>
      <c r="AG940">
        <v>28</v>
      </c>
      <c r="AH940">
        <v>0</v>
      </c>
      <c r="AI940">
        <v>0</v>
      </c>
      <c r="AJ940">
        <v>1</v>
      </c>
      <c r="AK940">
        <v>1</v>
      </c>
      <c r="AL940" t="s">
        <v>443</v>
      </c>
      <c r="AM940" t="s">
        <v>245</v>
      </c>
      <c r="AN940" t="s">
        <v>444</v>
      </c>
      <c r="AO940" t="s">
        <v>74</v>
      </c>
      <c r="AP940" t="s">
        <v>6285</v>
      </c>
      <c r="AQ940" t="s">
        <v>74</v>
      </c>
      <c r="AR940" t="s">
        <v>6274</v>
      </c>
      <c r="AS940" t="s">
        <v>6286</v>
      </c>
      <c r="AT940" t="s">
        <v>16699</v>
      </c>
      <c r="AU940">
        <v>2023</v>
      </c>
      <c r="AV940">
        <v>23</v>
      </c>
      <c r="AW940">
        <v>1</v>
      </c>
      <c r="AX940" t="s">
        <v>74</v>
      </c>
      <c r="AY940" t="s">
        <v>74</v>
      </c>
      <c r="AZ940" t="s">
        <v>74</v>
      </c>
      <c r="BA940" t="s">
        <v>74</v>
      </c>
      <c r="BB940" t="s">
        <v>74</v>
      </c>
      <c r="BC940" t="s">
        <v>74</v>
      </c>
      <c r="BD940">
        <v>761</v>
      </c>
      <c r="BE940" t="s">
        <v>17271</v>
      </c>
      <c r="BF940" t="str">
        <f>HYPERLINK("http://dx.doi.org/10.1186/s12885-023-11296-1","http://dx.doi.org/10.1186/s12885-023-11296-1")</f>
        <v>http://dx.doi.org/10.1186/s12885-023-11296-1</v>
      </c>
      <c r="BG940" t="s">
        <v>74</v>
      </c>
      <c r="BH940" t="s">
        <v>74</v>
      </c>
      <c r="BI940">
        <v>10</v>
      </c>
      <c r="BJ940" t="s">
        <v>1951</v>
      </c>
      <c r="BK940" t="s">
        <v>126</v>
      </c>
      <c r="BL940" t="s">
        <v>1951</v>
      </c>
      <c r="BM940" t="s">
        <v>17272</v>
      </c>
      <c r="BN940">
        <v>37587425</v>
      </c>
      <c r="BO940" t="s">
        <v>157</v>
      </c>
      <c r="BP940" t="s">
        <v>74</v>
      </c>
      <c r="BQ940" t="s">
        <v>74</v>
      </c>
      <c r="BR940" t="s">
        <v>99</v>
      </c>
      <c r="BS940" t="s">
        <v>17273</v>
      </c>
      <c r="BT940" t="str">
        <f>HYPERLINK("https%3A%2F%2Fwww.webofscience.com%2Fwos%2Fwoscc%2Ffull-record%2FWOS:001049830200004","View Full Record in Web of Science")</f>
        <v>View Full Record in Web of Science</v>
      </c>
    </row>
    <row r="941" spans="1:72" x14ac:dyDescent="0.15">
      <c r="A941" t="s">
        <v>72</v>
      </c>
      <c r="B941" t="s">
        <v>17274</v>
      </c>
      <c r="C941" t="s">
        <v>74</v>
      </c>
      <c r="D941" t="s">
        <v>74</v>
      </c>
      <c r="E941" t="s">
        <v>74</v>
      </c>
      <c r="F941" t="s">
        <v>17275</v>
      </c>
      <c r="G941" t="s">
        <v>74</v>
      </c>
      <c r="H941" t="s">
        <v>74</v>
      </c>
      <c r="I941" t="s">
        <v>17276</v>
      </c>
      <c r="J941" t="s">
        <v>17277</v>
      </c>
      <c r="K941" t="s">
        <v>74</v>
      </c>
      <c r="L941" t="s">
        <v>74</v>
      </c>
      <c r="M941" t="s">
        <v>78</v>
      </c>
      <c r="N941" t="s">
        <v>2174</v>
      </c>
      <c r="O941" t="s">
        <v>74</v>
      </c>
      <c r="P941" t="s">
        <v>74</v>
      </c>
      <c r="Q941" t="s">
        <v>74</v>
      </c>
      <c r="R941" t="s">
        <v>74</v>
      </c>
      <c r="S941" t="s">
        <v>74</v>
      </c>
      <c r="T941" t="s">
        <v>17278</v>
      </c>
      <c r="U941" t="s">
        <v>17279</v>
      </c>
      <c r="V941" t="s">
        <v>17280</v>
      </c>
      <c r="W941" t="s">
        <v>17281</v>
      </c>
      <c r="X941" t="s">
        <v>17282</v>
      </c>
      <c r="Y941" t="s">
        <v>17283</v>
      </c>
      <c r="Z941" t="s">
        <v>17284</v>
      </c>
      <c r="AA941" t="s">
        <v>74</v>
      </c>
      <c r="AB941" t="s">
        <v>74</v>
      </c>
      <c r="AC941" t="s">
        <v>17285</v>
      </c>
      <c r="AD941" t="s">
        <v>17286</v>
      </c>
      <c r="AE941" t="s">
        <v>17287</v>
      </c>
      <c r="AF941" t="s">
        <v>74</v>
      </c>
      <c r="AG941">
        <v>35</v>
      </c>
      <c r="AH941">
        <v>0</v>
      </c>
      <c r="AI941">
        <v>0</v>
      </c>
      <c r="AJ941">
        <v>4</v>
      </c>
      <c r="AK941">
        <v>4</v>
      </c>
      <c r="AL941" t="s">
        <v>172</v>
      </c>
      <c r="AM941" t="s">
        <v>173</v>
      </c>
      <c r="AN941" t="s">
        <v>174</v>
      </c>
      <c r="AO941" t="s">
        <v>17288</v>
      </c>
      <c r="AP941" t="s">
        <v>17289</v>
      </c>
      <c r="AQ941" t="s">
        <v>74</v>
      </c>
      <c r="AR941" t="s">
        <v>17290</v>
      </c>
      <c r="AS941" t="s">
        <v>17291</v>
      </c>
      <c r="AT941" t="s">
        <v>16716</v>
      </c>
      <c r="AU941">
        <v>2023</v>
      </c>
      <c r="AV941" t="s">
        <v>74</v>
      </c>
      <c r="AW941" t="s">
        <v>74</v>
      </c>
      <c r="AX941" t="s">
        <v>74</v>
      </c>
      <c r="AY941" t="s">
        <v>74</v>
      </c>
      <c r="AZ941" t="s">
        <v>74</v>
      </c>
      <c r="BA941" t="s">
        <v>74</v>
      </c>
      <c r="BB941" t="s">
        <v>74</v>
      </c>
      <c r="BC941" t="s">
        <v>74</v>
      </c>
      <c r="BD941" t="s">
        <v>74</v>
      </c>
      <c r="BE941" t="s">
        <v>17292</v>
      </c>
      <c r="BF941" t="str">
        <f>HYPERLINK("http://dx.doi.org/10.1007/s11325-023-02901-5","http://dx.doi.org/10.1007/s11325-023-02901-5")</f>
        <v>http://dx.doi.org/10.1007/s11325-023-02901-5</v>
      </c>
      <c r="BG941" t="s">
        <v>74</v>
      </c>
      <c r="BH941" t="s">
        <v>10650</v>
      </c>
      <c r="BI941">
        <v>10</v>
      </c>
      <c r="BJ941" t="s">
        <v>17293</v>
      </c>
      <c r="BK941" t="s">
        <v>126</v>
      </c>
      <c r="BL941" t="s">
        <v>17294</v>
      </c>
      <c r="BM941" t="s">
        <v>17295</v>
      </c>
      <c r="BN941">
        <v>37587356</v>
      </c>
      <c r="BO941" t="s">
        <v>183</v>
      </c>
      <c r="BP941" t="s">
        <v>74</v>
      </c>
      <c r="BQ941" t="s">
        <v>74</v>
      </c>
      <c r="BR941" t="s">
        <v>99</v>
      </c>
      <c r="BS941" t="s">
        <v>17296</v>
      </c>
      <c r="BT941" t="str">
        <f>HYPERLINK("https%3A%2F%2Fwww.webofscience.com%2Fwos%2Fwoscc%2Ffull-record%2FWOS:001049102700001","View Full Record in Web of Science")</f>
        <v>View Full Record in Web of Science</v>
      </c>
    </row>
    <row r="942" spans="1:72" x14ac:dyDescent="0.15">
      <c r="A942" t="s">
        <v>72</v>
      </c>
      <c r="B942" t="s">
        <v>17297</v>
      </c>
      <c r="C942" t="s">
        <v>74</v>
      </c>
      <c r="D942" t="s">
        <v>74</v>
      </c>
      <c r="E942" t="s">
        <v>74</v>
      </c>
      <c r="F942" t="s">
        <v>17298</v>
      </c>
      <c r="G942" t="s">
        <v>74</v>
      </c>
      <c r="H942" t="s">
        <v>74</v>
      </c>
      <c r="I942" t="s">
        <v>17299</v>
      </c>
      <c r="J942" t="s">
        <v>7161</v>
      </c>
      <c r="K942" t="s">
        <v>74</v>
      </c>
      <c r="L942" t="s">
        <v>74</v>
      </c>
      <c r="M942" t="s">
        <v>78</v>
      </c>
      <c r="N942" t="s">
        <v>79</v>
      </c>
      <c r="O942" t="s">
        <v>74</v>
      </c>
      <c r="P942" t="s">
        <v>74</v>
      </c>
      <c r="Q942" t="s">
        <v>74</v>
      </c>
      <c r="R942" t="s">
        <v>74</v>
      </c>
      <c r="S942" t="s">
        <v>74</v>
      </c>
      <c r="T942" t="s">
        <v>17300</v>
      </c>
      <c r="U942" t="s">
        <v>17301</v>
      </c>
      <c r="V942" t="s">
        <v>17302</v>
      </c>
      <c r="W942" t="s">
        <v>17303</v>
      </c>
      <c r="X942" t="s">
        <v>17304</v>
      </c>
      <c r="Y942" t="s">
        <v>17305</v>
      </c>
      <c r="Z942" t="s">
        <v>17306</v>
      </c>
      <c r="AA942" t="s">
        <v>74</v>
      </c>
      <c r="AB942" t="s">
        <v>74</v>
      </c>
      <c r="AC942" t="s">
        <v>17307</v>
      </c>
      <c r="AD942" t="s">
        <v>17308</v>
      </c>
      <c r="AE942" t="s">
        <v>17309</v>
      </c>
      <c r="AF942" t="s">
        <v>74</v>
      </c>
      <c r="AG942">
        <v>77</v>
      </c>
      <c r="AH942">
        <v>0</v>
      </c>
      <c r="AI942">
        <v>0</v>
      </c>
      <c r="AJ942">
        <v>2</v>
      </c>
      <c r="AK942">
        <v>2</v>
      </c>
      <c r="AL942" t="s">
        <v>172</v>
      </c>
      <c r="AM942" t="s">
        <v>173</v>
      </c>
      <c r="AN942" t="s">
        <v>174</v>
      </c>
      <c r="AO942" t="s">
        <v>7172</v>
      </c>
      <c r="AP942" t="s">
        <v>7173</v>
      </c>
      <c r="AQ942" t="s">
        <v>74</v>
      </c>
      <c r="AR942" t="s">
        <v>7174</v>
      </c>
      <c r="AS942" t="s">
        <v>7175</v>
      </c>
      <c r="AT942" t="s">
        <v>8614</v>
      </c>
      <c r="AU942">
        <v>2023</v>
      </c>
      <c r="AV942">
        <v>30</v>
      </c>
      <c r="AW942">
        <v>43</v>
      </c>
      <c r="AX942" t="s">
        <v>74</v>
      </c>
      <c r="AY942" t="s">
        <v>74</v>
      </c>
      <c r="AZ942" t="s">
        <v>74</v>
      </c>
      <c r="BA942" t="s">
        <v>74</v>
      </c>
      <c r="BB942">
        <v>96948</v>
      </c>
      <c r="BC942">
        <v>96964</v>
      </c>
      <c r="BD942" t="s">
        <v>74</v>
      </c>
      <c r="BE942" t="s">
        <v>17310</v>
      </c>
      <c r="BF942" t="str">
        <f>HYPERLINK("http://dx.doi.org/10.1007/s11356-023-29266-2","http://dx.doi.org/10.1007/s11356-023-29266-2")</f>
        <v>http://dx.doi.org/10.1007/s11356-023-29266-2</v>
      </c>
      <c r="BG942" t="s">
        <v>74</v>
      </c>
      <c r="BH942" t="s">
        <v>10650</v>
      </c>
      <c r="BI942">
        <v>17</v>
      </c>
      <c r="BJ942" t="s">
        <v>1346</v>
      </c>
      <c r="BK942" t="s">
        <v>126</v>
      </c>
      <c r="BL942" t="s">
        <v>1347</v>
      </c>
      <c r="BM942" t="s">
        <v>14337</v>
      </c>
      <c r="BN942">
        <v>37584792</v>
      </c>
      <c r="BO942" t="s">
        <v>74</v>
      </c>
      <c r="BP942" t="s">
        <v>74</v>
      </c>
      <c r="BQ942" t="s">
        <v>74</v>
      </c>
      <c r="BR942" t="s">
        <v>99</v>
      </c>
      <c r="BS942" t="s">
        <v>17311</v>
      </c>
      <c r="BT942" t="str">
        <f>HYPERLINK("https%3A%2F%2Fwww.webofscience.com%2Fwos%2Fwoscc%2Ffull-record%2FWOS:001049824000008","View Full Record in Web of Science")</f>
        <v>View Full Record in Web of Science</v>
      </c>
    </row>
    <row r="943" spans="1:72" x14ac:dyDescent="0.15">
      <c r="A943" t="s">
        <v>72</v>
      </c>
      <c r="B943" t="s">
        <v>17312</v>
      </c>
      <c r="C943" t="s">
        <v>74</v>
      </c>
      <c r="D943" t="s">
        <v>74</v>
      </c>
      <c r="E943" t="s">
        <v>74</v>
      </c>
      <c r="F943" t="s">
        <v>17313</v>
      </c>
      <c r="G943" t="s">
        <v>74</v>
      </c>
      <c r="H943" t="s">
        <v>74</v>
      </c>
      <c r="I943" t="s">
        <v>17314</v>
      </c>
      <c r="J943" t="s">
        <v>6394</v>
      </c>
      <c r="K943" t="s">
        <v>74</v>
      </c>
      <c r="L943" t="s">
        <v>74</v>
      </c>
      <c r="M943" t="s">
        <v>78</v>
      </c>
      <c r="N943" t="s">
        <v>79</v>
      </c>
      <c r="O943" t="s">
        <v>74</v>
      </c>
      <c r="P943" t="s">
        <v>74</v>
      </c>
      <c r="Q943" t="s">
        <v>74</v>
      </c>
      <c r="R943" t="s">
        <v>74</v>
      </c>
      <c r="S943" t="s">
        <v>74</v>
      </c>
      <c r="T943" t="s">
        <v>17315</v>
      </c>
      <c r="U943" t="s">
        <v>17316</v>
      </c>
      <c r="V943" t="s">
        <v>17317</v>
      </c>
      <c r="W943" t="s">
        <v>17318</v>
      </c>
      <c r="X943" t="s">
        <v>17319</v>
      </c>
      <c r="Y943" t="s">
        <v>17320</v>
      </c>
      <c r="Z943" t="s">
        <v>17321</v>
      </c>
      <c r="AA943" t="s">
        <v>74</v>
      </c>
      <c r="AB943" t="s">
        <v>74</v>
      </c>
      <c r="AC943" t="s">
        <v>17322</v>
      </c>
      <c r="AD943" t="s">
        <v>17323</v>
      </c>
      <c r="AE943" t="s">
        <v>17324</v>
      </c>
      <c r="AF943" t="s">
        <v>74</v>
      </c>
      <c r="AG943">
        <v>33</v>
      </c>
      <c r="AH943">
        <v>0</v>
      </c>
      <c r="AI943">
        <v>0</v>
      </c>
      <c r="AJ943">
        <v>3</v>
      </c>
      <c r="AK943">
        <v>3</v>
      </c>
      <c r="AL943" t="s">
        <v>244</v>
      </c>
      <c r="AM943" t="s">
        <v>245</v>
      </c>
      <c r="AN943" t="s">
        <v>246</v>
      </c>
      <c r="AO943" t="s">
        <v>6403</v>
      </c>
      <c r="AP943" t="s">
        <v>6404</v>
      </c>
      <c r="AQ943" t="s">
        <v>74</v>
      </c>
      <c r="AR943" t="s">
        <v>6405</v>
      </c>
      <c r="AS943" t="s">
        <v>6406</v>
      </c>
      <c r="AT943" t="s">
        <v>1275</v>
      </c>
      <c r="AU943">
        <v>2023</v>
      </c>
      <c r="AV943">
        <v>128</v>
      </c>
      <c r="AW943" t="s">
        <v>16025</v>
      </c>
      <c r="AX943" t="s">
        <v>74</v>
      </c>
      <c r="AY943" t="s">
        <v>74</v>
      </c>
      <c r="AZ943" t="s">
        <v>74</v>
      </c>
      <c r="BA943" t="s">
        <v>74</v>
      </c>
      <c r="BB943">
        <v>3197</v>
      </c>
      <c r="BC943">
        <v>3214</v>
      </c>
      <c r="BD943" t="s">
        <v>74</v>
      </c>
      <c r="BE943" t="s">
        <v>17325</v>
      </c>
      <c r="BF943" t="str">
        <f>HYPERLINK("http://dx.doi.org/10.1007/s00170-023-12053-1","http://dx.doi.org/10.1007/s00170-023-12053-1")</f>
        <v>http://dx.doi.org/10.1007/s00170-023-12053-1</v>
      </c>
      <c r="BG943" t="s">
        <v>74</v>
      </c>
      <c r="BH943" t="s">
        <v>10650</v>
      </c>
      <c r="BI943">
        <v>18</v>
      </c>
      <c r="BJ943" t="s">
        <v>6408</v>
      </c>
      <c r="BK943" t="s">
        <v>126</v>
      </c>
      <c r="BL943" t="s">
        <v>6409</v>
      </c>
      <c r="BM943" t="s">
        <v>16027</v>
      </c>
      <c r="BN943" t="s">
        <v>74</v>
      </c>
      <c r="BO943" t="s">
        <v>74</v>
      </c>
      <c r="BP943" t="s">
        <v>74</v>
      </c>
      <c r="BQ943" t="s">
        <v>74</v>
      </c>
      <c r="BR943" t="s">
        <v>99</v>
      </c>
      <c r="BS943" t="s">
        <v>17326</v>
      </c>
      <c r="BT943" t="str">
        <f>HYPERLINK("https%3A%2F%2Fwww.webofscience.com%2Fwos%2Fwoscc%2Ffull-record%2FWOS:001048385000002","View Full Record in Web of Science")</f>
        <v>View Full Record in Web of Science</v>
      </c>
    </row>
    <row r="944" spans="1:72" x14ac:dyDescent="0.15">
      <c r="A944" t="s">
        <v>72</v>
      </c>
      <c r="B944" t="s">
        <v>17327</v>
      </c>
      <c r="C944" t="s">
        <v>74</v>
      </c>
      <c r="D944" t="s">
        <v>74</v>
      </c>
      <c r="E944" t="s">
        <v>74</v>
      </c>
      <c r="F944" t="s">
        <v>17328</v>
      </c>
      <c r="G944" t="s">
        <v>74</v>
      </c>
      <c r="H944" t="s">
        <v>74</v>
      </c>
      <c r="I944" t="s">
        <v>17329</v>
      </c>
      <c r="J944" t="s">
        <v>3402</v>
      </c>
      <c r="K944" t="s">
        <v>74</v>
      </c>
      <c r="L944" t="s">
        <v>74</v>
      </c>
      <c r="M944" t="s">
        <v>78</v>
      </c>
      <c r="N944" t="s">
        <v>79</v>
      </c>
      <c r="O944" t="s">
        <v>74</v>
      </c>
      <c r="P944" t="s">
        <v>74</v>
      </c>
      <c r="Q944" t="s">
        <v>74</v>
      </c>
      <c r="R944" t="s">
        <v>74</v>
      </c>
      <c r="S944" t="s">
        <v>74</v>
      </c>
      <c r="T944" t="s">
        <v>17330</v>
      </c>
      <c r="U944" t="s">
        <v>17331</v>
      </c>
      <c r="V944" t="s">
        <v>17332</v>
      </c>
      <c r="W944" t="s">
        <v>17333</v>
      </c>
      <c r="X944" t="s">
        <v>17334</v>
      </c>
      <c r="Y944" t="s">
        <v>17335</v>
      </c>
      <c r="Z944" t="s">
        <v>17336</v>
      </c>
      <c r="AA944" t="s">
        <v>17337</v>
      </c>
      <c r="AB944" t="s">
        <v>17338</v>
      </c>
      <c r="AC944" t="s">
        <v>74</v>
      </c>
      <c r="AD944" t="s">
        <v>74</v>
      </c>
      <c r="AE944" t="s">
        <v>74</v>
      </c>
      <c r="AF944" t="s">
        <v>74</v>
      </c>
      <c r="AG944">
        <v>56</v>
      </c>
      <c r="AH944">
        <v>0</v>
      </c>
      <c r="AI944">
        <v>0</v>
      </c>
      <c r="AJ944">
        <v>3</v>
      </c>
      <c r="AK944">
        <v>3</v>
      </c>
      <c r="AL944" t="s">
        <v>443</v>
      </c>
      <c r="AM944" t="s">
        <v>245</v>
      </c>
      <c r="AN944" t="s">
        <v>444</v>
      </c>
      <c r="AO944" t="s">
        <v>3410</v>
      </c>
      <c r="AP944" t="s">
        <v>3411</v>
      </c>
      <c r="AQ944" t="s">
        <v>74</v>
      </c>
      <c r="AR944" t="s">
        <v>3412</v>
      </c>
      <c r="AS944" t="s">
        <v>3413</v>
      </c>
      <c r="AT944" t="s">
        <v>16699</v>
      </c>
      <c r="AU944">
        <v>2023</v>
      </c>
      <c r="AV944">
        <v>28</v>
      </c>
      <c r="AW944">
        <v>1</v>
      </c>
      <c r="AX944" t="s">
        <v>74</v>
      </c>
      <c r="AY944" t="s">
        <v>74</v>
      </c>
      <c r="AZ944" t="s">
        <v>74</v>
      </c>
      <c r="BA944" t="s">
        <v>74</v>
      </c>
      <c r="BB944" t="s">
        <v>74</v>
      </c>
      <c r="BC944" t="s">
        <v>74</v>
      </c>
      <c r="BD944">
        <v>284</v>
      </c>
      <c r="BE944" t="s">
        <v>17339</v>
      </c>
      <c r="BF944" t="str">
        <f>HYPERLINK("http://dx.doi.org/10.1186/s40001-023-01259-4","http://dx.doi.org/10.1186/s40001-023-01259-4")</f>
        <v>http://dx.doi.org/10.1186/s40001-023-01259-4</v>
      </c>
      <c r="BG944" t="s">
        <v>74</v>
      </c>
      <c r="BH944" t="s">
        <v>74</v>
      </c>
      <c r="BI944">
        <v>12</v>
      </c>
      <c r="BJ944" t="s">
        <v>3415</v>
      </c>
      <c r="BK944" t="s">
        <v>126</v>
      </c>
      <c r="BL944" t="s">
        <v>3416</v>
      </c>
      <c r="BM944" t="s">
        <v>17340</v>
      </c>
      <c r="BN944">
        <v>37587506</v>
      </c>
      <c r="BO944" t="s">
        <v>157</v>
      </c>
      <c r="BP944" t="s">
        <v>74</v>
      </c>
      <c r="BQ944" t="s">
        <v>74</v>
      </c>
      <c r="BR944" t="s">
        <v>99</v>
      </c>
      <c r="BS944" t="s">
        <v>17341</v>
      </c>
      <c r="BT944" t="str">
        <f>HYPERLINK("https%3A%2F%2Fwww.webofscience.com%2Fwos%2Fwoscc%2Ffull-record%2FWOS:001048651400002","View Full Record in Web of Science")</f>
        <v>View Full Record in Web of Science</v>
      </c>
    </row>
    <row r="945" spans="1:72" x14ac:dyDescent="0.15">
      <c r="A945" t="s">
        <v>72</v>
      </c>
      <c r="B945" t="s">
        <v>17342</v>
      </c>
      <c r="C945" t="s">
        <v>74</v>
      </c>
      <c r="D945" t="s">
        <v>74</v>
      </c>
      <c r="E945" t="s">
        <v>74</v>
      </c>
      <c r="F945" t="s">
        <v>17343</v>
      </c>
      <c r="G945" t="s">
        <v>74</v>
      </c>
      <c r="H945" t="s">
        <v>74</v>
      </c>
      <c r="I945" t="s">
        <v>17344</v>
      </c>
      <c r="J945" t="s">
        <v>17345</v>
      </c>
      <c r="K945" t="s">
        <v>74</v>
      </c>
      <c r="L945" t="s">
        <v>74</v>
      </c>
      <c r="M945" t="s">
        <v>78</v>
      </c>
      <c r="N945" t="s">
        <v>79</v>
      </c>
      <c r="O945" t="s">
        <v>74</v>
      </c>
      <c r="P945" t="s">
        <v>74</v>
      </c>
      <c r="Q945" t="s">
        <v>74</v>
      </c>
      <c r="R945" t="s">
        <v>74</v>
      </c>
      <c r="S945" t="s">
        <v>74</v>
      </c>
      <c r="T945" t="s">
        <v>74</v>
      </c>
      <c r="U945" t="s">
        <v>17346</v>
      </c>
      <c r="V945" t="s">
        <v>17347</v>
      </c>
      <c r="W945" t="s">
        <v>17348</v>
      </c>
      <c r="X945" t="s">
        <v>17349</v>
      </c>
      <c r="Y945" t="s">
        <v>17350</v>
      </c>
      <c r="Z945" t="s">
        <v>17351</v>
      </c>
      <c r="AA945" t="s">
        <v>74</v>
      </c>
      <c r="AB945" t="s">
        <v>17352</v>
      </c>
      <c r="AC945" t="s">
        <v>17353</v>
      </c>
      <c r="AD945" t="s">
        <v>17354</v>
      </c>
      <c r="AE945" t="s">
        <v>17355</v>
      </c>
      <c r="AF945" t="s">
        <v>74</v>
      </c>
      <c r="AG945">
        <v>54</v>
      </c>
      <c r="AH945">
        <v>0</v>
      </c>
      <c r="AI945">
        <v>0</v>
      </c>
      <c r="AJ945">
        <v>3</v>
      </c>
      <c r="AK945">
        <v>3</v>
      </c>
      <c r="AL945" t="s">
        <v>317</v>
      </c>
      <c r="AM945" t="s">
        <v>245</v>
      </c>
      <c r="AN945" t="s">
        <v>318</v>
      </c>
      <c r="AO945" t="s">
        <v>17356</v>
      </c>
      <c r="AP945" t="s">
        <v>17357</v>
      </c>
      <c r="AQ945" t="s">
        <v>74</v>
      </c>
      <c r="AR945" t="s">
        <v>17358</v>
      </c>
      <c r="AS945" t="s">
        <v>17359</v>
      </c>
      <c r="AT945" t="s">
        <v>16699</v>
      </c>
      <c r="AU945">
        <v>2023</v>
      </c>
      <c r="AV945">
        <v>8</v>
      </c>
      <c r="AW945">
        <v>1</v>
      </c>
      <c r="AX945" t="s">
        <v>74</v>
      </c>
      <c r="AY945" t="s">
        <v>74</v>
      </c>
      <c r="AZ945" t="s">
        <v>74</v>
      </c>
      <c r="BA945" t="s">
        <v>74</v>
      </c>
      <c r="BB945" t="s">
        <v>74</v>
      </c>
      <c r="BC945" t="s">
        <v>74</v>
      </c>
      <c r="BD945">
        <v>303</v>
      </c>
      <c r="BE945" t="s">
        <v>17360</v>
      </c>
      <c r="BF945" t="str">
        <f>HYPERLINK("http://dx.doi.org/10.1038/s41392-023-01516-2","http://dx.doi.org/10.1038/s41392-023-01516-2")</f>
        <v>http://dx.doi.org/10.1038/s41392-023-01516-2</v>
      </c>
      <c r="BG945" t="s">
        <v>74</v>
      </c>
      <c r="BH945" t="s">
        <v>74</v>
      </c>
      <c r="BI945">
        <v>15</v>
      </c>
      <c r="BJ945" t="s">
        <v>7239</v>
      </c>
      <c r="BK945" t="s">
        <v>126</v>
      </c>
      <c r="BL945" t="s">
        <v>7239</v>
      </c>
      <c r="BM945" t="s">
        <v>17361</v>
      </c>
      <c r="BN945">
        <v>37582751</v>
      </c>
      <c r="BO945" t="s">
        <v>981</v>
      </c>
      <c r="BP945" t="s">
        <v>74</v>
      </c>
      <c r="BQ945" t="s">
        <v>74</v>
      </c>
      <c r="BR945" t="s">
        <v>99</v>
      </c>
      <c r="BS945" t="s">
        <v>17362</v>
      </c>
      <c r="BT945" t="str">
        <f>HYPERLINK("https%3A%2F%2Fwww.webofscience.com%2Fwos%2Fwoscc%2Ffull-record%2FWOS:001048806100003","View Full Record in Web of Science")</f>
        <v>View Full Record in Web of Science</v>
      </c>
    </row>
    <row r="946" spans="1:72" x14ac:dyDescent="0.15">
      <c r="A946" t="s">
        <v>72</v>
      </c>
      <c r="B946" t="s">
        <v>17363</v>
      </c>
      <c r="C946" t="s">
        <v>74</v>
      </c>
      <c r="D946" t="s">
        <v>74</v>
      </c>
      <c r="E946" t="s">
        <v>74</v>
      </c>
      <c r="F946" t="s">
        <v>17364</v>
      </c>
      <c r="G946" t="s">
        <v>74</v>
      </c>
      <c r="H946" t="s">
        <v>74</v>
      </c>
      <c r="I946" t="s">
        <v>17365</v>
      </c>
      <c r="J946" t="s">
        <v>17366</v>
      </c>
      <c r="K946" t="s">
        <v>74</v>
      </c>
      <c r="L946" t="s">
        <v>74</v>
      </c>
      <c r="M946" t="s">
        <v>78</v>
      </c>
      <c r="N946" t="s">
        <v>1246</v>
      </c>
      <c r="O946" t="s">
        <v>74</v>
      </c>
      <c r="P946" t="s">
        <v>74</v>
      </c>
      <c r="Q946" t="s">
        <v>74</v>
      </c>
      <c r="R946" t="s">
        <v>74</v>
      </c>
      <c r="S946" t="s">
        <v>74</v>
      </c>
      <c r="T946" t="s">
        <v>17367</v>
      </c>
      <c r="U946" t="s">
        <v>17368</v>
      </c>
      <c r="V946" t="s">
        <v>17369</v>
      </c>
      <c r="W946" t="s">
        <v>17370</v>
      </c>
      <c r="X946" t="s">
        <v>17371</v>
      </c>
      <c r="Y946" t="s">
        <v>17372</v>
      </c>
      <c r="Z946" t="s">
        <v>17373</v>
      </c>
      <c r="AA946" t="s">
        <v>74</v>
      </c>
      <c r="AB946" t="s">
        <v>74</v>
      </c>
      <c r="AC946" t="s">
        <v>17374</v>
      </c>
      <c r="AD946" t="s">
        <v>17375</v>
      </c>
      <c r="AE946" t="s">
        <v>17376</v>
      </c>
      <c r="AF946" t="s">
        <v>74</v>
      </c>
      <c r="AG946">
        <v>52</v>
      </c>
      <c r="AH946">
        <v>0</v>
      </c>
      <c r="AI946">
        <v>0</v>
      </c>
      <c r="AJ946">
        <v>3</v>
      </c>
      <c r="AK946">
        <v>3</v>
      </c>
      <c r="AL946" t="s">
        <v>117</v>
      </c>
      <c r="AM946" t="s">
        <v>118</v>
      </c>
      <c r="AN946" t="s">
        <v>119</v>
      </c>
      <c r="AO946" t="s">
        <v>17377</v>
      </c>
      <c r="AP946" t="s">
        <v>17378</v>
      </c>
      <c r="AQ946" t="s">
        <v>74</v>
      </c>
      <c r="AR946" t="s">
        <v>17379</v>
      </c>
      <c r="AS946" t="s">
        <v>17380</v>
      </c>
      <c r="AT946" t="s">
        <v>17381</v>
      </c>
      <c r="AU946">
        <v>2023</v>
      </c>
      <c r="AV946" t="s">
        <v>74</v>
      </c>
      <c r="AW946" t="s">
        <v>74</v>
      </c>
      <c r="AX946" t="s">
        <v>74</v>
      </c>
      <c r="AY946" t="s">
        <v>74</v>
      </c>
      <c r="AZ946" t="s">
        <v>74</v>
      </c>
      <c r="BA946" t="s">
        <v>74</v>
      </c>
      <c r="BB946" t="s">
        <v>74</v>
      </c>
      <c r="BC946" t="s">
        <v>74</v>
      </c>
      <c r="BD946" t="s">
        <v>74</v>
      </c>
      <c r="BE946" t="s">
        <v>17382</v>
      </c>
      <c r="BF946" t="str">
        <f>HYPERLINK("http://dx.doi.org/10.1007/s11664-023-10632-2","http://dx.doi.org/10.1007/s11664-023-10632-2")</f>
        <v>http://dx.doi.org/10.1007/s11664-023-10632-2</v>
      </c>
      <c r="BG946" t="s">
        <v>74</v>
      </c>
      <c r="BH946" t="s">
        <v>10650</v>
      </c>
      <c r="BI946">
        <v>14</v>
      </c>
      <c r="BJ946" t="s">
        <v>17383</v>
      </c>
      <c r="BK946" t="s">
        <v>126</v>
      </c>
      <c r="BL946" t="s">
        <v>17384</v>
      </c>
      <c r="BM946" t="s">
        <v>17385</v>
      </c>
      <c r="BN946" t="s">
        <v>74</v>
      </c>
      <c r="BO946" t="s">
        <v>74</v>
      </c>
      <c r="BP946" t="s">
        <v>74</v>
      </c>
      <c r="BQ946" t="s">
        <v>74</v>
      </c>
      <c r="BR946" t="s">
        <v>99</v>
      </c>
      <c r="BS946" t="s">
        <v>17386</v>
      </c>
      <c r="BT946" t="str">
        <f>HYPERLINK("https%3A%2F%2Fwww.webofscience.com%2Fwos%2Fwoscc%2Ffull-record%2FWOS:001050391500001","View Full Record in Web of Science")</f>
        <v>View Full Record in Web of Science</v>
      </c>
    </row>
    <row r="947" spans="1:72" x14ac:dyDescent="0.15">
      <c r="A947" t="s">
        <v>72</v>
      </c>
      <c r="B947" t="s">
        <v>17387</v>
      </c>
      <c r="C947" t="s">
        <v>74</v>
      </c>
      <c r="D947" t="s">
        <v>74</v>
      </c>
      <c r="E947" t="s">
        <v>74</v>
      </c>
      <c r="F947" t="s">
        <v>17388</v>
      </c>
      <c r="G947" t="s">
        <v>74</v>
      </c>
      <c r="H947" t="s">
        <v>74</v>
      </c>
      <c r="I947" t="s">
        <v>17389</v>
      </c>
      <c r="J947" t="s">
        <v>11105</v>
      </c>
      <c r="K947" t="s">
        <v>74</v>
      </c>
      <c r="L947" t="s">
        <v>74</v>
      </c>
      <c r="M947" t="s">
        <v>78</v>
      </c>
      <c r="N947" t="s">
        <v>79</v>
      </c>
      <c r="O947" t="s">
        <v>74</v>
      </c>
      <c r="P947" t="s">
        <v>74</v>
      </c>
      <c r="Q947" t="s">
        <v>74</v>
      </c>
      <c r="R947" t="s">
        <v>74</v>
      </c>
      <c r="S947" t="s">
        <v>74</v>
      </c>
      <c r="T947" t="s">
        <v>74</v>
      </c>
      <c r="U947" t="s">
        <v>17390</v>
      </c>
      <c r="V947" t="s">
        <v>17391</v>
      </c>
      <c r="W947" t="s">
        <v>17392</v>
      </c>
      <c r="X947" t="s">
        <v>17393</v>
      </c>
      <c r="Y947" t="s">
        <v>17394</v>
      </c>
      <c r="Z947" t="s">
        <v>17395</v>
      </c>
      <c r="AA947" t="s">
        <v>74</v>
      </c>
      <c r="AB947" t="s">
        <v>74</v>
      </c>
      <c r="AC947" t="s">
        <v>74</v>
      </c>
      <c r="AD947" t="s">
        <v>74</v>
      </c>
      <c r="AE947" t="s">
        <v>74</v>
      </c>
      <c r="AF947" t="s">
        <v>74</v>
      </c>
      <c r="AG947">
        <v>51</v>
      </c>
      <c r="AH947">
        <v>0</v>
      </c>
      <c r="AI947">
        <v>0</v>
      </c>
      <c r="AJ947">
        <v>1</v>
      </c>
      <c r="AK947">
        <v>1</v>
      </c>
      <c r="AL947" t="s">
        <v>317</v>
      </c>
      <c r="AM947" t="s">
        <v>245</v>
      </c>
      <c r="AN947" t="s">
        <v>318</v>
      </c>
      <c r="AO947" t="s">
        <v>11115</v>
      </c>
      <c r="AP947" t="s">
        <v>74</v>
      </c>
      <c r="AQ947" t="s">
        <v>74</v>
      </c>
      <c r="AR947" t="s">
        <v>11116</v>
      </c>
      <c r="AS947" t="s">
        <v>11117</v>
      </c>
      <c r="AT947" t="s">
        <v>17396</v>
      </c>
      <c r="AU947">
        <v>2023</v>
      </c>
      <c r="AV947">
        <v>14</v>
      </c>
      <c r="AW947">
        <v>8</v>
      </c>
      <c r="AX947" t="s">
        <v>74</v>
      </c>
      <c r="AY947" t="s">
        <v>74</v>
      </c>
      <c r="AZ947" t="s">
        <v>74</v>
      </c>
      <c r="BA947" t="s">
        <v>74</v>
      </c>
      <c r="BB947" t="s">
        <v>74</v>
      </c>
      <c r="BC947" t="s">
        <v>74</v>
      </c>
      <c r="BD947">
        <v>520</v>
      </c>
      <c r="BE947" t="s">
        <v>17397</v>
      </c>
      <c r="BF947" t="str">
        <f>HYPERLINK("http://dx.doi.org/10.1038/s41419-023-06049-8","http://dx.doi.org/10.1038/s41419-023-06049-8")</f>
        <v>http://dx.doi.org/10.1038/s41419-023-06049-8</v>
      </c>
      <c r="BG947" t="s">
        <v>74</v>
      </c>
      <c r="BH947" t="s">
        <v>74</v>
      </c>
      <c r="BI947">
        <v>16</v>
      </c>
      <c r="BJ947" t="s">
        <v>7100</v>
      </c>
      <c r="BK947" t="s">
        <v>126</v>
      </c>
      <c r="BL947" t="s">
        <v>7100</v>
      </c>
      <c r="BM947" t="s">
        <v>17398</v>
      </c>
      <c r="BN947">
        <v>37582794</v>
      </c>
      <c r="BO947" t="s">
        <v>981</v>
      </c>
      <c r="BP947" t="s">
        <v>74</v>
      </c>
      <c r="BQ947" t="s">
        <v>74</v>
      </c>
      <c r="BR947" t="s">
        <v>99</v>
      </c>
      <c r="BS947" t="s">
        <v>17399</v>
      </c>
      <c r="BT947" t="str">
        <f>HYPERLINK("https%3A%2F%2Fwww.webofscience.com%2Fwos%2Fwoscc%2Ffull-record%2FWOS:001049375600001","View Full Record in Web of Science")</f>
        <v>View Full Record in Web of Science</v>
      </c>
    </row>
    <row r="948" spans="1:72" x14ac:dyDescent="0.15">
      <c r="A948" t="s">
        <v>72</v>
      </c>
      <c r="B948" t="s">
        <v>17400</v>
      </c>
      <c r="C948" t="s">
        <v>74</v>
      </c>
      <c r="D948" t="s">
        <v>74</v>
      </c>
      <c r="E948" t="s">
        <v>74</v>
      </c>
      <c r="F948" t="s">
        <v>17401</v>
      </c>
      <c r="G948" t="s">
        <v>74</v>
      </c>
      <c r="H948" t="s">
        <v>74</v>
      </c>
      <c r="I948" t="s">
        <v>17402</v>
      </c>
      <c r="J948" t="s">
        <v>17403</v>
      </c>
      <c r="K948" t="s">
        <v>74</v>
      </c>
      <c r="L948" t="s">
        <v>74</v>
      </c>
      <c r="M948" t="s">
        <v>78</v>
      </c>
      <c r="N948" t="s">
        <v>3179</v>
      </c>
      <c r="O948" t="s">
        <v>74</v>
      </c>
      <c r="P948" t="s">
        <v>74</v>
      </c>
      <c r="Q948" t="s">
        <v>74</v>
      </c>
      <c r="R948" t="s">
        <v>74</v>
      </c>
      <c r="S948" t="s">
        <v>74</v>
      </c>
      <c r="T948" t="s">
        <v>74</v>
      </c>
      <c r="U948" t="s">
        <v>74</v>
      </c>
      <c r="V948" t="s">
        <v>74</v>
      </c>
      <c r="W948" t="s">
        <v>17404</v>
      </c>
      <c r="X948" t="s">
        <v>17405</v>
      </c>
      <c r="Y948" t="s">
        <v>17406</v>
      </c>
      <c r="Z948" t="s">
        <v>17407</v>
      </c>
      <c r="AA948" t="s">
        <v>74</v>
      </c>
      <c r="AB948" t="s">
        <v>74</v>
      </c>
      <c r="AC948" t="s">
        <v>74</v>
      </c>
      <c r="AD948" t="s">
        <v>74</v>
      </c>
      <c r="AE948" t="s">
        <v>74</v>
      </c>
      <c r="AF948" t="s">
        <v>74</v>
      </c>
      <c r="AG948">
        <v>3</v>
      </c>
      <c r="AH948">
        <v>0</v>
      </c>
      <c r="AI948">
        <v>0</v>
      </c>
      <c r="AJ948">
        <v>0</v>
      </c>
      <c r="AK948">
        <v>0</v>
      </c>
      <c r="AL948" t="s">
        <v>117</v>
      </c>
      <c r="AM948" t="s">
        <v>118</v>
      </c>
      <c r="AN948" t="s">
        <v>119</v>
      </c>
      <c r="AO948" t="s">
        <v>17408</v>
      </c>
      <c r="AP948" t="s">
        <v>17409</v>
      </c>
      <c r="AQ948" t="s">
        <v>74</v>
      </c>
      <c r="AR948" t="s">
        <v>17410</v>
      </c>
      <c r="AS948" t="s">
        <v>17411</v>
      </c>
      <c r="AT948" t="s">
        <v>17381</v>
      </c>
      <c r="AU948">
        <v>2023</v>
      </c>
      <c r="AV948" t="s">
        <v>74</v>
      </c>
      <c r="AW948" t="s">
        <v>74</v>
      </c>
      <c r="AX948" t="s">
        <v>74</v>
      </c>
      <c r="AY948" t="s">
        <v>74</v>
      </c>
      <c r="AZ948" t="s">
        <v>74</v>
      </c>
      <c r="BA948" t="s">
        <v>74</v>
      </c>
      <c r="BB948" t="s">
        <v>74</v>
      </c>
      <c r="BC948" t="s">
        <v>74</v>
      </c>
      <c r="BD948" t="s">
        <v>74</v>
      </c>
      <c r="BE948" t="s">
        <v>17412</v>
      </c>
      <c r="BF948" t="str">
        <f>HYPERLINK("http://dx.doi.org/10.1007/s11457-023-09366-3","http://dx.doi.org/10.1007/s11457-023-09366-3")</f>
        <v>http://dx.doi.org/10.1007/s11457-023-09366-3</v>
      </c>
      <c r="BG948" t="s">
        <v>74</v>
      </c>
      <c r="BH948" t="s">
        <v>10650</v>
      </c>
      <c r="BI948">
        <v>3</v>
      </c>
      <c r="BJ948" t="s">
        <v>17413</v>
      </c>
      <c r="BK948" t="s">
        <v>3780</v>
      </c>
      <c r="BL948" t="s">
        <v>17413</v>
      </c>
      <c r="BM948" t="s">
        <v>17414</v>
      </c>
      <c r="BN948" t="s">
        <v>74</v>
      </c>
      <c r="BO948" t="s">
        <v>74</v>
      </c>
      <c r="BP948" t="s">
        <v>74</v>
      </c>
      <c r="BQ948" t="s">
        <v>74</v>
      </c>
      <c r="BR948" t="s">
        <v>99</v>
      </c>
      <c r="BS948" t="s">
        <v>17415</v>
      </c>
      <c r="BT948" t="str">
        <f>HYPERLINK("https%3A%2F%2Fwww.webofscience.com%2Fwos%2Fwoscc%2Ffull-record%2FWOS:001049064800001","View Full Record in Web of Science")</f>
        <v>View Full Record in Web of Science</v>
      </c>
    </row>
    <row r="949" spans="1:72" x14ac:dyDescent="0.15">
      <c r="A949" t="s">
        <v>72</v>
      </c>
      <c r="B949" t="s">
        <v>17416</v>
      </c>
      <c r="C949" t="s">
        <v>74</v>
      </c>
      <c r="D949" t="s">
        <v>74</v>
      </c>
      <c r="E949" t="s">
        <v>74</v>
      </c>
      <c r="F949" t="s">
        <v>17417</v>
      </c>
      <c r="G949" t="s">
        <v>74</v>
      </c>
      <c r="H949" t="s">
        <v>74</v>
      </c>
      <c r="I949" t="s">
        <v>17418</v>
      </c>
      <c r="J949" t="s">
        <v>17419</v>
      </c>
      <c r="K949" t="s">
        <v>74</v>
      </c>
      <c r="L949" t="s">
        <v>74</v>
      </c>
      <c r="M949" t="s">
        <v>78</v>
      </c>
      <c r="N949" t="s">
        <v>1246</v>
      </c>
      <c r="O949" t="s">
        <v>74</v>
      </c>
      <c r="P949" t="s">
        <v>74</v>
      </c>
      <c r="Q949" t="s">
        <v>74</v>
      </c>
      <c r="R949" t="s">
        <v>74</v>
      </c>
      <c r="S949" t="s">
        <v>74</v>
      </c>
      <c r="T949" t="s">
        <v>17420</v>
      </c>
      <c r="U949" t="s">
        <v>17421</v>
      </c>
      <c r="V949" t="s">
        <v>17422</v>
      </c>
      <c r="W949" t="s">
        <v>17423</v>
      </c>
      <c r="X949" t="s">
        <v>74</v>
      </c>
      <c r="Y949" t="s">
        <v>17424</v>
      </c>
      <c r="Z949" t="s">
        <v>17425</v>
      </c>
      <c r="AA949" t="s">
        <v>74</v>
      </c>
      <c r="AB949" t="s">
        <v>74</v>
      </c>
      <c r="AC949" t="s">
        <v>74</v>
      </c>
      <c r="AD949" t="s">
        <v>74</v>
      </c>
      <c r="AE949" t="s">
        <v>74</v>
      </c>
      <c r="AF949" t="s">
        <v>74</v>
      </c>
      <c r="AG949">
        <v>45</v>
      </c>
      <c r="AH949">
        <v>0</v>
      </c>
      <c r="AI949">
        <v>0</v>
      </c>
      <c r="AJ949">
        <v>1</v>
      </c>
      <c r="AK949">
        <v>1</v>
      </c>
      <c r="AL949" t="s">
        <v>117</v>
      </c>
      <c r="AM949" t="s">
        <v>627</v>
      </c>
      <c r="AN949" t="s">
        <v>628</v>
      </c>
      <c r="AO949" t="s">
        <v>17426</v>
      </c>
      <c r="AP949" t="s">
        <v>17427</v>
      </c>
      <c r="AQ949" t="s">
        <v>74</v>
      </c>
      <c r="AR949" t="s">
        <v>17428</v>
      </c>
      <c r="AS949" t="s">
        <v>17429</v>
      </c>
      <c r="AT949" t="s">
        <v>17381</v>
      </c>
      <c r="AU949">
        <v>2023</v>
      </c>
      <c r="AV949" t="s">
        <v>74</v>
      </c>
      <c r="AW949" t="s">
        <v>74</v>
      </c>
      <c r="AX949" t="s">
        <v>74</v>
      </c>
      <c r="AY949" t="s">
        <v>74</v>
      </c>
      <c r="AZ949" t="s">
        <v>74</v>
      </c>
      <c r="BA949" t="s">
        <v>74</v>
      </c>
      <c r="BB949" t="s">
        <v>74</v>
      </c>
      <c r="BC949" t="s">
        <v>74</v>
      </c>
      <c r="BD949" t="s">
        <v>74</v>
      </c>
      <c r="BE949" t="s">
        <v>17430</v>
      </c>
      <c r="BF949" t="str">
        <f>HYPERLINK("http://dx.doi.org/10.1007/s11045-023-00884-w","http://dx.doi.org/10.1007/s11045-023-00884-w")</f>
        <v>http://dx.doi.org/10.1007/s11045-023-00884-w</v>
      </c>
      <c r="BG949" t="s">
        <v>74</v>
      </c>
      <c r="BH949" t="s">
        <v>10650</v>
      </c>
      <c r="BI949">
        <v>18</v>
      </c>
      <c r="BJ949" t="s">
        <v>17431</v>
      </c>
      <c r="BK949" t="s">
        <v>126</v>
      </c>
      <c r="BL949" t="s">
        <v>2493</v>
      </c>
      <c r="BM949" t="s">
        <v>17432</v>
      </c>
      <c r="BN949" t="s">
        <v>74</v>
      </c>
      <c r="BO949" t="s">
        <v>74</v>
      </c>
      <c r="BP949" t="s">
        <v>74</v>
      </c>
      <c r="BQ949" t="s">
        <v>74</v>
      </c>
      <c r="BR949" t="s">
        <v>99</v>
      </c>
      <c r="BS949" t="s">
        <v>17433</v>
      </c>
      <c r="BT949" t="str">
        <f>HYPERLINK("https%3A%2F%2Fwww.webofscience.com%2Fwos%2Fwoscc%2Ffull-record%2FWOS:001048071400001","View Full Record in Web of Science")</f>
        <v>View Full Record in Web of Science</v>
      </c>
    </row>
    <row r="950" spans="1:72" x14ac:dyDescent="0.15">
      <c r="A950" t="s">
        <v>72</v>
      </c>
      <c r="B950" t="s">
        <v>17434</v>
      </c>
      <c r="C950" t="s">
        <v>74</v>
      </c>
      <c r="D950" t="s">
        <v>74</v>
      </c>
      <c r="E950" t="s">
        <v>74</v>
      </c>
      <c r="F950" t="s">
        <v>17435</v>
      </c>
      <c r="G950" t="s">
        <v>74</v>
      </c>
      <c r="H950" t="s">
        <v>74</v>
      </c>
      <c r="I950" t="s">
        <v>17436</v>
      </c>
      <c r="J950" t="s">
        <v>3707</v>
      </c>
      <c r="K950" t="s">
        <v>74</v>
      </c>
      <c r="L950" t="s">
        <v>74</v>
      </c>
      <c r="M950" t="s">
        <v>78</v>
      </c>
      <c r="N950" t="s">
        <v>2174</v>
      </c>
      <c r="O950" t="s">
        <v>74</v>
      </c>
      <c r="P950" t="s">
        <v>74</v>
      </c>
      <c r="Q950" t="s">
        <v>74</v>
      </c>
      <c r="R950" t="s">
        <v>74</v>
      </c>
      <c r="S950" t="s">
        <v>74</v>
      </c>
      <c r="T950" t="s">
        <v>17437</v>
      </c>
      <c r="U950" t="s">
        <v>17438</v>
      </c>
      <c r="V950" t="s">
        <v>17439</v>
      </c>
      <c r="W950" t="s">
        <v>17440</v>
      </c>
      <c r="X950" t="s">
        <v>17441</v>
      </c>
      <c r="Y950" t="s">
        <v>17442</v>
      </c>
      <c r="Z950" t="s">
        <v>17443</v>
      </c>
      <c r="AA950" t="s">
        <v>74</v>
      </c>
      <c r="AB950" t="s">
        <v>74</v>
      </c>
      <c r="AC950" t="s">
        <v>74</v>
      </c>
      <c r="AD950" t="s">
        <v>74</v>
      </c>
      <c r="AE950" t="s">
        <v>74</v>
      </c>
      <c r="AF950" t="s">
        <v>74</v>
      </c>
      <c r="AG950">
        <v>141</v>
      </c>
      <c r="AH950">
        <v>0</v>
      </c>
      <c r="AI950">
        <v>0</v>
      </c>
      <c r="AJ950">
        <v>1</v>
      </c>
      <c r="AK950">
        <v>1</v>
      </c>
      <c r="AL950" t="s">
        <v>146</v>
      </c>
      <c r="AM950" t="s">
        <v>147</v>
      </c>
      <c r="AN950" t="s">
        <v>148</v>
      </c>
      <c r="AO950" t="s">
        <v>3717</v>
      </c>
      <c r="AP950" t="s">
        <v>3718</v>
      </c>
      <c r="AQ950" t="s">
        <v>74</v>
      </c>
      <c r="AR950" t="s">
        <v>3707</v>
      </c>
      <c r="AS950" t="s">
        <v>3719</v>
      </c>
      <c r="AT950" t="s">
        <v>17381</v>
      </c>
      <c r="AU950">
        <v>2023</v>
      </c>
      <c r="AV950" t="s">
        <v>74</v>
      </c>
      <c r="AW950" t="s">
        <v>74</v>
      </c>
      <c r="AX950" t="s">
        <v>74</v>
      </c>
      <c r="AY950" t="s">
        <v>74</v>
      </c>
      <c r="AZ950" t="s">
        <v>74</v>
      </c>
      <c r="BA950" t="s">
        <v>74</v>
      </c>
      <c r="BB950" t="s">
        <v>74</v>
      </c>
      <c r="BC950" t="s">
        <v>74</v>
      </c>
      <c r="BD950" t="s">
        <v>74</v>
      </c>
      <c r="BE950" t="s">
        <v>17444</v>
      </c>
      <c r="BF950" t="str">
        <f>HYPERLINK("http://dx.doi.org/10.1007/s00607-023-01208-3","http://dx.doi.org/10.1007/s00607-023-01208-3")</f>
        <v>http://dx.doi.org/10.1007/s00607-023-01208-3</v>
      </c>
      <c r="BG950" t="s">
        <v>74</v>
      </c>
      <c r="BH950" t="s">
        <v>10650</v>
      </c>
      <c r="BI950">
        <v>27</v>
      </c>
      <c r="BJ950" t="s">
        <v>2101</v>
      </c>
      <c r="BK950" t="s">
        <v>126</v>
      </c>
      <c r="BL950" t="s">
        <v>1139</v>
      </c>
      <c r="BM950" t="s">
        <v>17445</v>
      </c>
      <c r="BN950" t="s">
        <v>74</v>
      </c>
      <c r="BO950" t="s">
        <v>74</v>
      </c>
      <c r="BP950" t="s">
        <v>74</v>
      </c>
      <c r="BQ950" t="s">
        <v>74</v>
      </c>
      <c r="BR950" t="s">
        <v>99</v>
      </c>
      <c r="BS950" t="s">
        <v>17446</v>
      </c>
      <c r="BT950" t="str">
        <f>HYPERLINK("https%3A%2F%2Fwww.webofscience.com%2Fwos%2Fwoscc%2Ffull-record%2FWOS:001048083700001","View Full Record in Web of Science")</f>
        <v>View Full Record in Web of Science</v>
      </c>
    </row>
    <row r="951" spans="1:72" x14ac:dyDescent="0.15">
      <c r="A951" t="s">
        <v>72</v>
      </c>
      <c r="B951" t="s">
        <v>17447</v>
      </c>
      <c r="C951" t="s">
        <v>74</v>
      </c>
      <c r="D951" t="s">
        <v>74</v>
      </c>
      <c r="E951" t="s">
        <v>74</v>
      </c>
      <c r="F951" t="s">
        <v>17448</v>
      </c>
      <c r="G951" t="s">
        <v>74</v>
      </c>
      <c r="H951" t="s">
        <v>74</v>
      </c>
      <c r="I951" t="s">
        <v>17449</v>
      </c>
      <c r="J951" t="s">
        <v>17450</v>
      </c>
      <c r="K951" t="s">
        <v>74</v>
      </c>
      <c r="L951" t="s">
        <v>74</v>
      </c>
      <c r="M951" t="s">
        <v>78</v>
      </c>
      <c r="N951" t="s">
        <v>79</v>
      </c>
      <c r="O951" t="s">
        <v>74</v>
      </c>
      <c r="P951" t="s">
        <v>74</v>
      </c>
      <c r="Q951" t="s">
        <v>74</v>
      </c>
      <c r="R951" t="s">
        <v>74</v>
      </c>
      <c r="S951" t="s">
        <v>74</v>
      </c>
      <c r="T951" t="s">
        <v>17451</v>
      </c>
      <c r="U951" t="s">
        <v>17452</v>
      </c>
      <c r="V951" t="s">
        <v>17453</v>
      </c>
      <c r="W951" t="s">
        <v>17454</v>
      </c>
      <c r="X951" t="s">
        <v>74</v>
      </c>
      <c r="Y951" t="s">
        <v>17455</v>
      </c>
      <c r="Z951" t="s">
        <v>17456</v>
      </c>
      <c r="AA951" t="s">
        <v>74</v>
      </c>
      <c r="AB951" t="s">
        <v>74</v>
      </c>
      <c r="AC951" t="s">
        <v>74</v>
      </c>
      <c r="AD951" t="s">
        <v>74</v>
      </c>
      <c r="AE951" t="s">
        <v>74</v>
      </c>
      <c r="AF951" t="s">
        <v>74</v>
      </c>
      <c r="AG951">
        <v>36</v>
      </c>
      <c r="AH951">
        <v>0</v>
      </c>
      <c r="AI951">
        <v>0</v>
      </c>
      <c r="AJ951">
        <v>0</v>
      </c>
      <c r="AK951">
        <v>0</v>
      </c>
      <c r="AL951" t="s">
        <v>443</v>
      </c>
      <c r="AM951" t="s">
        <v>245</v>
      </c>
      <c r="AN951" t="s">
        <v>444</v>
      </c>
      <c r="AO951" t="s">
        <v>17457</v>
      </c>
      <c r="AP951" t="s">
        <v>74</v>
      </c>
      <c r="AQ951" t="s">
        <v>74</v>
      </c>
      <c r="AR951" t="s">
        <v>17458</v>
      </c>
      <c r="AS951" t="s">
        <v>17459</v>
      </c>
      <c r="AT951" t="s">
        <v>17396</v>
      </c>
      <c r="AU951">
        <v>2023</v>
      </c>
      <c r="AV951">
        <v>18</v>
      </c>
      <c r="AW951">
        <v>1</v>
      </c>
      <c r="AX951" t="s">
        <v>74</v>
      </c>
      <c r="AY951" t="s">
        <v>74</v>
      </c>
      <c r="AZ951" t="s">
        <v>74</v>
      </c>
      <c r="BA951" t="s">
        <v>74</v>
      </c>
      <c r="BB951" t="s">
        <v>74</v>
      </c>
      <c r="BC951" t="s">
        <v>74</v>
      </c>
      <c r="BD951">
        <v>43</v>
      </c>
      <c r="BE951" t="s">
        <v>17460</v>
      </c>
      <c r="BF951" t="str">
        <f>HYPERLINK("http://dx.doi.org/10.1186/s13006-023-00573-1","http://dx.doi.org/10.1186/s13006-023-00573-1")</f>
        <v>http://dx.doi.org/10.1186/s13006-023-00573-1</v>
      </c>
      <c r="BG951" t="s">
        <v>74</v>
      </c>
      <c r="BH951" t="s">
        <v>74</v>
      </c>
      <c r="BI951">
        <v>14</v>
      </c>
      <c r="BJ951" t="s">
        <v>6188</v>
      </c>
      <c r="BK951" t="s">
        <v>126</v>
      </c>
      <c r="BL951" t="s">
        <v>6188</v>
      </c>
      <c r="BM951" t="s">
        <v>17461</v>
      </c>
      <c r="BN951">
        <v>37580738</v>
      </c>
      <c r="BO951" t="s">
        <v>981</v>
      </c>
      <c r="BP951" t="s">
        <v>74</v>
      </c>
      <c r="BQ951" t="s">
        <v>74</v>
      </c>
      <c r="BR951" t="s">
        <v>99</v>
      </c>
      <c r="BS951" t="s">
        <v>17462</v>
      </c>
      <c r="BT951" t="str">
        <f>HYPERLINK("https%3A%2F%2Fwww.webofscience.com%2Fwos%2Fwoscc%2Ffull-record%2FWOS:001048701600002","View Full Record in Web of Science")</f>
        <v>View Full Record in Web of Science</v>
      </c>
    </row>
    <row r="952" spans="1:72" x14ac:dyDescent="0.15">
      <c r="A952" t="s">
        <v>72</v>
      </c>
      <c r="B952" t="s">
        <v>17463</v>
      </c>
      <c r="C952" t="s">
        <v>74</v>
      </c>
      <c r="D952" t="s">
        <v>74</v>
      </c>
      <c r="E952" t="s">
        <v>74</v>
      </c>
      <c r="F952" t="s">
        <v>17464</v>
      </c>
      <c r="G952" t="s">
        <v>74</v>
      </c>
      <c r="H952" t="s">
        <v>74</v>
      </c>
      <c r="I952" t="s">
        <v>17465</v>
      </c>
      <c r="J952" t="s">
        <v>17466</v>
      </c>
      <c r="K952" t="s">
        <v>74</v>
      </c>
      <c r="L952" t="s">
        <v>74</v>
      </c>
      <c r="M952" t="s">
        <v>78</v>
      </c>
      <c r="N952" t="s">
        <v>2174</v>
      </c>
      <c r="O952" t="s">
        <v>74</v>
      </c>
      <c r="P952" t="s">
        <v>74</v>
      </c>
      <c r="Q952" t="s">
        <v>74</v>
      </c>
      <c r="R952" t="s">
        <v>74</v>
      </c>
      <c r="S952" t="s">
        <v>74</v>
      </c>
      <c r="T952" t="s">
        <v>17467</v>
      </c>
      <c r="U952" t="s">
        <v>17468</v>
      </c>
      <c r="V952" t="s">
        <v>17469</v>
      </c>
      <c r="W952" t="s">
        <v>17470</v>
      </c>
      <c r="X952" t="s">
        <v>17471</v>
      </c>
      <c r="Y952" t="s">
        <v>17472</v>
      </c>
      <c r="Z952" t="s">
        <v>17473</v>
      </c>
      <c r="AA952" t="s">
        <v>74</v>
      </c>
      <c r="AB952" t="s">
        <v>74</v>
      </c>
      <c r="AC952" t="s">
        <v>14060</v>
      </c>
      <c r="AD952" t="s">
        <v>14060</v>
      </c>
      <c r="AE952" t="s">
        <v>14061</v>
      </c>
      <c r="AF952" t="s">
        <v>74</v>
      </c>
      <c r="AG952">
        <v>47</v>
      </c>
      <c r="AH952">
        <v>1</v>
      </c>
      <c r="AI952">
        <v>1</v>
      </c>
      <c r="AJ952">
        <v>1</v>
      </c>
      <c r="AK952">
        <v>1</v>
      </c>
      <c r="AL952" t="s">
        <v>844</v>
      </c>
      <c r="AM952" t="s">
        <v>845</v>
      </c>
      <c r="AN952" t="s">
        <v>933</v>
      </c>
      <c r="AO952" t="s">
        <v>17474</v>
      </c>
      <c r="AP952" t="s">
        <v>17475</v>
      </c>
      <c r="AQ952" t="s">
        <v>74</v>
      </c>
      <c r="AR952" t="s">
        <v>17476</v>
      </c>
      <c r="AS952" t="s">
        <v>17477</v>
      </c>
      <c r="AT952" t="s">
        <v>17381</v>
      </c>
      <c r="AU952">
        <v>2023</v>
      </c>
      <c r="AV952" t="s">
        <v>74</v>
      </c>
      <c r="AW952" t="s">
        <v>74</v>
      </c>
      <c r="AX952" t="s">
        <v>74</v>
      </c>
      <c r="AY952" t="s">
        <v>74</v>
      </c>
      <c r="AZ952" t="s">
        <v>74</v>
      </c>
      <c r="BA952" t="s">
        <v>74</v>
      </c>
      <c r="BB952" t="s">
        <v>74</v>
      </c>
      <c r="BC952" t="s">
        <v>74</v>
      </c>
      <c r="BD952" t="s">
        <v>74</v>
      </c>
      <c r="BE952" t="s">
        <v>17478</v>
      </c>
      <c r="BF952" t="str">
        <f>HYPERLINK("http://dx.doi.org/10.1007/s40857-023-00302-y","http://dx.doi.org/10.1007/s40857-023-00302-y")</f>
        <v>http://dx.doi.org/10.1007/s40857-023-00302-y</v>
      </c>
      <c r="BG952" t="s">
        <v>74</v>
      </c>
      <c r="BH952" t="s">
        <v>10650</v>
      </c>
      <c r="BI952">
        <v>11</v>
      </c>
      <c r="BJ952" t="s">
        <v>17479</v>
      </c>
      <c r="BK952" t="s">
        <v>126</v>
      </c>
      <c r="BL952" t="s">
        <v>17479</v>
      </c>
      <c r="BM952" t="s">
        <v>17480</v>
      </c>
      <c r="BN952" t="s">
        <v>74</v>
      </c>
      <c r="BO952" t="s">
        <v>183</v>
      </c>
      <c r="BP952" t="s">
        <v>74</v>
      </c>
      <c r="BQ952" t="s">
        <v>74</v>
      </c>
      <c r="BR952" t="s">
        <v>99</v>
      </c>
      <c r="BS952" t="s">
        <v>17481</v>
      </c>
      <c r="BT952" t="str">
        <f>HYPERLINK("https%3A%2F%2Fwww.webofscience.com%2Fwos%2Fwoscc%2Ffull-record%2FWOS:001048373100001","View Full Record in Web of Science")</f>
        <v>View Full Record in Web of Science</v>
      </c>
    </row>
    <row r="953" spans="1:72" x14ac:dyDescent="0.15">
      <c r="A953" t="s">
        <v>72</v>
      </c>
      <c r="B953" t="s">
        <v>17482</v>
      </c>
      <c r="C953" t="s">
        <v>74</v>
      </c>
      <c r="D953" t="s">
        <v>74</v>
      </c>
      <c r="E953" t="s">
        <v>74</v>
      </c>
      <c r="F953" t="s">
        <v>17483</v>
      </c>
      <c r="G953" t="s">
        <v>74</v>
      </c>
      <c r="H953" t="s">
        <v>74</v>
      </c>
      <c r="I953" t="s">
        <v>17484</v>
      </c>
      <c r="J953" t="s">
        <v>17485</v>
      </c>
      <c r="K953" t="s">
        <v>74</v>
      </c>
      <c r="L953" t="s">
        <v>74</v>
      </c>
      <c r="M953" t="s">
        <v>78</v>
      </c>
      <c r="N953" t="s">
        <v>1246</v>
      </c>
      <c r="O953" t="s">
        <v>74</v>
      </c>
      <c r="P953" t="s">
        <v>74</v>
      </c>
      <c r="Q953" t="s">
        <v>74</v>
      </c>
      <c r="R953" t="s">
        <v>74</v>
      </c>
      <c r="S953" t="s">
        <v>74</v>
      </c>
      <c r="T953" t="s">
        <v>17486</v>
      </c>
      <c r="U953" t="s">
        <v>17487</v>
      </c>
      <c r="V953" t="s">
        <v>17488</v>
      </c>
      <c r="W953" t="s">
        <v>17489</v>
      </c>
      <c r="X953" t="s">
        <v>17490</v>
      </c>
      <c r="Y953" t="s">
        <v>17491</v>
      </c>
      <c r="Z953" t="s">
        <v>17492</v>
      </c>
      <c r="AA953" t="s">
        <v>74</v>
      </c>
      <c r="AB953" t="s">
        <v>74</v>
      </c>
      <c r="AC953" t="s">
        <v>17493</v>
      </c>
      <c r="AD953" t="s">
        <v>17493</v>
      </c>
      <c r="AE953" t="s">
        <v>17494</v>
      </c>
      <c r="AF953" t="s">
        <v>74</v>
      </c>
      <c r="AG953">
        <v>68</v>
      </c>
      <c r="AH953">
        <v>0</v>
      </c>
      <c r="AI953">
        <v>0</v>
      </c>
      <c r="AJ953">
        <v>2</v>
      </c>
      <c r="AK953">
        <v>2</v>
      </c>
      <c r="AL953" t="s">
        <v>117</v>
      </c>
      <c r="AM953" t="s">
        <v>627</v>
      </c>
      <c r="AN953" t="s">
        <v>628</v>
      </c>
      <c r="AO953" t="s">
        <v>17495</v>
      </c>
      <c r="AP953" t="s">
        <v>17496</v>
      </c>
      <c r="AQ953" t="s">
        <v>74</v>
      </c>
      <c r="AR953" t="s">
        <v>17497</v>
      </c>
      <c r="AS953" t="s">
        <v>17498</v>
      </c>
      <c r="AT953" t="s">
        <v>17381</v>
      </c>
      <c r="AU953">
        <v>2023</v>
      </c>
      <c r="AV953" t="s">
        <v>74</v>
      </c>
      <c r="AW953" t="s">
        <v>74</v>
      </c>
      <c r="AX953" t="s">
        <v>74</v>
      </c>
      <c r="AY953" t="s">
        <v>74</v>
      </c>
      <c r="AZ953" t="s">
        <v>74</v>
      </c>
      <c r="BA953" t="s">
        <v>74</v>
      </c>
      <c r="BB953" t="s">
        <v>74</v>
      </c>
      <c r="BC953" t="s">
        <v>74</v>
      </c>
      <c r="BD953" t="s">
        <v>74</v>
      </c>
      <c r="BE953" t="s">
        <v>17499</v>
      </c>
      <c r="BF953" t="str">
        <f>HYPERLINK("http://dx.doi.org/10.1007/s10649-023-10250-z","http://dx.doi.org/10.1007/s10649-023-10250-z")</f>
        <v>http://dx.doi.org/10.1007/s10649-023-10250-z</v>
      </c>
      <c r="BG953" t="s">
        <v>74</v>
      </c>
      <c r="BH953" t="s">
        <v>10650</v>
      </c>
      <c r="BI953">
        <v>20</v>
      </c>
      <c r="BJ953" t="s">
        <v>3226</v>
      </c>
      <c r="BK953" t="s">
        <v>425</v>
      </c>
      <c r="BL953" t="s">
        <v>3226</v>
      </c>
      <c r="BM953" t="s">
        <v>17500</v>
      </c>
      <c r="BN953" t="s">
        <v>74</v>
      </c>
      <c r="BO953" t="s">
        <v>183</v>
      </c>
      <c r="BP953" t="s">
        <v>74</v>
      </c>
      <c r="BQ953" t="s">
        <v>74</v>
      </c>
      <c r="BR953" t="s">
        <v>99</v>
      </c>
      <c r="BS953" t="s">
        <v>17501</v>
      </c>
      <c r="BT953" t="str">
        <f>HYPERLINK("https%3A%2F%2Fwww.webofscience.com%2Fwos%2Fwoscc%2Ffull-record%2FWOS:001048376200001","View Full Record in Web of Science")</f>
        <v>View Full Record in Web of Science</v>
      </c>
    </row>
    <row r="954" spans="1:72" x14ac:dyDescent="0.15">
      <c r="A954" t="s">
        <v>72</v>
      </c>
      <c r="B954" t="s">
        <v>17502</v>
      </c>
      <c r="C954" t="s">
        <v>74</v>
      </c>
      <c r="D954" t="s">
        <v>74</v>
      </c>
      <c r="E954" t="s">
        <v>74</v>
      </c>
      <c r="F954" t="s">
        <v>17503</v>
      </c>
      <c r="G954" t="s">
        <v>74</v>
      </c>
      <c r="H954" t="s">
        <v>74</v>
      </c>
      <c r="I954" t="s">
        <v>17504</v>
      </c>
      <c r="J954" t="s">
        <v>17505</v>
      </c>
      <c r="K954" t="s">
        <v>74</v>
      </c>
      <c r="L954" t="s">
        <v>74</v>
      </c>
      <c r="M954" t="s">
        <v>78</v>
      </c>
      <c r="N954" t="s">
        <v>1246</v>
      </c>
      <c r="O954" t="s">
        <v>74</v>
      </c>
      <c r="P954" t="s">
        <v>74</v>
      </c>
      <c r="Q954" t="s">
        <v>74</v>
      </c>
      <c r="R954" t="s">
        <v>74</v>
      </c>
      <c r="S954" t="s">
        <v>74</v>
      </c>
      <c r="T954" t="s">
        <v>17506</v>
      </c>
      <c r="U954" t="s">
        <v>17507</v>
      </c>
      <c r="V954" t="s">
        <v>17508</v>
      </c>
      <c r="W954" t="s">
        <v>17509</v>
      </c>
      <c r="X954" t="s">
        <v>17510</v>
      </c>
      <c r="Y954" t="s">
        <v>17511</v>
      </c>
      <c r="Z954" t="s">
        <v>17512</v>
      </c>
      <c r="AA954" t="s">
        <v>17513</v>
      </c>
      <c r="AB954" t="s">
        <v>17514</v>
      </c>
      <c r="AC954" t="s">
        <v>17515</v>
      </c>
      <c r="AD954" t="s">
        <v>17516</v>
      </c>
      <c r="AE954" t="s">
        <v>17517</v>
      </c>
      <c r="AF954" t="s">
        <v>74</v>
      </c>
      <c r="AG954">
        <v>10</v>
      </c>
      <c r="AH954">
        <v>0</v>
      </c>
      <c r="AI954">
        <v>0</v>
      </c>
      <c r="AJ954">
        <v>2</v>
      </c>
      <c r="AK954">
        <v>2</v>
      </c>
      <c r="AL954" t="s">
        <v>117</v>
      </c>
      <c r="AM954" t="s">
        <v>118</v>
      </c>
      <c r="AN954" t="s">
        <v>119</v>
      </c>
      <c r="AO954" t="s">
        <v>17518</v>
      </c>
      <c r="AP954" t="s">
        <v>17519</v>
      </c>
      <c r="AQ954" t="s">
        <v>74</v>
      </c>
      <c r="AR954" t="s">
        <v>17505</v>
      </c>
      <c r="AS954" t="s">
        <v>17520</v>
      </c>
      <c r="AT954" t="s">
        <v>17381</v>
      </c>
      <c r="AU954">
        <v>2023</v>
      </c>
      <c r="AV954" t="s">
        <v>74</v>
      </c>
      <c r="AW954" t="s">
        <v>74</v>
      </c>
      <c r="AX954" t="s">
        <v>74</v>
      </c>
      <c r="AY954" t="s">
        <v>74</v>
      </c>
      <c r="AZ954" t="s">
        <v>74</v>
      </c>
      <c r="BA954" t="s">
        <v>74</v>
      </c>
      <c r="BB954" t="s">
        <v>74</v>
      </c>
      <c r="BC954" t="s">
        <v>74</v>
      </c>
      <c r="BD954" t="s">
        <v>74</v>
      </c>
      <c r="BE954" t="s">
        <v>17521</v>
      </c>
      <c r="BF954" t="str">
        <f>HYPERLINK("http://dx.doi.org/10.1007/s00125-023-05990-9","http://dx.doi.org/10.1007/s00125-023-05990-9")</f>
        <v>http://dx.doi.org/10.1007/s00125-023-05990-9</v>
      </c>
      <c r="BG954" t="s">
        <v>74</v>
      </c>
      <c r="BH954" t="s">
        <v>10650</v>
      </c>
      <c r="BI954">
        <v>6</v>
      </c>
      <c r="BJ954" t="s">
        <v>5606</v>
      </c>
      <c r="BK954" t="s">
        <v>126</v>
      </c>
      <c r="BL954" t="s">
        <v>5606</v>
      </c>
      <c r="BM954" t="s">
        <v>17522</v>
      </c>
      <c r="BN954">
        <v>37581619</v>
      </c>
      <c r="BO954" t="s">
        <v>183</v>
      </c>
      <c r="BP954" t="s">
        <v>74</v>
      </c>
      <c r="BQ954" t="s">
        <v>74</v>
      </c>
      <c r="BR954" t="s">
        <v>99</v>
      </c>
      <c r="BS954" t="s">
        <v>17523</v>
      </c>
      <c r="BT954" t="str">
        <f>HYPERLINK("https%3A%2F%2Fwww.webofscience.com%2Fwos%2Fwoscc%2Ffull-record%2FWOS:001049085400001","View Full Record in Web of Science")</f>
        <v>View Full Record in Web of Science</v>
      </c>
    </row>
    <row r="955" spans="1:72" x14ac:dyDescent="0.15">
      <c r="A955" t="s">
        <v>72</v>
      </c>
      <c r="B955" t="s">
        <v>17524</v>
      </c>
      <c r="C955" t="s">
        <v>74</v>
      </c>
      <c r="D955" t="s">
        <v>74</v>
      </c>
      <c r="E955" t="s">
        <v>74</v>
      </c>
      <c r="F955" t="s">
        <v>17525</v>
      </c>
      <c r="G955" t="s">
        <v>74</v>
      </c>
      <c r="H955" t="s">
        <v>74</v>
      </c>
      <c r="I955" t="s">
        <v>17526</v>
      </c>
      <c r="J955" t="s">
        <v>17527</v>
      </c>
      <c r="K955" t="s">
        <v>74</v>
      </c>
      <c r="L955" t="s">
        <v>74</v>
      </c>
      <c r="M955" t="s">
        <v>4349</v>
      </c>
      <c r="N955" t="s">
        <v>952</v>
      </c>
      <c r="O955" t="s">
        <v>74</v>
      </c>
      <c r="P955" t="s">
        <v>74</v>
      </c>
      <c r="Q955" t="s">
        <v>74</v>
      </c>
      <c r="R955" t="s">
        <v>74</v>
      </c>
      <c r="S955" t="s">
        <v>74</v>
      </c>
      <c r="T955" t="s">
        <v>74</v>
      </c>
      <c r="U955" t="s">
        <v>17528</v>
      </c>
      <c r="V955" t="s">
        <v>74</v>
      </c>
      <c r="W955" t="s">
        <v>17529</v>
      </c>
      <c r="X955" t="s">
        <v>17530</v>
      </c>
      <c r="Y955" t="s">
        <v>17531</v>
      </c>
      <c r="Z955" t="s">
        <v>17532</v>
      </c>
      <c r="AA955" t="s">
        <v>74</v>
      </c>
      <c r="AB955" t="s">
        <v>74</v>
      </c>
      <c r="AC955" t="s">
        <v>74</v>
      </c>
      <c r="AD955" t="s">
        <v>74</v>
      </c>
      <c r="AE955" t="s">
        <v>74</v>
      </c>
      <c r="AF955" t="s">
        <v>74</v>
      </c>
      <c r="AG955">
        <v>19</v>
      </c>
      <c r="AH955">
        <v>0</v>
      </c>
      <c r="AI955">
        <v>0</v>
      </c>
      <c r="AJ955">
        <v>0</v>
      </c>
      <c r="AK955">
        <v>0</v>
      </c>
      <c r="AL955" t="s">
        <v>172</v>
      </c>
      <c r="AM955" t="s">
        <v>173</v>
      </c>
      <c r="AN955" t="s">
        <v>174</v>
      </c>
      <c r="AO955" t="s">
        <v>17533</v>
      </c>
      <c r="AP955" t="s">
        <v>17534</v>
      </c>
      <c r="AQ955" t="s">
        <v>74</v>
      </c>
      <c r="AR955" t="s">
        <v>17535</v>
      </c>
      <c r="AS955" t="s">
        <v>17536</v>
      </c>
      <c r="AT955" t="s">
        <v>8614</v>
      </c>
      <c r="AU955">
        <v>2023</v>
      </c>
      <c r="AV955">
        <v>21</v>
      </c>
      <c r="AW955">
        <v>3</v>
      </c>
      <c r="AX955" t="s">
        <v>74</v>
      </c>
      <c r="AY955" t="s">
        <v>74</v>
      </c>
      <c r="AZ955" t="s">
        <v>5146</v>
      </c>
      <c r="BA955" t="s">
        <v>74</v>
      </c>
      <c r="BB955">
        <v>221</v>
      </c>
      <c r="BC955">
        <v>224</v>
      </c>
      <c r="BD955" t="s">
        <v>74</v>
      </c>
      <c r="BE955" t="s">
        <v>17537</v>
      </c>
      <c r="BF955" t="str">
        <f>HYPERLINK("http://dx.doi.org/10.1007/s10304-023-00517-2","http://dx.doi.org/10.1007/s10304-023-00517-2")</f>
        <v>http://dx.doi.org/10.1007/s10304-023-00517-2</v>
      </c>
      <c r="BG955" t="s">
        <v>74</v>
      </c>
      <c r="BH955" t="s">
        <v>10650</v>
      </c>
      <c r="BI955">
        <v>4</v>
      </c>
      <c r="BJ955" t="s">
        <v>5606</v>
      </c>
      <c r="BK955" t="s">
        <v>97</v>
      </c>
      <c r="BL955" t="s">
        <v>5606</v>
      </c>
      <c r="BM955" t="s">
        <v>17538</v>
      </c>
      <c r="BN955" t="s">
        <v>74</v>
      </c>
      <c r="BO955" t="s">
        <v>74</v>
      </c>
      <c r="BP955" t="s">
        <v>74</v>
      </c>
      <c r="BQ955" t="s">
        <v>74</v>
      </c>
      <c r="BR955" t="s">
        <v>99</v>
      </c>
      <c r="BS955" t="s">
        <v>17539</v>
      </c>
      <c r="BT955" t="str">
        <f>HYPERLINK("https%3A%2F%2Fwww.webofscience.com%2Fwos%2Fwoscc%2Ffull-record%2FWOS:001051868400001","View Full Record in Web of Science")</f>
        <v>View Full Record in Web of Science</v>
      </c>
    </row>
    <row r="956" spans="1:72" x14ac:dyDescent="0.15">
      <c r="A956" t="s">
        <v>72</v>
      </c>
      <c r="B956" t="s">
        <v>17540</v>
      </c>
      <c r="C956" t="s">
        <v>74</v>
      </c>
      <c r="D956" t="s">
        <v>74</v>
      </c>
      <c r="E956" t="s">
        <v>74</v>
      </c>
      <c r="F956" t="s">
        <v>17541</v>
      </c>
      <c r="G956" t="s">
        <v>74</v>
      </c>
      <c r="H956" t="s">
        <v>74</v>
      </c>
      <c r="I956" t="s">
        <v>17542</v>
      </c>
      <c r="J956" t="s">
        <v>16805</v>
      </c>
      <c r="K956" t="s">
        <v>74</v>
      </c>
      <c r="L956" t="s">
        <v>74</v>
      </c>
      <c r="M956" t="s">
        <v>78</v>
      </c>
      <c r="N956" t="s">
        <v>79</v>
      </c>
      <c r="O956" t="s">
        <v>74</v>
      </c>
      <c r="P956" t="s">
        <v>74</v>
      </c>
      <c r="Q956" t="s">
        <v>74</v>
      </c>
      <c r="R956" t="s">
        <v>74</v>
      </c>
      <c r="S956" t="s">
        <v>74</v>
      </c>
      <c r="T956" t="s">
        <v>17543</v>
      </c>
      <c r="U956" t="s">
        <v>17544</v>
      </c>
      <c r="V956" t="s">
        <v>17545</v>
      </c>
      <c r="W956" t="s">
        <v>17546</v>
      </c>
      <c r="X956" t="s">
        <v>6834</v>
      </c>
      <c r="Y956" t="s">
        <v>17547</v>
      </c>
      <c r="Z956" t="s">
        <v>17548</v>
      </c>
      <c r="AA956" t="s">
        <v>74</v>
      </c>
      <c r="AB956" t="s">
        <v>74</v>
      </c>
      <c r="AC956" t="s">
        <v>74</v>
      </c>
      <c r="AD956" t="s">
        <v>74</v>
      </c>
      <c r="AE956" t="s">
        <v>74</v>
      </c>
      <c r="AF956" t="s">
        <v>74</v>
      </c>
      <c r="AG956">
        <v>33</v>
      </c>
      <c r="AH956">
        <v>0</v>
      </c>
      <c r="AI956">
        <v>0</v>
      </c>
      <c r="AJ956">
        <v>1</v>
      </c>
      <c r="AK956">
        <v>1</v>
      </c>
      <c r="AL956" t="s">
        <v>443</v>
      </c>
      <c r="AM956" t="s">
        <v>245</v>
      </c>
      <c r="AN956" t="s">
        <v>444</v>
      </c>
      <c r="AO956" t="s">
        <v>74</v>
      </c>
      <c r="AP956" t="s">
        <v>16812</v>
      </c>
      <c r="AQ956" t="s">
        <v>74</v>
      </c>
      <c r="AR956" t="s">
        <v>16813</v>
      </c>
      <c r="AS956" t="s">
        <v>16814</v>
      </c>
      <c r="AT956" t="s">
        <v>17396</v>
      </c>
      <c r="AU956">
        <v>2023</v>
      </c>
      <c r="AV956">
        <v>23</v>
      </c>
      <c r="AW956">
        <v>1</v>
      </c>
      <c r="AX956" t="s">
        <v>74</v>
      </c>
      <c r="AY956" t="s">
        <v>74</v>
      </c>
      <c r="AZ956" t="s">
        <v>74</v>
      </c>
      <c r="BA956" t="s">
        <v>74</v>
      </c>
      <c r="BB956" t="s">
        <v>74</v>
      </c>
      <c r="BC956" t="s">
        <v>74</v>
      </c>
      <c r="BD956">
        <v>356</v>
      </c>
      <c r="BE956" t="s">
        <v>17549</v>
      </c>
      <c r="BF956" t="str">
        <f>HYPERLINK("http://dx.doi.org/10.1186/s12886-023-03101-1","http://dx.doi.org/10.1186/s12886-023-03101-1")</f>
        <v>http://dx.doi.org/10.1186/s12886-023-03101-1</v>
      </c>
      <c r="BG956" t="s">
        <v>74</v>
      </c>
      <c r="BH956" t="s">
        <v>74</v>
      </c>
      <c r="BI956">
        <v>10</v>
      </c>
      <c r="BJ956" t="s">
        <v>7038</v>
      </c>
      <c r="BK956" t="s">
        <v>126</v>
      </c>
      <c r="BL956" t="s">
        <v>7038</v>
      </c>
      <c r="BM956" t="s">
        <v>17550</v>
      </c>
      <c r="BN956">
        <v>37582698</v>
      </c>
      <c r="BO956" t="s">
        <v>157</v>
      </c>
      <c r="BP956" t="s">
        <v>74</v>
      </c>
      <c r="BQ956" t="s">
        <v>74</v>
      </c>
      <c r="BR956" t="s">
        <v>99</v>
      </c>
      <c r="BS956" t="s">
        <v>17551</v>
      </c>
      <c r="BT956" t="str">
        <f>HYPERLINK("https%3A%2F%2Fwww.webofscience.com%2Fwos%2Fwoscc%2Ffull-record%2FWOS:001048338200001","View Full Record in Web of Science")</f>
        <v>View Full Record in Web of Science</v>
      </c>
    </row>
    <row r="957" spans="1:72" x14ac:dyDescent="0.15">
      <c r="A957" t="s">
        <v>72</v>
      </c>
      <c r="B957" t="s">
        <v>17552</v>
      </c>
      <c r="C957" t="s">
        <v>74</v>
      </c>
      <c r="D957" t="s">
        <v>74</v>
      </c>
      <c r="E957" t="s">
        <v>74</v>
      </c>
      <c r="F957" t="s">
        <v>17553</v>
      </c>
      <c r="G957" t="s">
        <v>74</v>
      </c>
      <c r="H957" t="s">
        <v>74</v>
      </c>
      <c r="I957" t="s">
        <v>17554</v>
      </c>
      <c r="J957" t="s">
        <v>17555</v>
      </c>
      <c r="K957" t="s">
        <v>74</v>
      </c>
      <c r="L957" t="s">
        <v>74</v>
      </c>
      <c r="M957" t="s">
        <v>78</v>
      </c>
      <c r="N957" t="s">
        <v>1246</v>
      </c>
      <c r="O957" t="s">
        <v>74</v>
      </c>
      <c r="P957" t="s">
        <v>74</v>
      </c>
      <c r="Q957" t="s">
        <v>74</v>
      </c>
      <c r="R957" t="s">
        <v>74</v>
      </c>
      <c r="S957" t="s">
        <v>74</v>
      </c>
      <c r="T957" t="s">
        <v>17556</v>
      </c>
      <c r="U957" t="s">
        <v>17557</v>
      </c>
      <c r="V957" t="s">
        <v>17558</v>
      </c>
      <c r="W957" t="s">
        <v>17559</v>
      </c>
      <c r="X957" t="s">
        <v>17560</v>
      </c>
      <c r="Y957" t="s">
        <v>17561</v>
      </c>
      <c r="Z957" t="s">
        <v>17562</v>
      </c>
      <c r="AA957" t="s">
        <v>74</v>
      </c>
      <c r="AB957" t="s">
        <v>74</v>
      </c>
      <c r="AC957" t="s">
        <v>74</v>
      </c>
      <c r="AD957" t="s">
        <v>74</v>
      </c>
      <c r="AE957" t="s">
        <v>74</v>
      </c>
      <c r="AF957" t="s">
        <v>74</v>
      </c>
      <c r="AG957">
        <v>76</v>
      </c>
      <c r="AH957">
        <v>0</v>
      </c>
      <c r="AI957">
        <v>0</v>
      </c>
      <c r="AJ957">
        <v>0</v>
      </c>
      <c r="AK957">
        <v>0</v>
      </c>
      <c r="AL957" t="s">
        <v>117</v>
      </c>
      <c r="AM957" t="s">
        <v>118</v>
      </c>
      <c r="AN957" t="s">
        <v>119</v>
      </c>
      <c r="AO957" t="s">
        <v>17563</v>
      </c>
      <c r="AP957" t="s">
        <v>17564</v>
      </c>
      <c r="AQ957" t="s">
        <v>74</v>
      </c>
      <c r="AR957" t="s">
        <v>17565</v>
      </c>
      <c r="AS957" t="s">
        <v>17566</v>
      </c>
      <c r="AT957" t="s">
        <v>17381</v>
      </c>
      <c r="AU957">
        <v>2023</v>
      </c>
      <c r="AV957" t="s">
        <v>74</v>
      </c>
      <c r="AW957" t="s">
        <v>74</v>
      </c>
      <c r="AX957" t="s">
        <v>74</v>
      </c>
      <c r="AY957" t="s">
        <v>74</v>
      </c>
      <c r="AZ957" t="s">
        <v>74</v>
      </c>
      <c r="BA957" t="s">
        <v>74</v>
      </c>
      <c r="BB957" t="s">
        <v>74</v>
      </c>
      <c r="BC957" t="s">
        <v>74</v>
      </c>
      <c r="BD957" t="s">
        <v>74</v>
      </c>
      <c r="BE957" t="s">
        <v>17567</v>
      </c>
      <c r="BF957" t="str">
        <f>HYPERLINK("http://dx.doi.org/10.1007/s12528-023-09383-0","http://dx.doi.org/10.1007/s12528-023-09383-0")</f>
        <v>http://dx.doi.org/10.1007/s12528-023-09383-0</v>
      </c>
      <c r="BG957" t="s">
        <v>74</v>
      </c>
      <c r="BH957" t="s">
        <v>10650</v>
      </c>
      <c r="BI957">
        <v>29</v>
      </c>
      <c r="BJ957" t="s">
        <v>3226</v>
      </c>
      <c r="BK957" t="s">
        <v>425</v>
      </c>
      <c r="BL957" t="s">
        <v>3226</v>
      </c>
      <c r="BM957" t="s">
        <v>17568</v>
      </c>
      <c r="BN957" t="s">
        <v>74</v>
      </c>
      <c r="BO957" t="s">
        <v>74</v>
      </c>
      <c r="BP957" t="s">
        <v>74</v>
      </c>
      <c r="BQ957" t="s">
        <v>74</v>
      </c>
      <c r="BR957" t="s">
        <v>99</v>
      </c>
      <c r="BS957" t="s">
        <v>17569</v>
      </c>
      <c r="BT957" t="str">
        <f>HYPERLINK("https%3A%2F%2Fwww.webofscience.com%2Fwos%2Fwoscc%2Ffull-record%2FWOS:001048368000001","View Full Record in Web of Science")</f>
        <v>View Full Record in Web of Science</v>
      </c>
    </row>
    <row r="958" spans="1:72" x14ac:dyDescent="0.15">
      <c r="A958" t="s">
        <v>72</v>
      </c>
      <c r="B958" t="s">
        <v>17570</v>
      </c>
      <c r="C958" t="s">
        <v>74</v>
      </c>
      <c r="D958" t="s">
        <v>74</v>
      </c>
      <c r="E958" t="s">
        <v>74</v>
      </c>
      <c r="F958" t="s">
        <v>17571</v>
      </c>
      <c r="G958" t="s">
        <v>74</v>
      </c>
      <c r="H958" t="s">
        <v>74</v>
      </c>
      <c r="I958" t="s">
        <v>17572</v>
      </c>
      <c r="J958" t="s">
        <v>17573</v>
      </c>
      <c r="K958" t="s">
        <v>74</v>
      </c>
      <c r="L958" t="s">
        <v>74</v>
      </c>
      <c r="M958" t="s">
        <v>78</v>
      </c>
      <c r="N958" t="s">
        <v>79</v>
      </c>
      <c r="O958" t="s">
        <v>74</v>
      </c>
      <c r="P958" t="s">
        <v>74</v>
      </c>
      <c r="Q958" t="s">
        <v>74</v>
      </c>
      <c r="R958" t="s">
        <v>74</v>
      </c>
      <c r="S958" t="s">
        <v>74</v>
      </c>
      <c r="T958" t="s">
        <v>17574</v>
      </c>
      <c r="U958" t="s">
        <v>17575</v>
      </c>
      <c r="V958" t="s">
        <v>17576</v>
      </c>
      <c r="W958" t="s">
        <v>17577</v>
      </c>
      <c r="X958" t="s">
        <v>17578</v>
      </c>
      <c r="Y958" t="s">
        <v>17579</v>
      </c>
      <c r="Z958" t="s">
        <v>17580</v>
      </c>
      <c r="AA958" t="s">
        <v>74</v>
      </c>
      <c r="AB958" t="s">
        <v>17581</v>
      </c>
      <c r="AC958" t="s">
        <v>17582</v>
      </c>
      <c r="AD958" t="s">
        <v>17582</v>
      </c>
      <c r="AE958" t="s">
        <v>17583</v>
      </c>
      <c r="AF958" t="s">
        <v>74</v>
      </c>
      <c r="AG958">
        <v>39</v>
      </c>
      <c r="AH958">
        <v>0</v>
      </c>
      <c r="AI958">
        <v>0</v>
      </c>
      <c r="AJ958">
        <v>0</v>
      </c>
      <c r="AK958">
        <v>0</v>
      </c>
      <c r="AL958" t="s">
        <v>117</v>
      </c>
      <c r="AM958" t="s">
        <v>118</v>
      </c>
      <c r="AN958" t="s">
        <v>119</v>
      </c>
      <c r="AO958" t="s">
        <v>17584</v>
      </c>
      <c r="AP958" t="s">
        <v>17585</v>
      </c>
      <c r="AQ958" t="s">
        <v>74</v>
      </c>
      <c r="AR958" t="s">
        <v>17586</v>
      </c>
      <c r="AS958" t="s">
        <v>17587</v>
      </c>
      <c r="AT958" t="s">
        <v>17396</v>
      </c>
      <c r="AU958">
        <v>2023</v>
      </c>
      <c r="AV958">
        <v>408</v>
      </c>
      <c r="AW958">
        <v>1</v>
      </c>
      <c r="AX958" t="s">
        <v>74</v>
      </c>
      <c r="AY958" t="s">
        <v>74</v>
      </c>
      <c r="AZ958" t="s">
        <v>74</v>
      </c>
      <c r="BA958" t="s">
        <v>74</v>
      </c>
      <c r="BB958" t="s">
        <v>74</v>
      </c>
      <c r="BC958" t="s">
        <v>74</v>
      </c>
      <c r="BD958">
        <v>310</v>
      </c>
      <c r="BE958" t="s">
        <v>17588</v>
      </c>
      <c r="BF958" t="str">
        <f>HYPERLINK("http://dx.doi.org/10.1007/s00423-023-03054-5","http://dx.doi.org/10.1007/s00423-023-03054-5")</f>
        <v>http://dx.doi.org/10.1007/s00423-023-03054-5</v>
      </c>
      <c r="BG958" t="s">
        <v>74</v>
      </c>
      <c r="BH958" t="s">
        <v>74</v>
      </c>
      <c r="BI958">
        <v>8</v>
      </c>
      <c r="BJ958" t="s">
        <v>2373</v>
      </c>
      <c r="BK958" t="s">
        <v>126</v>
      </c>
      <c r="BL958" t="s">
        <v>2373</v>
      </c>
      <c r="BM958" t="s">
        <v>17589</v>
      </c>
      <c r="BN958">
        <v>37580555</v>
      </c>
      <c r="BO958" t="s">
        <v>674</v>
      </c>
      <c r="BP958" t="s">
        <v>74</v>
      </c>
      <c r="BQ958" t="s">
        <v>74</v>
      </c>
      <c r="BR958" t="s">
        <v>99</v>
      </c>
      <c r="BS958" t="s">
        <v>17590</v>
      </c>
      <c r="BT958" t="str">
        <f>HYPERLINK("https%3A%2F%2Fwww.webofscience.com%2Fwos%2Fwoscc%2Ffull-record%2FWOS:001048637700001","View Full Record in Web of Science")</f>
        <v>View Full Record in Web of Science</v>
      </c>
    </row>
    <row r="959" spans="1:72" x14ac:dyDescent="0.15">
      <c r="A959" t="s">
        <v>72</v>
      </c>
      <c r="B959" t="s">
        <v>17591</v>
      </c>
      <c r="C959" t="s">
        <v>74</v>
      </c>
      <c r="D959" t="s">
        <v>74</v>
      </c>
      <c r="E959" t="s">
        <v>74</v>
      </c>
      <c r="F959" t="s">
        <v>17592</v>
      </c>
      <c r="G959" t="s">
        <v>74</v>
      </c>
      <c r="H959" t="s">
        <v>74</v>
      </c>
      <c r="I959" t="s">
        <v>17593</v>
      </c>
      <c r="J959" t="s">
        <v>17594</v>
      </c>
      <c r="K959" t="s">
        <v>74</v>
      </c>
      <c r="L959" t="s">
        <v>74</v>
      </c>
      <c r="M959" t="s">
        <v>78</v>
      </c>
      <c r="N959" t="s">
        <v>1246</v>
      </c>
      <c r="O959" t="s">
        <v>74</v>
      </c>
      <c r="P959" t="s">
        <v>74</v>
      </c>
      <c r="Q959" t="s">
        <v>74</v>
      </c>
      <c r="R959" t="s">
        <v>74</v>
      </c>
      <c r="S959" t="s">
        <v>74</v>
      </c>
      <c r="T959" t="s">
        <v>17595</v>
      </c>
      <c r="U959" t="s">
        <v>17596</v>
      </c>
      <c r="V959" t="s">
        <v>17597</v>
      </c>
      <c r="W959" t="s">
        <v>17598</v>
      </c>
      <c r="X959" t="s">
        <v>17599</v>
      </c>
      <c r="Y959" t="s">
        <v>17600</v>
      </c>
      <c r="Z959" t="s">
        <v>17601</v>
      </c>
      <c r="AA959" t="s">
        <v>74</v>
      </c>
      <c r="AB959" t="s">
        <v>17602</v>
      </c>
      <c r="AC959" t="s">
        <v>74</v>
      </c>
      <c r="AD959" t="s">
        <v>74</v>
      </c>
      <c r="AE959" t="s">
        <v>74</v>
      </c>
      <c r="AF959" t="s">
        <v>74</v>
      </c>
      <c r="AG959">
        <v>20</v>
      </c>
      <c r="AH959">
        <v>0</v>
      </c>
      <c r="AI959">
        <v>0</v>
      </c>
      <c r="AJ959">
        <v>0</v>
      </c>
      <c r="AK959">
        <v>0</v>
      </c>
      <c r="AL959" t="s">
        <v>1500</v>
      </c>
      <c r="AM959" t="s">
        <v>1501</v>
      </c>
      <c r="AN959" t="s">
        <v>1502</v>
      </c>
      <c r="AO959" t="s">
        <v>17603</v>
      </c>
      <c r="AP959" t="s">
        <v>17604</v>
      </c>
      <c r="AQ959" t="s">
        <v>74</v>
      </c>
      <c r="AR959" t="s">
        <v>17605</v>
      </c>
      <c r="AS959" t="s">
        <v>17606</v>
      </c>
      <c r="AT959" t="s">
        <v>17381</v>
      </c>
      <c r="AU959">
        <v>2023</v>
      </c>
      <c r="AV959" t="s">
        <v>74</v>
      </c>
      <c r="AW959" t="s">
        <v>74</v>
      </c>
      <c r="AX959" t="s">
        <v>74</v>
      </c>
      <c r="AY959" t="s">
        <v>74</v>
      </c>
      <c r="AZ959" t="s">
        <v>74</v>
      </c>
      <c r="BA959" t="s">
        <v>74</v>
      </c>
      <c r="BB959" t="s">
        <v>74</v>
      </c>
      <c r="BC959" t="s">
        <v>74</v>
      </c>
      <c r="BD959" t="s">
        <v>74</v>
      </c>
      <c r="BE959" t="s">
        <v>17607</v>
      </c>
      <c r="BF959" t="str">
        <f>HYPERLINK("http://dx.doi.org/10.1007/s12194-023-00736-z","http://dx.doi.org/10.1007/s12194-023-00736-z")</f>
        <v>http://dx.doi.org/10.1007/s12194-023-00736-z</v>
      </c>
      <c r="BG959" t="s">
        <v>74</v>
      </c>
      <c r="BH959" t="s">
        <v>10650</v>
      </c>
      <c r="BI959">
        <v>9</v>
      </c>
      <c r="BJ959" t="s">
        <v>2396</v>
      </c>
      <c r="BK959" t="s">
        <v>97</v>
      </c>
      <c r="BL959" t="s">
        <v>2396</v>
      </c>
      <c r="BM959" t="s">
        <v>17608</v>
      </c>
      <c r="BN959">
        <v>37581714</v>
      </c>
      <c r="BO959" t="s">
        <v>74</v>
      </c>
      <c r="BP959" t="s">
        <v>74</v>
      </c>
      <c r="BQ959" t="s">
        <v>74</v>
      </c>
      <c r="BR959" t="s">
        <v>99</v>
      </c>
      <c r="BS959" t="s">
        <v>17609</v>
      </c>
      <c r="BT959" t="str">
        <f>HYPERLINK("https%3A%2F%2Fwww.webofscience.com%2Fwos%2Fwoscc%2Ffull-record%2FWOS:001050910300001","View Full Record in Web of Science")</f>
        <v>View Full Record in Web of Science</v>
      </c>
    </row>
    <row r="960" spans="1:72" x14ac:dyDescent="0.15">
      <c r="A960" t="s">
        <v>72</v>
      </c>
      <c r="B960" t="s">
        <v>17610</v>
      </c>
      <c r="C960" t="s">
        <v>74</v>
      </c>
      <c r="D960" t="s">
        <v>74</v>
      </c>
      <c r="E960" t="s">
        <v>74</v>
      </c>
      <c r="F960" t="s">
        <v>17611</v>
      </c>
      <c r="G960" t="s">
        <v>74</v>
      </c>
      <c r="H960" t="s">
        <v>74</v>
      </c>
      <c r="I960" t="s">
        <v>17612</v>
      </c>
      <c r="J960" t="s">
        <v>7750</v>
      </c>
      <c r="K960" t="s">
        <v>74</v>
      </c>
      <c r="L960" t="s">
        <v>74</v>
      </c>
      <c r="M960" t="s">
        <v>78</v>
      </c>
      <c r="N960" t="s">
        <v>1246</v>
      </c>
      <c r="O960" t="s">
        <v>74</v>
      </c>
      <c r="P960" t="s">
        <v>74</v>
      </c>
      <c r="Q960" t="s">
        <v>74</v>
      </c>
      <c r="R960" t="s">
        <v>74</v>
      </c>
      <c r="S960" t="s">
        <v>74</v>
      </c>
      <c r="T960" t="s">
        <v>17613</v>
      </c>
      <c r="U960" t="s">
        <v>17614</v>
      </c>
      <c r="V960" t="s">
        <v>17615</v>
      </c>
      <c r="W960" t="s">
        <v>17616</v>
      </c>
      <c r="X960" t="s">
        <v>17617</v>
      </c>
      <c r="Y960" t="s">
        <v>17618</v>
      </c>
      <c r="Z960" t="s">
        <v>17619</v>
      </c>
      <c r="AA960" t="s">
        <v>74</v>
      </c>
      <c r="AB960" t="s">
        <v>74</v>
      </c>
      <c r="AC960" t="s">
        <v>74</v>
      </c>
      <c r="AD960" t="s">
        <v>74</v>
      </c>
      <c r="AE960" t="s">
        <v>74</v>
      </c>
      <c r="AF960" t="s">
        <v>74</v>
      </c>
      <c r="AG960">
        <v>48</v>
      </c>
      <c r="AH960">
        <v>0</v>
      </c>
      <c r="AI960">
        <v>0</v>
      </c>
      <c r="AJ960">
        <v>10</v>
      </c>
      <c r="AK960">
        <v>10</v>
      </c>
      <c r="AL960" t="s">
        <v>117</v>
      </c>
      <c r="AM960" t="s">
        <v>118</v>
      </c>
      <c r="AN960" t="s">
        <v>119</v>
      </c>
      <c r="AO960" t="s">
        <v>7758</v>
      </c>
      <c r="AP960" t="s">
        <v>7759</v>
      </c>
      <c r="AQ960" t="s">
        <v>74</v>
      </c>
      <c r="AR960" t="s">
        <v>7760</v>
      </c>
      <c r="AS960" t="s">
        <v>7761</v>
      </c>
      <c r="AT960" t="s">
        <v>17381</v>
      </c>
      <c r="AU960">
        <v>2023</v>
      </c>
      <c r="AV960" t="s">
        <v>74</v>
      </c>
      <c r="AW960" t="s">
        <v>74</v>
      </c>
      <c r="AX960" t="s">
        <v>74</v>
      </c>
      <c r="AY960" t="s">
        <v>74</v>
      </c>
      <c r="AZ960" t="s">
        <v>74</v>
      </c>
      <c r="BA960" t="s">
        <v>74</v>
      </c>
      <c r="BB960" t="s">
        <v>74</v>
      </c>
      <c r="BC960" t="s">
        <v>74</v>
      </c>
      <c r="BD960" t="s">
        <v>74</v>
      </c>
      <c r="BE960" t="s">
        <v>17620</v>
      </c>
      <c r="BF960" t="str">
        <f>HYPERLINK("http://dx.doi.org/10.1007/s00330-023-10089-1","http://dx.doi.org/10.1007/s00330-023-10089-1")</f>
        <v>http://dx.doi.org/10.1007/s00330-023-10089-1</v>
      </c>
      <c r="BG960" t="s">
        <v>74</v>
      </c>
      <c r="BH960" t="s">
        <v>10650</v>
      </c>
      <c r="BI960">
        <v>12</v>
      </c>
      <c r="BJ960" t="s">
        <v>2396</v>
      </c>
      <c r="BK960" t="s">
        <v>126</v>
      </c>
      <c r="BL960" t="s">
        <v>2396</v>
      </c>
      <c r="BM960" t="s">
        <v>17621</v>
      </c>
      <c r="BN960">
        <v>37581655</v>
      </c>
      <c r="BO960" t="s">
        <v>74</v>
      </c>
      <c r="BP960" t="s">
        <v>74</v>
      </c>
      <c r="BQ960" t="s">
        <v>74</v>
      </c>
      <c r="BR960" t="s">
        <v>99</v>
      </c>
      <c r="BS960" t="s">
        <v>17622</v>
      </c>
      <c r="BT960" t="str">
        <f>HYPERLINK("https%3A%2F%2Fwww.webofscience.com%2Fwos%2Fwoscc%2Ffull-record%2FWOS:001049089300001","View Full Record in Web of Science")</f>
        <v>View Full Record in Web of Science</v>
      </c>
    </row>
    <row r="961" spans="1:72" x14ac:dyDescent="0.15">
      <c r="A961" t="s">
        <v>72</v>
      </c>
      <c r="B961" t="s">
        <v>17623</v>
      </c>
      <c r="C961" t="s">
        <v>74</v>
      </c>
      <c r="D961" t="s">
        <v>74</v>
      </c>
      <c r="E961" t="s">
        <v>74</v>
      </c>
      <c r="F961" t="s">
        <v>17624</v>
      </c>
      <c r="G961" t="s">
        <v>74</v>
      </c>
      <c r="H961" t="s">
        <v>74</v>
      </c>
      <c r="I961" t="s">
        <v>17625</v>
      </c>
      <c r="J961" t="s">
        <v>17626</v>
      </c>
      <c r="K961" t="s">
        <v>74</v>
      </c>
      <c r="L961" t="s">
        <v>74</v>
      </c>
      <c r="M961" t="s">
        <v>78</v>
      </c>
      <c r="N961" t="s">
        <v>1246</v>
      </c>
      <c r="O961" t="s">
        <v>74</v>
      </c>
      <c r="P961" t="s">
        <v>74</v>
      </c>
      <c r="Q961" t="s">
        <v>74</v>
      </c>
      <c r="R961" t="s">
        <v>74</v>
      </c>
      <c r="S961" t="s">
        <v>74</v>
      </c>
      <c r="T961" t="s">
        <v>17627</v>
      </c>
      <c r="U961" t="s">
        <v>17628</v>
      </c>
      <c r="V961" t="s">
        <v>17629</v>
      </c>
      <c r="W961" t="s">
        <v>17630</v>
      </c>
      <c r="X961" t="s">
        <v>17631</v>
      </c>
      <c r="Y961" t="s">
        <v>17632</v>
      </c>
      <c r="Z961" t="s">
        <v>17633</v>
      </c>
      <c r="AA961" t="s">
        <v>74</v>
      </c>
      <c r="AB961" t="s">
        <v>74</v>
      </c>
      <c r="AC961" t="s">
        <v>17634</v>
      </c>
      <c r="AD961" t="s">
        <v>17635</v>
      </c>
      <c r="AE961" t="s">
        <v>17636</v>
      </c>
      <c r="AF961" t="s">
        <v>74</v>
      </c>
      <c r="AG961">
        <v>72</v>
      </c>
      <c r="AH961">
        <v>0</v>
      </c>
      <c r="AI961">
        <v>0</v>
      </c>
      <c r="AJ961">
        <v>0</v>
      </c>
      <c r="AK961">
        <v>0</v>
      </c>
      <c r="AL961" t="s">
        <v>269</v>
      </c>
      <c r="AM961" t="s">
        <v>118</v>
      </c>
      <c r="AN961" t="s">
        <v>270</v>
      </c>
      <c r="AO961" t="s">
        <v>17637</v>
      </c>
      <c r="AP961" t="s">
        <v>17638</v>
      </c>
      <c r="AQ961" t="s">
        <v>74</v>
      </c>
      <c r="AR961" t="s">
        <v>17639</v>
      </c>
      <c r="AS961" t="s">
        <v>17640</v>
      </c>
      <c r="AT961" t="s">
        <v>17381</v>
      </c>
      <c r="AU961">
        <v>2023</v>
      </c>
      <c r="AV961" t="s">
        <v>74</v>
      </c>
      <c r="AW961" t="s">
        <v>74</v>
      </c>
      <c r="AX961" t="s">
        <v>74</v>
      </c>
      <c r="AY961" t="s">
        <v>74</v>
      </c>
      <c r="AZ961" t="s">
        <v>74</v>
      </c>
      <c r="BA961" t="s">
        <v>74</v>
      </c>
      <c r="BB961" t="s">
        <v>74</v>
      </c>
      <c r="BC961" t="s">
        <v>74</v>
      </c>
      <c r="BD961" t="s">
        <v>74</v>
      </c>
      <c r="BE961" t="s">
        <v>17641</v>
      </c>
      <c r="BF961" t="str">
        <f>HYPERLINK("http://dx.doi.org/10.1007/s10745-023-00433-w","http://dx.doi.org/10.1007/s10745-023-00433-w")</f>
        <v>http://dx.doi.org/10.1007/s10745-023-00433-w</v>
      </c>
      <c r="BG961" t="s">
        <v>74</v>
      </c>
      <c r="BH961" t="s">
        <v>10650</v>
      </c>
      <c r="BI961">
        <v>16</v>
      </c>
      <c r="BJ961" t="s">
        <v>17642</v>
      </c>
      <c r="BK961" t="s">
        <v>425</v>
      </c>
      <c r="BL961" t="s">
        <v>17643</v>
      </c>
      <c r="BM961" t="s">
        <v>17644</v>
      </c>
      <c r="BN961" t="s">
        <v>74</v>
      </c>
      <c r="BO961" t="s">
        <v>74</v>
      </c>
      <c r="BP961" t="s">
        <v>74</v>
      </c>
      <c r="BQ961" t="s">
        <v>74</v>
      </c>
      <c r="BR961" t="s">
        <v>99</v>
      </c>
      <c r="BS961" t="s">
        <v>17645</v>
      </c>
      <c r="BT961" t="str">
        <f>HYPERLINK("https%3A%2F%2Fwww.webofscience.com%2Fwos%2Fwoscc%2Ffull-record%2FWOS:001048358700001","View Full Record in Web of Science")</f>
        <v>View Full Record in Web of Science</v>
      </c>
    </row>
    <row r="962" spans="1:72" x14ac:dyDescent="0.15">
      <c r="A962" t="s">
        <v>72</v>
      </c>
      <c r="B962" t="s">
        <v>17646</v>
      </c>
      <c r="C962" t="s">
        <v>74</v>
      </c>
      <c r="D962" t="s">
        <v>74</v>
      </c>
      <c r="E962" t="s">
        <v>74</v>
      </c>
      <c r="F962" t="s">
        <v>17647</v>
      </c>
      <c r="G962" t="s">
        <v>74</v>
      </c>
      <c r="H962" t="s">
        <v>74</v>
      </c>
      <c r="I962" t="s">
        <v>17648</v>
      </c>
      <c r="J962" t="s">
        <v>5096</v>
      </c>
      <c r="K962" t="s">
        <v>74</v>
      </c>
      <c r="L962" t="s">
        <v>74</v>
      </c>
      <c r="M962" t="s">
        <v>78</v>
      </c>
      <c r="N962" t="s">
        <v>79</v>
      </c>
      <c r="O962" t="s">
        <v>74</v>
      </c>
      <c r="P962" t="s">
        <v>74</v>
      </c>
      <c r="Q962" t="s">
        <v>74</v>
      </c>
      <c r="R962" t="s">
        <v>74</v>
      </c>
      <c r="S962" t="s">
        <v>74</v>
      </c>
      <c r="T962" t="s">
        <v>17649</v>
      </c>
      <c r="U962" t="s">
        <v>17650</v>
      </c>
      <c r="V962" t="s">
        <v>17651</v>
      </c>
      <c r="W962" t="s">
        <v>17652</v>
      </c>
      <c r="X962" t="s">
        <v>17653</v>
      </c>
      <c r="Y962" t="s">
        <v>17654</v>
      </c>
      <c r="Z962" t="s">
        <v>17655</v>
      </c>
      <c r="AA962" t="s">
        <v>74</v>
      </c>
      <c r="AB962" t="s">
        <v>74</v>
      </c>
      <c r="AC962" t="s">
        <v>74</v>
      </c>
      <c r="AD962" t="s">
        <v>74</v>
      </c>
      <c r="AE962" t="s">
        <v>74</v>
      </c>
      <c r="AF962" t="s">
        <v>74</v>
      </c>
      <c r="AG962">
        <v>30</v>
      </c>
      <c r="AH962">
        <v>0</v>
      </c>
      <c r="AI962">
        <v>0</v>
      </c>
      <c r="AJ962">
        <v>1</v>
      </c>
      <c r="AK962">
        <v>1</v>
      </c>
      <c r="AL962" t="s">
        <v>443</v>
      </c>
      <c r="AM962" t="s">
        <v>245</v>
      </c>
      <c r="AN962" t="s">
        <v>444</v>
      </c>
      <c r="AO962" t="s">
        <v>74</v>
      </c>
      <c r="AP962" t="s">
        <v>5105</v>
      </c>
      <c r="AQ962" t="s">
        <v>74</v>
      </c>
      <c r="AR962" t="s">
        <v>5096</v>
      </c>
      <c r="AS962" t="s">
        <v>5106</v>
      </c>
      <c r="AT962" t="s">
        <v>17396</v>
      </c>
      <c r="AU962">
        <v>2023</v>
      </c>
      <c r="AV962">
        <v>23</v>
      </c>
      <c r="AW962">
        <v>1</v>
      </c>
      <c r="AX962" t="s">
        <v>74</v>
      </c>
      <c r="AY962" t="s">
        <v>74</v>
      </c>
      <c r="AZ962" t="s">
        <v>74</v>
      </c>
      <c r="BA962" t="s">
        <v>74</v>
      </c>
      <c r="BB962" t="s">
        <v>74</v>
      </c>
      <c r="BC962" t="s">
        <v>74</v>
      </c>
      <c r="BD962">
        <v>433</v>
      </c>
      <c r="BE962" t="s">
        <v>17656</v>
      </c>
      <c r="BF962" t="str">
        <f>HYPERLINK("http://dx.doi.org/10.1186/s12905-023-02558-y","http://dx.doi.org/10.1186/s12905-023-02558-y")</f>
        <v>http://dx.doi.org/10.1186/s12905-023-02558-y</v>
      </c>
      <c r="BG962" t="s">
        <v>74</v>
      </c>
      <c r="BH962" t="s">
        <v>74</v>
      </c>
      <c r="BI962">
        <v>9</v>
      </c>
      <c r="BJ962" t="s">
        <v>5108</v>
      </c>
      <c r="BK962" t="s">
        <v>2431</v>
      </c>
      <c r="BL962" t="s">
        <v>5108</v>
      </c>
      <c r="BM962" t="s">
        <v>17657</v>
      </c>
      <c r="BN962">
        <v>37582764</v>
      </c>
      <c r="BO962" t="s">
        <v>157</v>
      </c>
      <c r="BP962" t="s">
        <v>74</v>
      </c>
      <c r="BQ962" t="s">
        <v>74</v>
      </c>
      <c r="BR962" t="s">
        <v>99</v>
      </c>
      <c r="BS962" t="s">
        <v>17658</v>
      </c>
      <c r="BT962" t="str">
        <f>HYPERLINK("https%3A%2F%2Fwww.webofscience.com%2Fwos%2Fwoscc%2Ffull-record%2FWOS:001048336300001","View Full Record in Web of Science")</f>
        <v>View Full Record in Web of Science</v>
      </c>
    </row>
    <row r="963" spans="1:72" x14ac:dyDescent="0.15">
      <c r="A963" t="s">
        <v>72</v>
      </c>
      <c r="B963" t="s">
        <v>17659</v>
      </c>
      <c r="C963" t="s">
        <v>74</v>
      </c>
      <c r="D963" t="s">
        <v>74</v>
      </c>
      <c r="E963" t="s">
        <v>74</v>
      </c>
      <c r="F963" t="s">
        <v>17660</v>
      </c>
      <c r="G963" t="s">
        <v>74</v>
      </c>
      <c r="H963" t="s">
        <v>74</v>
      </c>
      <c r="I963" t="s">
        <v>17661</v>
      </c>
      <c r="J963" t="s">
        <v>17662</v>
      </c>
      <c r="K963" t="s">
        <v>74</v>
      </c>
      <c r="L963" t="s">
        <v>74</v>
      </c>
      <c r="M963" t="s">
        <v>78</v>
      </c>
      <c r="N963" t="s">
        <v>1246</v>
      </c>
      <c r="O963" t="s">
        <v>74</v>
      </c>
      <c r="P963" t="s">
        <v>74</v>
      </c>
      <c r="Q963" t="s">
        <v>74</v>
      </c>
      <c r="R963" t="s">
        <v>74</v>
      </c>
      <c r="S963" t="s">
        <v>74</v>
      </c>
      <c r="T963" t="s">
        <v>17663</v>
      </c>
      <c r="U963" t="s">
        <v>17664</v>
      </c>
      <c r="V963" t="s">
        <v>17665</v>
      </c>
      <c r="W963" t="s">
        <v>17666</v>
      </c>
      <c r="X963" t="s">
        <v>17667</v>
      </c>
      <c r="Y963" t="s">
        <v>17668</v>
      </c>
      <c r="Z963" t="s">
        <v>17669</v>
      </c>
      <c r="AA963" t="s">
        <v>74</v>
      </c>
      <c r="AB963" t="s">
        <v>17670</v>
      </c>
      <c r="AC963" t="s">
        <v>17671</v>
      </c>
      <c r="AD963" t="s">
        <v>17672</v>
      </c>
      <c r="AE963" t="s">
        <v>17673</v>
      </c>
      <c r="AF963" t="s">
        <v>74</v>
      </c>
      <c r="AG963">
        <v>94</v>
      </c>
      <c r="AH963">
        <v>0</v>
      </c>
      <c r="AI963">
        <v>0</v>
      </c>
      <c r="AJ963">
        <v>2</v>
      </c>
      <c r="AK963">
        <v>2</v>
      </c>
      <c r="AL963" t="s">
        <v>172</v>
      </c>
      <c r="AM963" t="s">
        <v>173</v>
      </c>
      <c r="AN963" t="s">
        <v>174</v>
      </c>
      <c r="AO963" t="s">
        <v>17674</v>
      </c>
      <c r="AP963" t="s">
        <v>17675</v>
      </c>
      <c r="AQ963" t="s">
        <v>74</v>
      </c>
      <c r="AR963" t="s">
        <v>17676</v>
      </c>
      <c r="AS963" t="s">
        <v>17677</v>
      </c>
      <c r="AT963" t="s">
        <v>17381</v>
      </c>
      <c r="AU963">
        <v>2023</v>
      </c>
      <c r="AV963" t="s">
        <v>74</v>
      </c>
      <c r="AW963" t="s">
        <v>74</v>
      </c>
      <c r="AX963" t="s">
        <v>74</v>
      </c>
      <c r="AY963" t="s">
        <v>74</v>
      </c>
      <c r="AZ963" t="s">
        <v>74</v>
      </c>
      <c r="BA963" t="s">
        <v>74</v>
      </c>
      <c r="BB963" t="s">
        <v>74</v>
      </c>
      <c r="BC963" t="s">
        <v>74</v>
      </c>
      <c r="BD963" t="s">
        <v>74</v>
      </c>
      <c r="BE963" t="s">
        <v>17678</v>
      </c>
      <c r="BF963" t="str">
        <f>HYPERLINK("http://dx.doi.org/10.1557/s43577-023-00584-7","http://dx.doi.org/10.1557/s43577-023-00584-7")</f>
        <v>http://dx.doi.org/10.1557/s43577-023-00584-7</v>
      </c>
      <c r="BG963" t="s">
        <v>74</v>
      </c>
      <c r="BH963" t="s">
        <v>10650</v>
      </c>
      <c r="BI963">
        <v>9</v>
      </c>
      <c r="BJ963" t="s">
        <v>1443</v>
      </c>
      <c r="BK963" t="s">
        <v>126</v>
      </c>
      <c r="BL963" t="s">
        <v>1444</v>
      </c>
      <c r="BM963" t="s">
        <v>17679</v>
      </c>
      <c r="BN963" t="s">
        <v>74</v>
      </c>
      <c r="BO963" t="s">
        <v>74</v>
      </c>
      <c r="BP963" t="s">
        <v>74</v>
      </c>
      <c r="BQ963" t="s">
        <v>74</v>
      </c>
      <c r="BR963" t="s">
        <v>99</v>
      </c>
      <c r="BS963" t="s">
        <v>17680</v>
      </c>
      <c r="BT963" t="str">
        <f>HYPERLINK("https%3A%2F%2Fwww.webofscience.com%2Fwos%2Fwoscc%2Ffull-record%2FWOS:001049068100001","View Full Record in Web of Science")</f>
        <v>View Full Record in Web of Science</v>
      </c>
    </row>
    <row r="964" spans="1:72" x14ac:dyDescent="0.15">
      <c r="A964" t="s">
        <v>72</v>
      </c>
      <c r="B964" t="s">
        <v>17681</v>
      </c>
      <c r="C964" t="s">
        <v>74</v>
      </c>
      <c r="D964" t="s">
        <v>74</v>
      </c>
      <c r="E964" t="s">
        <v>74</v>
      </c>
      <c r="F964" t="s">
        <v>17682</v>
      </c>
      <c r="G964" t="s">
        <v>74</v>
      </c>
      <c r="H964" t="s">
        <v>74</v>
      </c>
      <c r="I964" t="s">
        <v>17683</v>
      </c>
      <c r="J964" t="s">
        <v>17684</v>
      </c>
      <c r="K964" t="s">
        <v>74</v>
      </c>
      <c r="L964" t="s">
        <v>74</v>
      </c>
      <c r="M964" t="s">
        <v>4349</v>
      </c>
      <c r="N964" t="s">
        <v>1246</v>
      </c>
      <c r="O964" t="s">
        <v>74</v>
      </c>
      <c r="P964" t="s">
        <v>74</v>
      </c>
      <c r="Q964" t="s">
        <v>74</v>
      </c>
      <c r="R964" t="s">
        <v>74</v>
      </c>
      <c r="S964" t="s">
        <v>74</v>
      </c>
      <c r="T964" t="s">
        <v>17685</v>
      </c>
      <c r="U964" t="s">
        <v>17686</v>
      </c>
      <c r="V964" t="s">
        <v>17687</v>
      </c>
      <c r="W964" t="s">
        <v>17688</v>
      </c>
      <c r="X964" t="s">
        <v>17689</v>
      </c>
      <c r="Y964" t="s">
        <v>17690</v>
      </c>
      <c r="Z964" t="s">
        <v>17691</v>
      </c>
      <c r="AA964" t="s">
        <v>74</v>
      </c>
      <c r="AB964" t="s">
        <v>74</v>
      </c>
      <c r="AC964" t="s">
        <v>74</v>
      </c>
      <c r="AD964" t="s">
        <v>74</v>
      </c>
      <c r="AE964" t="s">
        <v>74</v>
      </c>
      <c r="AF964" t="s">
        <v>74</v>
      </c>
      <c r="AG964">
        <v>73</v>
      </c>
      <c r="AH964">
        <v>0</v>
      </c>
      <c r="AI964">
        <v>0</v>
      </c>
      <c r="AJ964">
        <v>0</v>
      </c>
      <c r="AK964">
        <v>0</v>
      </c>
      <c r="AL964" t="s">
        <v>117</v>
      </c>
      <c r="AM964" t="s">
        <v>118</v>
      </c>
      <c r="AN964" t="s">
        <v>119</v>
      </c>
      <c r="AO964" t="s">
        <v>17692</v>
      </c>
      <c r="AP964" t="s">
        <v>17693</v>
      </c>
      <c r="AQ964" t="s">
        <v>74</v>
      </c>
      <c r="AR964" t="s">
        <v>17694</v>
      </c>
      <c r="AS964" t="s">
        <v>17695</v>
      </c>
      <c r="AT964" t="s">
        <v>17381</v>
      </c>
      <c r="AU964">
        <v>2023</v>
      </c>
      <c r="AV964" t="s">
        <v>74</v>
      </c>
      <c r="AW964" t="s">
        <v>74</v>
      </c>
      <c r="AX964" t="s">
        <v>74</v>
      </c>
      <c r="AY964" t="s">
        <v>74</v>
      </c>
      <c r="AZ964" t="s">
        <v>74</v>
      </c>
      <c r="BA964" t="s">
        <v>74</v>
      </c>
      <c r="BB964" t="s">
        <v>74</v>
      </c>
      <c r="BC964" t="s">
        <v>74</v>
      </c>
      <c r="BD964" t="s">
        <v>74</v>
      </c>
      <c r="BE964" t="s">
        <v>17696</v>
      </c>
      <c r="BF964" t="str">
        <f>HYPERLINK("http://dx.doi.org/10.1007/s12662-023-00895-6","http://dx.doi.org/10.1007/s12662-023-00895-6")</f>
        <v>http://dx.doi.org/10.1007/s12662-023-00895-6</v>
      </c>
      <c r="BG964" t="s">
        <v>74</v>
      </c>
      <c r="BH964" t="s">
        <v>10650</v>
      </c>
      <c r="BI964">
        <v>13</v>
      </c>
      <c r="BJ964" t="s">
        <v>252</v>
      </c>
      <c r="BK964" t="s">
        <v>97</v>
      </c>
      <c r="BL964" t="s">
        <v>252</v>
      </c>
      <c r="BM964" t="s">
        <v>17697</v>
      </c>
      <c r="BN964" t="s">
        <v>74</v>
      </c>
      <c r="BO964" t="s">
        <v>183</v>
      </c>
      <c r="BP964" t="s">
        <v>74</v>
      </c>
      <c r="BQ964" t="s">
        <v>74</v>
      </c>
      <c r="BR964" t="s">
        <v>99</v>
      </c>
      <c r="BS964" t="s">
        <v>17698</v>
      </c>
      <c r="BT964" t="str">
        <f>HYPERLINK("https%3A%2F%2Fwww.webofscience.com%2Fwos%2Fwoscc%2Ffull-record%2FWOS:001049059200001","View Full Record in Web of Science")</f>
        <v>View Full Record in Web of Science</v>
      </c>
    </row>
    <row r="965" spans="1:72" x14ac:dyDescent="0.15">
      <c r="A965" t="s">
        <v>72</v>
      </c>
      <c r="B965" t="s">
        <v>17699</v>
      </c>
      <c r="C965" t="s">
        <v>74</v>
      </c>
      <c r="D965" t="s">
        <v>74</v>
      </c>
      <c r="E965" t="s">
        <v>74</v>
      </c>
      <c r="F965" t="s">
        <v>17700</v>
      </c>
      <c r="G965" t="s">
        <v>74</v>
      </c>
      <c r="H965" t="s">
        <v>74</v>
      </c>
      <c r="I965" t="s">
        <v>17701</v>
      </c>
      <c r="J965" t="s">
        <v>3361</v>
      </c>
      <c r="K965" t="s">
        <v>74</v>
      </c>
      <c r="L965" t="s">
        <v>74</v>
      </c>
      <c r="M965" t="s">
        <v>78</v>
      </c>
      <c r="N965" t="s">
        <v>79</v>
      </c>
      <c r="O965" t="s">
        <v>74</v>
      </c>
      <c r="P965" t="s">
        <v>74</v>
      </c>
      <c r="Q965" t="s">
        <v>74</v>
      </c>
      <c r="R965" t="s">
        <v>74</v>
      </c>
      <c r="S965" t="s">
        <v>74</v>
      </c>
      <c r="T965" t="s">
        <v>17702</v>
      </c>
      <c r="U965" t="s">
        <v>17703</v>
      </c>
      <c r="V965" t="s">
        <v>17704</v>
      </c>
      <c r="W965" t="s">
        <v>17705</v>
      </c>
      <c r="X965" t="s">
        <v>17706</v>
      </c>
      <c r="Y965" t="s">
        <v>17707</v>
      </c>
      <c r="Z965" t="s">
        <v>17708</v>
      </c>
      <c r="AA965" t="s">
        <v>74</v>
      </c>
      <c r="AB965" t="s">
        <v>74</v>
      </c>
      <c r="AC965" t="s">
        <v>74</v>
      </c>
      <c r="AD965" t="s">
        <v>74</v>
      </c>
      <c r="AE965" t="s">
        <v>74</v>
      </c>
      <c r="AF965" t="s">
        <v>74</v>
      </c>
      <c r="AG965">
        <v>80</v>
      </c>
      <c r="AH965">
        <v>0</v>
      </c>
      <c r="AI965">
        <v>0</v>
      </c>
      <c r="AJ965">
        <v>1</v>
      </c>
      <c r="AK965">
        <v>1</v>
      </c>
      <c r="AL965" t="s">
        <v>443</v>
      </c>
      <c r="AM965" t="s">
        <v>245</v>
      </c>
      <c r="AN965" t="s">
        <v>444</v>
      </c>
      <c r="AO965" t="s">
        <v>74</v>
      </c>
      <c r="AP965" t="s">
        <v>3370</v>
      </c>
      <c r="AQ965" t="s">
        <v>74</v>
      </c>
      <c r="AR965" t="s">
        <v>3361</v>
      </c>
      <c r="AS965" t="s">
        <v>3371</v>
      </c>
      <c r="AT965" t="s">
        <v>17396</v>
      </c>
      <c r="AU965">
        <v>2023</v>
      </c>
      <c r="AV965">
        <v>23</v>
      </c>
      <c r="AW965">
        <v>1</v>
      </c>
      <c r="AX965" t="s">
        <v>74</v>
      </c>
      <c r="AY965" t="s">
        <v>74</v>
      </c>
      <c r="AZ965" t="s">
        <v>74</v>
      </c>
      <c r="BA965" t="s">
        <v>74</v>
      </c>
      <c r="BB965" t="s">
        <v>74</v>
      </c>
      <c r="BC965" t="s">
        <v>74</v>
      </c>
      <c r="BD965">
        <v>594</v>
      </c>
      <c r="BE965" t="s">
        <v>17709</v>
      </c>
      <c r="BF965" t="str">
        <f>HYPERLINK("http://dx.doi.org/10.1186/s12888-023-05104-0","http://dx.doi.org/10.1186/s12888-023-05104-0")</f>
        <v>http://dx.doi.org/10.1186/s12888-023-05104-0</v>
      </c>
      <c r="BG965" t="s">
        <v>74</v>
      </c>
      <c r="BH965" t="s">
        <v>74</v>
      </c>
      <c r="BI965">
        <v>12</v>
      </c>
      <c r="BJ965" t="s">
        <v>3373</v>
      </c>
      <c r="BK965" t="s">
        <v>126</v>
      </c>
      <c r="BL965" t="s">
        <v>3373</v>
      </c>
      <c r="BM965" t="s">
        <v>17710</v>
      </c>
      <c r="BN965">
        <v>37582725</v>
      </c>
      <c r="BO965" t="s">
        <v>981</v>
      </c>
      <c r="BP965" t="s">
        <v>74</v>
      </c>
      <c r="BQ965" t="s">
        <v>74</v>
      </c>
      <c r="BR965" t="s">
        <v>99</v>
      </c>
      <c r="BS965" t="s">
        <v>17711</v>
      </c>
      <c r="BT965" t="str">
        <f>HYPERLINK("https%3A%2F%2Fwww.webofscience.com%2Fwos%2Fwoscc%2Ffull-record%2FWOS:001049363100007","View Full Record in Web of Science")</f>
        <v>View Full Record in Web of Science</v>
      </c>
    </row>
    <row r="966" spans="1:72" x14ac:dyDescent="0.15">
      <c r="A966" t="s">
        <v>72</v>
      </c>
      <c r="B966" t="s">
        <v>17712</v>
      </c>
      <c r="C966" t="s">
        <v>74</v>
      </c>
      <c r="D966" t="s">
        <v>74</v>
      </c>
      <c r="E966" t="s">
        <v>74</v>
      </c>
      <c r="F966" t="s">
        <v>17713</v>
      </c>
      <c r="G966" t="s">
        <v>74</v>
      </c>
      <c r="H966" t="s">
        <v>74</v>
      </c>
      <c r="I966" t="s">
        <v>17714</v>
      </c>
      <c r="J966" t="s">
        <v>7716</v>
      </c>
      <c r="K966" t="s">
        <v>74</v>
      </c>
      <c r="L966" t="s">
        <v>74</v>
      </c>
      <c r="M966" t="s">
        <v>78</v>
      </c>
      <c r="N966" t="s">
        <v>79</v>
      </c>
      <c r="O966" t="s">
        <v>74</v>
      </c>
      <c r="P966" t="s">
        <v>74</v>
      </c>
      <c r="Q966" t="s">
        <v>74</v>
      </c>
      <c r="R966" t="s">
        <v>74</v>
      </c>
      <c r="S966" t="s">
        <v>74</v>
      </c>
      <c r="T966" t="s">
        <v>17715</v>
      </c>
      <c r="U966" t="s">
        <v>17716</v>
      </c>
      <c r="V966" t="s">
        <v>17717</v>
      </c>
      <c r="W966" t="s">
        <v>17718</v>
      </c>
      <c r="X966" t="s">
        <v>17719</v>
      </c>
      <c r="Y966" t="s">
        <v>17720</v>
      </c>
      <c r="Z966" t="s">
        <v>17721</v>
      </c>
      <c r="AA966" t="s">
        <v>74</v>
      </c>
      <c r="AB966" t="s">
        <v>74</v>
      </c>
      <c r="AC966" t="s">
        <v>74</v>
      </c>
      <c r="AD966" t="s">
        <v>74</v>
      </c>
      <c r="AE966" t="s">
        <v>74</v>
      </c>
      <c r="AF966" t="s">
        <v>74</v>
      </c>
      <c r="AG966">
        <v>59</v>
      </c>
      <c r="AH966">
        <v>0</v>
      </c>
      <c r="AI966">
        <v>0</v>
      </c>
      <c r="AJ966">
        <v>1</v>
      </c>
      <c r="AK966">
        <v>1</v>
      </c>
      <c r="AL966" t="s">
        <v>443</v>
      </c>
      <c r="AM966" t="s">
        <v>245</v>
      </c>
      <c r="AN966" t="s">
        <v>444</v>
      </c>
      <c r="AO966" t="s">
        <v>7727</v>
      </c>
      <c r="AP966" t="s">
        <v>74</v>
      </c>
      <c r="AQ966" t="s">
        <v>74</v>
      </c>
      <c r="AR966" t="s">
        <v>7716</v>
      </c>
      <c r="AS966" t="s">
        <v>7728</v>
      </c>
      <c r="AT966" t="s">
        <v>17396</v>
      </c>
      <c r="AU966">
        <v>2023</v>
      </c>
      <c r="AV966">
        <v>24</v>
      </c>
      <c r="AW966">
        <v>1</v>
      </c>
      <c r="AX966" t="s">
        <v>74</v>
      </c>
      <c r="AY966" t="s">
        <v>74</v>
      </c>
      <c r="AZ966" t="s">
        <v>74</v>
      </c>
      <c r="BA966" t="s">
        <v>74</v>
      </c>
      <c r="BB966" t="s">
        <v>74</v>
      </c>
      <c r="BC966" t="s">
        <v>74</v>
      </c>
      <c r="BD966">
        <v>456</v>
      </c>
      <c r="BE966" t="s">
        <v>17722</v>
      </c>
      <c r="BF966" t="str">
        <f>HYPERLINK("http://dx.doi.org/10.1186/s12864-023-09554-4","http://dx.doi.org/10.1186/s12864-023-09554-4")</f>
        <v>http://dx.doi.org/10.1186/s12864-023-09554-4</v>
      </c>
      <c r="BG966" t="s">
        <v>74</v>
      </c>
      <c r="BH966" t="s">
        <v>74</v>
      </c>
      <c r="BI966">
        <v>11</v>
      </c>
      <c r="BJ966" t="s">
        <v>4881</v>
      </c>
      <c r="BK966" t="s">
        <v>126</v>
      </c>
      <c r="BL966" t="s">
        <v>4881</v>
      </c>
      <c r="BM966" t="s">
        <v>17723</v>
      </c>
      <c r="BN966">
        <v>37582720</v>
      </c>
      <c r="BO966" t="s">
        <v>453</v>
      </c>
      <c r="BP966" t="s">
        <v>74</v>
      </c>
      <c r="BQ966" t="s">
        <v>74</v>
      </c>
      <c r="BR966" t="s">
        <v>99</v>
      </c>
      <c r="BS966" t="s">
        <v>17724</v>
      </c>
      <c r="BT966" t="str">
        <f>HYPERLINK("https%3A%2F%2Fwww.webofscience.com%2Fwos%2Fwoscc%2Ffull-record%2FWOS:001048332600003","View Full Record in Web of Science")</f>
        <v>View Full Record in Web of Science</v>
      </c>
    </row>
    <row r="967" spans="1:72" x14ac:dyDescent="0.15">
      <c r="A967" t="s">
        <v>72</v>
      </c>
      <c r="B967" t="s">
        <v>17725</v>
      </c>
      <c r="C967" t="s">
        <v>74</v>
      </c>
      <c r="D967" t="s">
        <v>74</v>
      </c>
      <c r="E967" t="s">
        <v>74</v>
      </c>
      <c r="F967" t="s">
        <v>17726</v>
      </c>
      <c r="G967" t="s">
        <v>74</v>
      </c>
      <c r="H967" t="s">
        <v>74</v>
      </c>
      <c r="I967" t="s">
        <v>17727</v>
      </c>
      <c r="J967" t="s">
        <v>17728</v>
      </c>
      <c r="K967" t="s">
        <v>74</v>
      </c>
      <c r="L967" t="s">
        <v>74</v>
      </c>
      <c r="M967" t="s">
        <v>78</v>
      </c>
      <c r="N967" t="s">
        <v>1246</v>
      </c>
      <c r="O967" t="s">
        <v>74</v>
      </c>
      <c r="P967" t="s">
        <v>74</v>
      </c>
      <c r="Q967" t="s">
        <v>74</v>
      </c>
      <c r="R967" t="s">
        <v>74</v>
      </c>
      <c r="S967" t="s">
        <v>74</v>
      </c>
      <c r="T967" t="s">
        <v>17729</v>
      </c>
      <c r="U967" t="s">
        <v>17730</v>
      </c>
      <c r="V967" t="s">
        <v>17731</v>
      </c>
      <c r="W967" t="s">
        <v>17732</v>
      </c>
      <c r="X967" t="s">
        <v>17733</v>
      </c>
      <c r="Y967" t="s">
        <v>17734</v>
      </c>
      <c r="Z967" t="s">
        <v>17735</v>
      </c>
      <c r="AA967" t="s">
        <v>17736</v>
      </c>
      <c r="AB967" t="s">
        <v>74</v>
      </c>
      <c r="AC967" t="s">
        <v>17737</v>
      </c>
      <c r="AD967" t="s">
        <v>17738</v>
      </c>
      <c r="AE967" t="s">
        <v>17739</v>
      </c>
      <c r="AF967" t="s">
        <v>74</v>
      </c>
      <c r="AG967">
        <v>34</v>
      </c>
      <c r="AH967">
        <v>0</v>
      </c>
      <c r="AI967">
        <v>0</v>
      </c>
      <c r="AJ967">
        <v>1</v>
      </c>
      <c r="AK967">
        <v>1</v>
      </c>
      <c r="AL967" t="s">
        <v>117</v>
      </c>
      <c r="AM967" t="s">
        <v>118</v>
      </c>
      <c r="AN967" t="s">
        <v>119</v>
      </c>
      <c r="AO967" t="s">
        <v>17740</v>
      </c>
      <c r="AP967" t="s">
        <v>17741</v>
      </c>
      <c r="AQ967" t="s">
        <v>74</v>
      </c>
      <c r="AR967" t="s">
        <v>17742</v>
      </c>
      <c r="AS967" t="s">
        <v>17743</v>
      </c>
      <c r="AT967" t="s">
        <v>17381</v>
      </c>
      <c r="AU967">
        <v>2023</v>
      </c>
      <c r="AV967" t="s">
        <v>74</v>
      </c>
      <c r="AW967" t="s">
        <v>74</v>
      </c>
      <c r="AX967" t="s">
        <v>74</v>
      </c>
      <c r="AY967" t="s">
        <v>74</v>
      </c>
      <c r="AZ967" t="s">
        <v>74</v>
      </c>
      <c r="BA967" t="s">
        <v>74</v>
      </c>
      <c r="BB967" t="s">
        <v>74</v>
      </c>
      <c r="BC967" t="s">
        <v>74</v>
      </c>
      <c r="BD967" t="s">
        <v>74</v>
      </c>
      <c r="BE967" t="s">
        <v>17744</v>
      </c>
      <c r="BF967" t="str">
        <f>HYPERLINK("http://dx.doi.org/10.1007/s11605-023-05794-7","http://dx.doi.org/10.1007/s11605-023-05794-7")</f>
        <v>http://dx.doi.org/10.1007/s11605-023-05794-7</v>
      </c>
      <c r="BG967" t="s">
        <v>74</v>
      </c>
      <c r="BH967" t="s">
        <v>10650</v>
      </c>
      <c r="BI967">
        <v>11</v>
      </c>
      <c r="BJ967" t="s">
        <v>11159</v>
      </c>
      <c r="BK967" t="s">
        <v>126</v>
      </c>
      <c r="BL967" t="s">
        <v>11159</v>
      </c>
      <c r="BM967" t="s">
        <v>17745</v>
      </c>
      <c r="BN967">
        <v>37582919</v>
      </c>
      <c r="BO967" t="s">
        <v>74</v>
      </c>
      <c r="BP967" t="s">
        <v>74</v>
      </c>
      <c r="BQ967" t="s">
        <v>74</v>
      </c>
      <c r="BR967" t="s">
        <v>99</v>
      </c>
      <c r="BS967" t="s">
        <v>17746</v>
      </c>
      <c r="BT967" t="str">
        <f>HYPERLINK("https%3A%2F%2Fwww.webofscience.com%2Fwos%2Fwoscc%2Ffull-record%2FWOS:001048351200001","View Full Record in Web of Science")</f>
        <v>View Full Record in Web of Science</v>
      </c>
    </row>
    <row r="968" spans="1:72" x14ac:dyDescent="0.15">
      <c r="A968" t="s">
        <v>72</v>
      </c>
      <c r="B968" t="s">
        <v>17747</v>
      </c>
      <c r="C968" t="s">
        <v>74</v>
      </c>
      <c r="D968" t="s">
        <v>74</v>
      </c>
      <c r="E968" t="s">
        <v>74</v>
      </c>
      <c r="F968" t="s">
        <v>17748</v>
      </c>
      <c r="G968" t="s">
        <v>74</v>
      </c>
      <c r="H968" t="s">
        <v>74</v>
      </c>
      <c r="I968" t="s">
        <v>17749</v>
      </c>
      <c r="J968" t="s">
        <v>15391</v>
      </c>
      <c r="K968" t="s">
        <v>74</v>
      </c>
      <c r="L968" t="s">
        <v>74</v>
      </c>
      <c r="M968" t="s">
        <v>78</v>
      </c>
      <c r="N968" t="s">
        <v>1246</v>
      </c>
      <c r="O968" t="s">
        <v>74</v>
      </c>
      <c r="P968" t="s">
        <v>74</v>
      </c>
      <c r="Q968" t="s">
        <v>74</v>
      </c>
      <c r="R968" t="s">
        <v>74</v>
      </c>
      <c r="S968" t="s">
        <v>74</v>
      </c>
      <c r="T968" t="s">
        <v>17750</v>
      </c>
      <c r="U968" t="s">
        <v>17751</v>
      </c>
      <c r="V968" t="s">
        <v>17752</v>
      </c>
      <c r="W968" t="s">
        <v>17753</v>
      </c>
      <c r="X968" t="s">
        <v>17754</v>
      </c>
      <c r="Y968" t="s">
        <v>17755</v>
      </c>
      <c r="Z968" t="s">
        <v>17756</v>
      </c>
      <c r="AA968" t="s">
        <v>74</v>
      </c>
      <c r="AB968" t="s">
        <v>74</v>
      </c>
      <c r="AC968" t="s">
        <v>17757</v>
      </c>
      <c r="AD968" t="s">
        <v>17758</v>
      </c>
      <c r="AE968" t="s">
        <v>17759</v>
      </c>
      <c r="AF968" t="s">
        <v>74</v>
      </c>
      <c r="AG968">
        <v>55</v>
      </c>
      <c r="AH968">
        <v>0</v>
      </c>
      <c r="AI968">
        <v>0</v>
      </c>
      <c r="AJ968">
        <v>14</v>
      </c>
      <c r="AK968">
        <v>14</v>
      </c>
      <c r="AL968" t="s">
        <v>117</v>
      </c>
      <c r="AM968" t="s">
        <v>118</v>
      </c>
      <c r="AN968" t="s">
        <v>119</v>
      </c>
      <c r="AO968" t="s">
        <v>15398</v>
      </c>
      <c r="AP968" t="s">
        <v>15399</v>
      </c>
      <c r="AQ968" t="s">
        <v>74</v>
      </c>
      <c r="AR968" t="s">
        <v>15400</v>
      </c>
      <c r="AS968" t="s">
        <v>15401</v>
      </c>
      <c r="AT968" t="s">
        <v>17381</v>
      </c>
      <c r="AU968">
        <v>2023</v>
      </c>
      <c r="AV968" t="s">
        <v>74</v>
      </c>
      <c r="AW968" t="s">
        <v>74</v>
      </c>
      <c r="AX968" t="s">
        <v>74</v>
      </c>
      <c r="AY968" t="s">
        <v>74</v>
      </c>
      <c r="AZ968" t="s">
        <v>74</v>
      </c>
      <c r="BA968" t="s">
        <v>74</v>
      </c>
      <c r="BB968" t="s">
        <v>74</v>
      </c>
      <c r="BC968" t="s">
        <v>74</v>
      </c>
      <c r="BD968" t="s">
        <v>74</v>
      </c>
      <c r="BE968" t="s">
        <v>17760</v>
      </c>
      <c r="BF968" t="str">
        <f>HYPERLINK("http://dx.doi.org/10.1007/s12559-023-10184-x","http://dx.doi.org/10.1007/s12559-023-10184-x")</f>
        <v>http://dx.doi.org/10.1007/s12559-023-10184-x</v>
      </c>
      <c r="BG968" t="s">
        <v>74</v>
      </c>
      <c r="BH968" t="s">
        <v>10650</v>
      </c>
      <c r="BI968">
        <v>21</v>
      </c>
      <c r="BJ968" t="s">
        <v>15403</v>
      </c>
      <c r="BK968" t="s">
        <v>126</v>
      </c>
      <c r="BL968" t="s">
        <v>15404</v>
      </c>
      <c r="BM968" t="s">
        <v>17761</v>
      </c>
      <c r="BN968" t="s">
        <v>74</v>
      </c>
      <c r="BO968" t="s">
        <v>74</v>
      </c>
      <c r="BP968" t="s">
        <v>74</v>
      </c>
      <c r="BQ968" t="s">
        <v>74</v>
      </c>
      <c r="BR968" t="s">
        <v>99</v>
      </c>
      <c r="BS968" t="s">
        <v>17762</v>
      </c>
      <c r="BT968" t="str">
        <f>HYPERLINK("https%3A%2F%2Fwww.webofscience.com%2Fwos%2Fwoscc%2Ffull-record%2FWOS:001048362800001","View Full Record in Web of Science")</f>
        <v>View Full Record in Web of Science</v>
      </c>
    </row>
    <row r="969" spans="1:72" x14ac:dyDescent="0.15">
      <c r="A969" t="s">
        <v>72</v>
      </c>
      <c r="B969" t="s">
        <v>17763</v>
      </c>
      <c r="C969" t="s">
        <v>74</v>
      </c>
      <c r="D969" t="s">
        <v>74</v>
      </c>
      <c r="E969" t="s">
        <v>74</v>
      </c>
      <c r="F969" t="s">
        <v>17764</v>
      </c>
      <c r="G969" t="s">
        <v>74</v>
      </c>
      <c r="H969" t="s">
        <v>74</v>
      </c>
      <c r="I969" t="s">
        <v>17765</v>
      </c>
      <c r="J969" t="s">
        <v>1226</v>
      </c>
      <c r="K969" t="s">
        <v>74</v>
      </c>
      <c r="L969" t="s">
        <v>74</v>
      </c>
      <c r="M969" t="s">
        <v>78</v>
      </c>
      <c r="N969" t="s">
        <v>79</v>
      </c>
      <c r="O969" t="s">
        <v>74</v>
      </c>
      <c r="P969" t="s">
        <v>74</v>
      </c>
      <c r="Q969" t="s">
        <v>74</v>
      </c>
      <c r="R969" t="s">
        <v>74</v>
      </c>
      <c r="S969" t="s">
        <v>74</v>
      </c>
      <c r="T969" t="s">
        <v>17766</v>
      </c>
      <c r="U969" t="s">
        <v>17767</v>
      </c>
      <c r="V969" t="s">
        <v>17768</v>
      </c>
      <c r="W969" t="s">
        <v>17769</v>
      </c>
      <c r="X969" t="s">
        <v>17770</v>
      </c>
      <c r="Y969" t="s">
        <v>17771</v>
      </c>
      <c r="Z969" t="s">
        <v>17772</v>
      </c>
      <c r="AA969" t="s">
        <v>74</v>
      </c>
      <c r="AB969" t="s">
        <v>74</v>
      </c>
      <c r="AC969" t="s">
        <v>74</v>
      </c>
      <c r="AD969" t="s">
        <v>74</v>
      </c>
      <c r="AE969" t="s">
        <v>74</v>
      </c>
      <c r="AF969" t="s">
        <v>74</v>
      </c>
      <c r="AG969">
        <v>47</v>
      </c>
      <c r="AH969">
        <v>0</v>
      </c>
      <c r="AI969">
        <v>0</v>
      </c>
      <c r="AJ969">
        <v>0</v>
      </c>
      <c r="AK969">
        <v>0</v>
      </c>
      <c r="AL969" t="s">
        <v>317</v>
      </c>
      <c r="AM969" t="s">
        <v>245</v>
      </c>
      <c r="AN969" t="s">
        <v>318</v>
      </c>
      <c r="AO969" t="s">
        <v>74</v>
      </c>
      <c r="AP969" t="s">
        <v>1232</v>
      </c>
      <c r="AQ969" t="s">
        <v>74</v>
      </c>
      <c r="AR969" t="s">
        <v>1233</v>
      </c>
      <c r="AS969" t="s">
        <v>1234</v>
      </c>
      <c r="AT969" t="s">
        <v>17773</v>
      </c>
      <c r="AU969">
        <v>2023</v>
      </c>
      <c r="AV969">
        <v>15</v>
      </c>
      <c r="AW969">
        <v>8</v>
      </c>
      <c r="AX969" t="s">
        <v>74</v>
      </c>
      <c r="AY969" t="s">
        <v>74</v>
      </c>
      <c r="AZ969" t="s">
        <v>74</v>
      </c>
      <c r="BA969" t="s">
        <v>74</v>
      </c>
      <c r="BB969" t="s">
        <v>74</v>
      </c>
      <c r="BC969" t="s">
        <v>74</v>
      </c>
      <c r="BD969" t="s">
        <v>17774</v>
      </c>
      <c r="BE969" t="s">
        <v>17775</v>
      </c>
      <c r="BF969" t="str">
        <f>HYPERLINK("http://dx.doi.org/10.7759/cureus.43483","http://dx.doi.org/10.7759/cureus.43483")</f>
        <v>http://dx.doi.org/10.7759/cureus.43483</v>
      </c>
      <c r="BG969" t="s">
        <v>74</v>
      </c>
      <c r="BH969" t="s">
        <v>74</v>
      </c>
      <c r="BI969">
        <v>12</v>
      </c>
      <c r="BJ969" t="s">
        <v>1238</v>
      </c>
      <c r="BK969" t="s">
        <v>97</v>
      </c>
      <c r="BL969" t="s">
        <v>1239</v>
      </c>
      <c r="BM969" t="s">
        <v>17776</v>
      </c>
      <c r="BN969">
        <v>37711956</v>
      </c>
      <c r="BO969" t="s">
        <v>981</v>
      </c>
      <c r="BP969" t="s">
        <v>74</v>
      </c>
      <c r="BQ969" t="s">
        <v>74</v>
      </c>
      <c r="BR969" t="s">
        <v>99</v>
      </c>
      <c r="BS969" t="s">
        <v>17777</v>
      </c>
      <c r="BT969" t="str">
        <f>HYPERLINK("https%3A%2F%2Fwww.webofscience.com%2Fwos%2Fwoscc%2Ffull-record%2FWOS:001058405100011","View Full Record in Web of Science")</f>
        <v>View Full Record in Web of Science</v>
      </c>
    </row>
    <row r="970" spans="1:72" x14ac:dyDescent="0.15">
      <c r="A970" t="s">
        <v>72</v>
      </c>
      <c r="B970" t="s">
        <v>17778</v>
      </c>
      <c r="C970" t="s">
        <v>74</v>
      </c>
      <c r="D970" t="s">
        <v>74</v>
      </c>
      <c r="E970" t="s">
        <v>74</v>
      </c>
      <c r="F970" t="s">
        <v>17779</v>
      </c>
      <c r="G970" t="s">
        <v>74</v>
      </c>
      <c r="H970" t="s">
        <v>74</v>
      </c>
      <c r="I970" t="s">
        <v>17780</v>
      </c>
      <c r="J970" t="s">
        <v>17781</v>
      </c>
      <c r="K970" t="s">
        <v>74</v>
      </c>
      <c r="L970" t="s">
        <v>74</v>
      </c>
      <c r="M970" t="s">
        <v>78</v>
      </c>
      <c r="N970" t="s">
        <v>1246</v>
      </c>
      <c r="O970" t="s">
        <v>74</v>
      </c>
      <c r="P970" t="s">
        <v>74</v>
      </c>
      <c r="Q970" t="s">
        <v>74</v>
      </c>
      <c r="R970" t="s">
        <v>74</v>
      </c>
      <c r="S970" t="s">
        <v>74</v>
      </c>
      <c r="T970" t="s">
        <v>17782</v>
      </c>
      <c r="U970" t="s">
        <v>74</v>
      </c>
      <c r="V970" t="s">
        <v>17783</v>
      </c>
      <c r="W970" t="s">
        <v>17784</v>
      </c>
      <c r="X970" t="s">
        <v>14276</v>
      </c>
      <c r="Y970" t="s">
        <v>17785</v>
      </c>
      <c r="Z970" t="s">
        <v>17786</v>
      </c>
      <c r="AA970" t="s">
        <v>17787</v>
      </c>
      <c r="AB970" t="s">
        <v>17788</v>
      </c>
      <c r="AC970" t="s">
        <v>74</v>
      </c>
      <c r="AD970" t="s">
        <v>74</v>
      </c>
      <c r="AE970" t="s">
        <v>74</v>
      </c>
      <c r="AF970" t="s">
        <v>74</v>
      </c>
      <c r="AG970">
        <v>25</v>
      </c>
      <c r="AH970">
        <v>0</v>
      </c>
      <c r="AI970">
        <v>0</v>
      </c>
      <c r="AJ970">
        <v>0</v>
      </c>
      <c r="AK970">
        <v>0</v>
      </c>
      <c r="AL970" t="s">
        <v>244</v>
      </c>
      <c r="AM970" t="s">
        <v>245</v>
      </c>
      <c r="AN970" t="s">
        <v>246</v>
      </c>
      <c r="AO970" t="s">
        <v>17789</v>
      </c>
      <c r="AP970" t="s">
        <v>17790</v>
      </c>
      <c r="AQ970" t="s">
        <v>74</v>
      </c>
      <c r="AR970" t="s">
        <v>17791</v>
      </c>
      <c r="AS970" t="s">
        <v>17792</v>
      </c>
      <c r="AT970" t="s">
        <v>17793</v>
      </c>
      <c r="AU970">
        <v>2023</v>
      </c>
      <c r="AV970" t="s">
        <v>74</v>
      </c>
      <c r="AW970" t="s">
        <v>74</v>
      </c>
      <c r="AX970" t="s">
        <v>74</v>
      </c>
      <c r="AY970" t="s">
        <v>74</v>
      </c>
      <c r="AZ970" t="s">
        <v>74</v>
      </c>
      <c r="BA970" t="s">
        <v>74</v>
      </c>
      <c r="BB970" t="s">
        <v>74</v>
      </c>
      <c r="BC970" t="s">
        <v>74</v>
      </c>
      <c r="BD970" t="s">
        <v>74</v>
      </c>
      <c r="BE970" t="s">
        <v>17794</v>
      </c>
      <c r="BF970" t="str">
        <f>HYPERLINK("http://dx.doi.org/10.1007/s11845-023-03488-2","http://dx.doi.org/10.1007/s11845-023-03488-2")</f>
        <v>http://dx.doi.org/10.1007/s11845-023-03488-2</v>
      </c>
      <c r="BG970" t="s">
        <v>74</v>
      </c>
      <c r="BH970" t="s">
        <v>10650</v>
      </c>
      <c r="BI970">
        <v>4</v>
      </c>
      <c r="BJ970" t="s">
        <v>1238</v>
      </c>
      <c r="BK970" t="s">
        <v>126</v>
      </c>
      <c r="BL970" t="s">
        <v>1239</v>
      </c>
      <c r="BM970" t="s">
        <v>17795</v>
      </c>
      <c r="BN970">
        <v>37574528</v>
      </c>
      <c r="BO970" t="s">
        <v>74</v>
      </c>
      <c r="BP970" t="s">
        <v>74</v>
      </c>
      <c r="BQ970" t="s">
        <v>74</v>
      </c>
      <c r="BR970" t="s">
        <v>99</v>
      </c>
      <c r="BS970" t="s">
        <v>17796</v>
      </c>
      <c r="BT970" t="str">
        <f>HYPERLINK("https%3A%2F%2Fwww.webofscience.com%2Fwos%2Fwoscc%2Ffull-record%2FWOS:001049777400001","View Full Record in Web of Science")</f>
        <v>View Full Record in Web of Science</v>
      </c>
    </row>
    <row r="971" spans="1:72" x14ac:dyDescent="0.15">
      <c r="A971" t="s">
        <v>72</v>
      </c>
      <c r="B971" t="s">
        <v>17797</v>
      </c>
      <c r="C971" t="s">
        <v>74</v>
      </c>
      <c r="D971" t="s">
        <v>74</v>
      </c>
      <c r="E971" t="s">
        <v>74</v>
      </c>
      <c r="F971" t="s">
        <v>17798</v>
      </c>
      <c r="G971" t="s">
        <v>74</v>
      </c>
      <c r="H971" t="s">
        <v>74</v>
      </c>
      <c r="I971" t="s">
        <v>17799</v>
      </c>
      <c r="J971" t="s">
        <v>7044</v>
      </c>
      <c r="K971" t="s">
        <v>74</v>
      </c>
      <c r="L971" t="s">
        <v>74</v>
      </c>
      <c r="M971" t="s">
        <v>78</v>
      </c>
      <c r="N971" t="s">
        <v>1246</v>
      </c>
      <c r="O971" t="s">
        <v>74</v>
      </c>
      <c r="P971" t="s">
        <v>74</v>
      </c>
      <c r="Q971" t="s">
        <v>74</v>
      </c>
      <c r="R971" t="s">
        <v>74</v>
      </c>
      <c r="S971" t="s">
        <v>74</v>
      </c>
      <c r="T971" t="s">
        <v>17800</v>
      </c>
      <c r="U971" t="s">
        <v>17801</v>
      </c>
      <c r="V971" t="s">
        <v>17802</v>
      </c>
      <c r="W971" t="s">
        <v>17803</v>
      </c>
      <c r="X971" t="s">
        <v>17804</v>
      </c>
      <c r="Y971" t="s">
        <v>17805</v>
      </c>
      <c r="Z971" t="s">
        <v>17806</v>
      </c>
      <c r="AA971" t="s">
        <v>74</v>
      </c>
      <c r="AB971" t="s">
        <v>74</v>
      </c>
      <c r="AC971" t="s">
        <v>17807</v>
      </c>
      <c r="AD971" t="s">
        <v>17807</v>
      </c>
      <c r="AE971" t="s">
        <v>17808</v>
      </c>
      <c r="AF971" t="s">
        <v>74</v>
      </c>
      <c r="AG971">
        <v>28</v>
      </c>
      <c r="AH971">
        <v>0</v>
      </c>
      <c r="AI971">
        <v>0</v>
      </c>
      <c r="AJ971">
        <v>0</v>
      </c>
      <c r="AK971">
        <v>0</v>
      </c>
      <c r="AL971" t="s">
        <v>172</v>
      </c>
      <c r="AM971" t="s">
        <v>173</v>
      </c>
      <c r="AN971" t="s">
        <v>174</v>
      </c>
      <c r="AO971" t="s">
        <v>7055</v>
      </c>
      <c r="AP971" t="s">
        <v>7056</v>
      </c>
      <c r="AQ971" t="s">
        <v>74</v>
      </c>
      <c r="AR971" t="s">
        <v>7057</v>
      </c>
      <c r="AS971" t="s">
        <v>7058</v>
      </c>
      <c r="AT971" t="s">
        <v>17793</v>
      </c>
      <c r="AU971">
        <v>2023</v>
      </c>
      <c r="AV971" t="s">
        <v>74</v>
      </c>
      <c r="AW971" t="s">
        <v>74</v>
      </c>
      <c r="AX971" t="s">
        <v>74</v>
      </c>
      <c r="AY971" t="s">
        <v>74</v>
      </c>
      <c r="AZ971" t="s">
        <v>74</v>
      </c>
      <c r="BA971" t="s">
        <v>74</v>
      </c>
      <c r="BB971" t="s">
        <v>74</v>
      </c>
      <c r="BC971" t="s">
        <v>74</v>
      </c>
      <c r="BD971" t="s">
        <v>74</v>
      </c>
      <c r="BE971" t="s">
        <v>17809</v>
      </c>
      <c r="BF971" t="str">
        <f>HYPERLINK("http://dx.doi.org/10.1007/s00415-023-11918-5","http://dx.doi.org/10.1007/s00415-023-11918-5")</f>
        <v>http://dx.doi.org/10.1007/s00415-023-11918-5</v>
      </c>
      <c r="BG971" t="s">
        <v>74</v>
      </c>
      <c r="BH971" t="s">
        <v>10650</v>
      </c>
      <c r="BI971">
        <v>9</v>
      </c>
      <c r="BJ971" t="s">
        <v>2056</v>
      </c>
      <c r="BK971" t="s">
        <v>126</v>
      </c>
      <c r="BL971" t="s">
        <v>2057</v>
      </c>
      <c r="BM971" t="s">
        <v>17810</v>
      </c>
      <c r="BN971">
        <v>37578488</v>
      </c>
      <c r="BO971" t="s">
        <v>74</v>
      </c>
      <c r="BP971" t="s">
        <v>74</v>
      </c>
      <c r="BQ971" t="s">
        <v>74</v>
      </c>
      <c r="BR971" t="s">
        <v>99</v>
      </c>
      <c r="BS971" t="s">
        <v>17811</v>
      </c>
      <c r="BT971" t="str">
        <f>HYPERLINK("https%3A%2F%2Fwww.webofscience.com%2Fwos%2Fwoscc%2Ffull-record%2FWOS:001048040500002","View Full Record in Web of Science")</f>
        <v>View Full Record in Web of Science</v>
      </c>
    </row>
    <row r="972" spans="1:72" x14ac:dyDescent="0.15">
      <c r="A972" t="s">
        <v>72</v>
      </c>
      <c r="B972" t="s">
        <v>17812</v>
      </c>
      <c r="C972" t="s">
        <v>74</v>
      </c>
      <c r="D972" t="s">
        <v>74</v>
      </c>
      <c r="E972" t="s">
        <v>74</v>
      </c>
      <c r="F972" t="s">
        <v>17813</v>
      </c>
      <c r="G972" t="s">
        <v>74</v>
      </c>
      <c r="H972" t="s">
        <v>74</v>
      </c>
      <c r="I972" t="s">
        <v>17814</v>
      </c>
      <c r="J972" t="s">
        <v>17815</v>
      </c>
      <c r="K972" t="s">
        <v>74</v>
      </c>
      <c r="L972" t="s">
        <v>74</v>
      </c>
      <c r="M972" t="s">
        <v>78</v>
      </c>
      <c r="N972" t="s">
        <v>3055</v>
      </c>
      <c r="O972" t="s">
        <v>74</v>
      </c>
      <c r="P972" t="s">
        <v>74</v>
      </c>
      <c r="Q972" t="s">
        <v>74</v>
      </c>
      <c r="R972" t="s">
        <v>74</v>
      </c>
      <c r="S972" t="s">
        <v>74</v>
      </c>
      <c r="T972" t="s">
        <v>17816</v>
      </c>
      <c r="U972" t="s">
        <v>74</v>
      </c>
      <c r="V972" t="s">
        <v>74</v>
      </c>
      <c r="W972" t="s">
        <v>17817</v>
      </c>
      <c r="X972" t="s">
        <v>17818</v>
      </c>
      <c r="Y972" t="s">
        <v>17819</v>
      </c>
      <c r="Z972" t="s">
        <v>17820</v>
      </c>
      <c r="AA972" t="s">
        <v>74</v>
      </c>
      <c r="AB972" t="s">
        <v>17821</v>
      </c>
      <c r="AC972" t="s">
        <v>74</v>
      </c>
      <c r="AD972" t="s">
        <v>74</v>
      </c>
      <c r="AE972" t="s">
        <v>74</v>
      </c>
      <c r="AF972" t="s">
        <v>74</v>
      </c>
      <c r="AG972">
        <v>12</v>
      </c>
      <c r="AH972">
        <v>0</v>
      </c>
      <c r="AI972">
        <v>0</v>
      </c>
      <c r="AJ972">
        <v>1</v>
      </c>
      <c r="AK972">
        <v>1</v>
      </c>
      <c r="AL972" t="s">
        <v>1500</v>
      </c>
      <c r="AM972" t="s">
        <v>1501</v>
      </c>
      <c r="AN972" t="s">
        <v>1502</v>
      </c>
      <c r="AO972" t="s">
        <v>17822</v>
      </c>
      <c r="AP972" t="s">
        <v>17823</v>
      </c>
      <c r="AQ972" t="s">
        <v>74</v>
      </c>
      <c r="AR972" t="s">
        <v>17824</v>
      </c>
      <c r="AS972" t="s">
        <v>17825</v>
      </c>
      <c r="AT972" t="s">
        <v>17793</v>
      </c>
      <c r="AU972">
        <v>2023</v>
      </c>
      <c r="AV972" t="s">
        <v>74</v>
      </c>
      <c r="AW972" t="s">
        <v>74</v>
      </c>
      <c r="AX972" t="s">
        <v>74</v>
      </c>
      <c r="AY972" t="s">
        <v>74</v>
      </c>
      <c r="AZ972" t="s">
        <v>74</v>
      </c>
      <c r="BA972" t="s">
        <v>74</v>
      </c>
      <c r="BB972" t="s">
        <v>74</v>
      </c>
      <c r="BC972" t="s">
        <v>74</v>
      </c>
      <c r="BD972" t="s">
        <v>74</v>
      </c>
      <c r="BE972" t="s">
        <v>17826</v>
      </c>
      <c r="BF972" t="str">
        <f>HYPERLINK("http://dx.doi.org/10.1007/s13577-023-00968-6","http://dx.doi.org/10.1007/s13577-023-00968-6")</f>
        <v>http://dx.doi.org/10.1007/s13577-023-00968-6</v>
      </c>
      <c r="BG972" t="s">
        <v>74</v>
      </c>
      <c r="BH972" t="s">
        <v>10650</v>
      </c>
      <c r="BI972">
        <v>2</v>
      </c>
      <c r="BJ972" t="s">
        <v>7100</v>
      </c>
      <c r="BK972" t="s">
        <v>126</v>
      </c>
      <c r="BL972" t="s">
        <v>7100</v>
      </c>
      <c r="BM972" t="s">
        <v>17827</v>
      </c>
      <c r="BN972">
        <v>37578573</v>
      </c>
      <c r="BO972" t="s">
        <v>74</v>
      </c>
      <c r="BP972" t="s">
        <v>74</v>
      </c>
      <c r="BQ972" t="s">
        <v>74</v>
      </c>
      <c r="BR972" t="s">
        <v>99</v>
      </c>
      <c r="BS972" t="s">
        <v>17828</v>
      </c>
      <c r="BT972" t="str">
        <f>HYPERLINK("https%3A%2F%2Fwww.webofscience.com%2Fwos%2Fwoscc%2Ffull-record%2FWOS:001048720800001","View Full Record in Web of Science")</f>
        <v>View Full Record in Web of Science</v>
      </c>
    </row>
    <row r="973" spans="1:72" x14ac:dyDescent="0.15">
      <c r="A973" t="s">
        <v>72</v>
      </c>
      <c r="B973" t="s">
        <v>17829</v>
      </c>
      <c r="C973" t="s">
        <v>74</v>
      </c>
      <c r="D973" t="s">
        <v>74</v>
      </c>
      <c r="E973" t="s">
        <v>74</v>
      </c>
      <c r="F973" t="s">
        <v>17830</v>
      </c>
      <c r="G973" t="s">
        <v>74</v>
      </c>
      <c r="H973" t="s">
        <v>74</v>
      </c>
      <c r="I973" t="s">
        <v>17831</v>
      </c>
      <c r="J973" t="s">
        <v>17832</v>
      </c>
      <c r="K973" t="s">
        <v>74</v>
      </c>
      <c r="L973" t="s">
        <v>74</v>
      </c>
      <c r="M973" t="s">
        <v>78</v>
      </c>
      <c r="N973" t="s">
        <v>1246</v>
      </c>
      <c r="O973" t="s">
        <v>74</v>
      </c>
      <c r="P973" t="s">
        <v>74</v>
      </c>
      <c r="Q973" t="s">
        <v>74</v>
      </c>
      <c r="R973" t="s">
        <v>74</v>
      </c>
      <c r="S973" t="s">
        <v>74</v>
      </c>
      <c r="T973" t="s">
        <v>17833</v>
      </c>
      <c r="U973" t="s">
        <v>17834</v>
      </c>
      <c r="V973" t="s">
        <v>17835</v>
      </c>
      <c r="W973" t="s">
        <v>17836</v>
      </c>
      <c r="X973" t="s">
        <v>17837</v>
      </c>
      <c r="Y973" t="s">
        <v>17838</v>
      </c>
      <c r="Z973" t="s">
        <v>17839</v>
      </c>
      <c r="AA973" t="s">
        <v>74</v>
      </c>
      <c r="AB973" t="s">
        <v>74</v>
      </c>
      <c r="AC973" t="s">
        <v>17840</v>
      </c>
      <c r="AD973" t="s">
        <v>17840</v>
      </c>
      <c r="AE973" t="s">
        <v>17841</v>
      </c>
      <c r="AF973" t="s">
        <v>74</v>
      </c>
      <c r="AG973">
        <v>24</v>
      </c>
      <c r="AH973">
        <v>0</v>
      </c>
      <c r="AI973">
        <v>0</v>
      </c>
      <c r="AJ973">
        <v>0</v>
      </c>
      <c r="AK973">
        <v>0</v>
      </c>
      <c r="AL973" t="s">
        <v>117</v>
      </c>
      <c r="AM973" t="s">
        <v>118</v>
      </c>
      <c r="AN973" t="s">
        <v>119</v>
      </c>
      <c r="AO973" t="s">
        <v>17842</v>
      </c>
      <c r="AP973" t="s">
        <v>17843</v>
      </c>
      <c r="AQ973" t="s">
        <v>74</v>
      </c>
      <c r="AR973" t="s">
        <v>17844</v>
      </c>
      <c r="AS973" t="s">
        <v>17845</v>
      </c>
      <c r="AT973" t="s">
        <v>17793</v>
      </c>
      <c r="AU973">
        <v>2023</v>
      </c>
      <c r="AV973" t="s">
        <v>74</v>
      </c>
      <c r="AW973" t="s">
        <v>74</v>
      </c>
      <c r="AX973" t="s">
        <v>74</v>
      </c>
      <c r="AY973" t="s">
        <v>74</v>
      </c>
      <c r="AZ973" t="s">
        <v>74</v>
      </c>
      <c r="BA973" t="s">
        <v>74</v>
      </c>
      <c r="BB973" t="s">
        <v>74</v>
      </c>
      <c r="BC973" t="s">
        <v>74</v>
      </c>
      <c r="BD973" t="s">
        <v>74</v>
      </c>
      <c r="BE973" t="s">
        <v>17846</v>
      </c>
      <c r="BF973" t="str">
        <f>HYPERLINK("http://dx.doi.org/10.1007/s10278-023-00884-z","http://dx.doi.org/10.1007/s10278-023-00884-z")</f>
        <v>http://dx.doi.org/10.1007/s10278-023-00884-z</v>
      </c>
      <c r="BG973" t="s">
        <v>74</v>
      </c>
      <c r="BH973" t="s">
        <v>10650</v>
      </c>
      <c r="BI973">
        <v>10</v>
      </c>
      <c r="BJ973" t="s">
        <v>2396</v>
      </c>
      <c r="BK973" t="s">
        <v>126</v>
      </c>
      <c r="BL973" t="s">
        <v>2396</v>
      </c>
      <c r="BM973" t="s">
        <v>17847</v>
      </c>
      <c r="BN973">
        <v>37580483</v>
      </c>
      <c r="BO973" t="s">
        <v>74</v>
      </c>
      <c r="BP973" t="s">
        <v>74</v>
      </c>
      <c r="BQ973" t="s">
        <v>74</v>
      </c>
      <c r="BR973" t="s">
        <v>99</v>
      </c>
      <c r="BS973" t="s">
        <v>17848</v>
      </c>
      <c r="BT973" t="str">
        <f>HYPERLINK("https%3A%2F%2Fwww.webofscience.com%2Fwos%2Fwoscc%2Ffull-record%2FWOS:001048062900001","View Full Record in Web of Science")</f>
        <v>View Full Record in Web of Science</v>
      </c>
    </row>
    <row r="974" spans="1:72" x14ac:dyDescent="0.15">
      <c r="A974" t="s">
        <v>72</v>
      </c>
      <c r="B974" t="s">
        <v>17849</v>
      </c>
      <c r="C974" t="s">
        <v>74</v>
      </c>
      <c r="D974" t="s">
        <v>74</v>
      </c>
      <c r="E974" t="s">
        <v>74</v>
      </c>
      <c r="F974" t="s">
        <v>17850</v>
      </c>
      <c r="G974" t="s">
        <v>74</v>
      </c>
      <c r="H974" t="s">
        <v>74</v>
      </c>
      <c r="I974" t="s">
        <v>17851</v>
      </c>
      <c r="J974" t="s">
        <v>8927</v>
      </c>
      <c r="K974" t="s">
        <v>74</v>
      </c>
      <c r="L974" t="s">
        <v>74</v>
      </c>
      <c r="M974" t="s">
        <v>78</v>
      </c>
      <c r="N974" t="s">
        <v>79</v>
      </c>
      <c r="O974" t="s">
        <v>74</v>
      </c>
      <c r="P974" t="s">
        <v>74</v>
      </c>
      <c r="Q974" t="s">
        <v>74</v>
      </c>
      <c r="R974" t="s">
        <v>74</v>
      </c>
      <c r="S974" t="s">
        <v>74</v>
      </c>
      <c r="T974" t="s">
        <v>17852</v>
      </c>
      <c r="U974" t="s">
        <v>74</v>
      </c>
      <c r="V974" t="s">
        <v>17853</v>
      </c>
      <c r="W974" t="s">
        <v>17854</v>
      </c>
      <c r="X974" t="s">
        <v>17855</v>
      </c>
      <c r="Y974" t="s">
        <v>17856</v>
      </c>
      <c r="Z974" t="s">
        <v>17857</v>
      </c>
      <c r="AA974" t="s">
        <v>74</v>
      </c>
      <c r="AB974" t="s">
        <v>17858</v>
      </c>
      <c r="AC974" t="s">
        <v>17859</v>
      </c>
      <c r="AD974" t="s">
        <v>17860</v>
      </c>
      <c r="AE974" t="s">
        <v>17861</v>
      </c>
      <c r="AF974" t="s">
        <v>74</v>
      </c>
      <c r="AG974">
        <v>18</v>
      </c>
      <c r="AH974">
        <v>0</v>
      </c>
      <c r="AI974">
        <v>0</v>
      </c>
      <c r="AJ974">
        <v>10</v>
      </c>
      <c r="AK974">
        <v>10</v>
      </c>
      <c r="AL974" t="s">
        <v>146</v>
      </c>
      <c r="AM974" t="s">
        <v>147</v>
      </c>
      <c r="AN974" t="s">
        <v>148</v>
      </c>
      <c r="AO974" t="s">
        <v>8938</v>
      </c>
      <c r="AP974" t="s">
        <v>8939</v>
      </c>
      <c r="AQ974" t="s">
        <v>74</v>
      </c>
      <c r="AR974" t="s">
        <v>8940</v>
      </c>
      <c r="AS974" t="s">
        <v>8941</v>
      </c>
      <c r="AT974" t="s">
        <v>1275</v>
      </c>
      <c r="AU974">
        <v>2023</v>
      </c>
      <c r="AV974">
        <v>56</v>
      </c>
      <c r="AW974">
        <v>10</v>
      </c>
      <c r="AX974" t="s">
        <v>74</v>
      </c>
      <c r="AY974" t="s">
        <v>74</v>
      </c>
      <c r="AZ974" t="s">
        <v>74</v>
      </c>
      <c r="BA974" t="s">
        <v>74</v>
      </c>
      <c r="BB974">
        <v>6959</v>
      </c>
      <c r="BC974">
        <v>6982</v>
      </c>
      <c r="BD974" t="s">
        <v>74</v>
      </c>
      <c r="BE974" t="s">
        <v>17862</v>
      </c>
      <c r="BF974" t="str">
        <f>HYPERLINK("http://dx.doi.org/10.1007/s00603-023-03456-3","http://dx.doi.org/10.1007/s00603-023-03456-3")</f>
        <v>http://dx.doi.org/10.1007/s00603-023-03456-3</v>
      </c>
      <c r="BG974" t="s">
        <v>74</v>
      </c>
      <c r="BH974" t="s">
        <v>10650</v>
      </c>
      <c r="BI974">
        <v>24</v>
      </c>
      <c r="BJ974" t="s">
        <v>8943</v>
      </c>
      <c r="BK974" t="s">
        <v>126</v>
      </c>
      <c r="BL974" t="s">
        <v>1657</v>
      </c>
      <c r="BM974" t="s">
        <v>17863</v>
      </c>
      <c r="BN974" t="s">
        <v>74</v>
      </c>
      <c r="BO974" t="s">
        <v>183</v>
      </c>
      <c r="BP974" t="s">
        <v>74</v>
      </c>
      <c r="BQ974" t="s">
        <v>74</v>
      </c>
      <c r="BR974" t="s">
        <v>99</v>
      </c>
      <c r="BS974" t="s">
        <v>17864</v>
      </c>
      <c r="BT974" t="str">
        <f>HYPERLINK("https%3A%2F%2Fwww.webofscience.com%2Fwos%2Fwoscc%2Ffull-record%2FWOS:001048070300001","View Full Record in Web of Science")</f>
        <v>View Full Record in Web of Science</v>
      </c>
    </row>
    <row r="975" spans="1:72" x14ac:dyDescent="0.15">
      <c r="A975" t="s">
        <v>72</v>
      </c>
      <c r="B975" t="s">
        <v>17865</v>
      </c>
      <c r="C975" t="s">
        <v>74</v>
      </c>
      <c r="D975" t="s">
        <v>74</v>
      </c>
      <c r="E975" t="s">
        <v>74</v>
      </c>
      <c r="F975" t="s">
        <v>17866</v>
      </c>
      <c r="G975" t="s">
        <v>74</v>
      </c>
      <c r="H975" t="s">
        <v>74</v>
      </c>
      <c r="I975" t="s">
        <v>17867</v>
      </c>
      <c r="J975" t="s">
        <v>5882</v>
      </c>
      <c r="K975" t="s">
        <v>74</v>
      </c>
      <c r="L975" t="s">
        <v>74</v>
      </c>
      <c r="M975" t="s">
        <v>78</v>
      </c>
      <c r="N975" t="s">
        <v>1246</v>
      </c>
      <c r="O975" t="s">
        <v>74</v>
      </c>
      <c r="P975" t="s">
        <v>74</v>
      </c>
      <c r="Q975" t="s">
        <v>74</v>
      </c>
      <c r="R975" t="s">
        <v>74</v>
      </c>
      <c r="S975" t="s">
        <v>74</v>
      </c>
      <c r="T975" t="s">
        <v>17868</v>
      </c>
      <c r="U975" t="s">
        <v>17869</v>
      </c>
      <c r="V975" t="s">
        <v>17870</v>
      </c>
      <c r="W975" t="s">
        <v>17871</v>
      </c>
      <c r="X975" t="s">
        <v>17872</v>
      </c>
      <c r="Y975" t="s">
        <v>17873</v>
      </c>
      <c r="Z975" t="s">
        <v>17874</v>
      </c>
      <c r="AA975" t="s">
        <v>17875</v>
      </c>
      <c r="AB975" t="s">
        <v>17876</v>
      </c>
      <c r="AC975" t="s">
        <v>17877</v>
      </c>
      <c r="AD975" t="s">
        <v>17878</v>
      </c>
      <c r="AE975" t="s">
        <v>17879</v>
      </c>
      <c r="AF975" t="s">
        <v>74</v>
      </c>
      <c r="AG975">
        <v>119</v>
      </c>
      <c r="AH975">
        <v>0</v>
      </c>
      <c r="AI975">
        <v>0</v>
      </c>
      <c r="AJ975">
        <v>0</v>
      </c>
      <c r="AK975">
        <v>0</v>
      </c>
      <c r="AL975" t="s">
        <v>117</v>
      </c>
      <c r="AM975" t="s">
        <v>118</v>
      </c>
      <c r="AN975" t="s">
        <v>119</v>
      </c>
      <c r="AO975" t="s">
        <v>5890</v>
      </c>
      <c r="AP975" t="s">
        <v>5891</v>
      </c>
      <c r="AQ975" t="s">
        <v>74</v>
      </c>
      <c r="AR975" t="s">
        <v>5892</v>
      </c>
      <c r="AS975" t="s">
        <v>5893</v>
      </c>
      <c r="AT975" t="s">
        <v>17793</v>
      </c>
      <c r="AU975">
        <v>2023</v>
      </c>
      <c r="AV975" t="s">
        <v>74</v>
      </c>
      <c r="AW975" t="s">
        <v>74</v>
      </c>
      <c r="AX975" t="s">
        <v>74</v>
      </c>
      <c r="AY975" t="s">
        <v>74</v>
      </c>
      <c r="AZ975" t="s">
        <v>74</v>
      </c>
      <c r="BA975" t="s">
        <v>74</v>
      </c>
      <c r="BB975" t="s">
        <v>74</v>
      </c>
      <c r="BC975" t="s">
        <v>74</v>
      </c>
      <c r="BD975" t="s">
        <v>74</v>
      </c>
      <c r="BE975" t="s">
        <v>17880</v>
      </c>
      <c r="BF975" t="str">
        <f>HYPERLINK("http://dx.doi.org/10.1007/s13178-023-00856-6","http://dx.doi.org/10.1007/s13178-023-00856-6")</f>
        <v>http://dx.doi.org/10.1007/s13178-023-00856-6</v>
      </c>
      <c r="BG975" t="s">
        <v>74</v>
      </c>
      <c r="BH975" t="s">
        <v>10650</v>
      </c>
      <c r="BI975">
        <v>22</v>
      </c>
      <c r="BJ975" t="s">
        <v>713</v>
      </c>
      <c r="BK975" t="s">
        <v>425</v>
      </c>
      <c r="BL975" t="s">
        <v>714</v>
      </c>
      <c r="BM975" t="s">
        <v>17881</v>
      </c>
      <c r="BN975" t="s">
        <v>74</v>
      </c>
      <c r="BO975" t="s">
        <v>183</v>
      </c>
      <c r="BP975" t="s">
        <v>74</v>
      </c>
      <c r="BQ975" t="s">
        <v>74</v>
      </c>
      <c r="BR975" t="s">
        <v>99</v>
      </c>
      <c r="BS975" t="s">
        <v>17882</v>
      </c>
      <c r="BT975" t="str">
        <f>HYPERLINK("https%3A%2F%2Fwww.webofscience.com%2Fwos%2Fwoscc%2Ffull-record%2FWOS:001048049900001","View Full Record in Web of Science")</f>
        <v>View Full Record in Web of Science</v>
      </c>
    </row>
    <row r="976" spans="1:72" x14ac:dyDescent="0.15">
      <c r="A976" t="s">
        <v>72</v>
      </c>
      <c r="B976" t="s">
        <v>17883</v>
      </c>
      <c r="C976" t="s">
        <v>74</v>
      </c>
      <c r="D976" t="s">
        <v>74</v>
      </c>
      <c r="E976" t="s">
        <v>74</v>
      </c>
      <c r="F976" t="s">
        <v>17884</v>
      </c>
      <c r="G976" t="s">
        <v>74</v>
      </c>
      <c r="H976" t="s">
        <v>74</v>
      </c>
      <c r="I976" t="s">
        <v>17885</v>
      </c>
      <c r="J976" t="s">
        <v>14653</v>
      </c>
      <c r="K976" t="s">
        <v>74</v>
      </c>
      <c r="L976" t="s">
        <v>74</v>
      </c>
      <c r="M976" t="s">
        <v>78</v>
      </c>
      <c r="N976" t="s">
        <v>1246</v>
      </c>
      <c r="O976" t="s">
        <v>74</v>
      </c>
      <c r="P976" t="s">
        <v>74</v>
      </c>
      <c r="Q976" t="s">
        <v>74</v>
      </c>
      <c r="R976" t="s">
        <v>74</v>
      </c>
      <c r="S976" t="s">
        <v>74</v>
      </c>
      <c r="T976" t="s">
        <v>17886</v>
      </c>
      <c r="U976" t="s">
        <v>17887</v>
      </c>
      <c r="V976" t="s">
        <v>17888</v>
      </c>
      <c r="W976" t="s">
        <v>17889</v>
      </c>
      <c r="X976" t="s">
        <v>17890</v>
      </c>
      <c r="Y976" t="s">
        <v>17891</v>
      </c>
      <c r="Z976" t="s">
        <v>17892</v>
      </c>
      <c r="AA976" t="s">
        <v>74</v>
      </c>
      <c r="AB976" t="s">
        <v>17893</v>
      </c>
      <c r="AC976" t="s">
        <v>74</v>
      </c>
      <c r="AD976" t="s">
        <v>74</v>
      </c>
      <c r="AE976" t="s">
        <v>74</v>
      </c>
      <c r="AF976" t="s">
        <v>74</v>
      </c>
      <c r="AG976">
        <v>18</v>
      </c>
      <c r="AH976">
        <v>0</v>
      </c>
      <c r="AI976">
        <v>0</v>
      </c>
      <c r="AJ976">
        <v>0</v>
      </c>
      <c r="AK976">
        <v>0</v>
      </c>
      <c r="AL976" t="s">
        <v>117</v>
      </c>
      <c r="AM976" t="s">
        <v>118</v>
      </c>
      <c r="AN976" t="s">
        <v>119</v>
      </c>
      <c r="AO976" t="s">
        <v>14663</v>
      </c>
      <c r="AP976" t="s">
        <v>14664</v>
      </c>
      <c r="AQ976" t="s">
        <v>74</v>
      </c>
      <c r="AR976" t="s">
        <v>14665</v>
      </c>
      <c r="AS976" t="s">
        <v>14666</v>
      </c>
      <c r="AT976" t="s">
        <v>17793</v>
      </c>
      <c r="AU976">
        <v>2023</v>
      </c>
      <c r="AV976" t="s">
        <v>74</v>
      </c>
      <c r="AW976" t="s">
        <v>74</v>
      </c>
      <c r="AX976" t="s">
        <v>74</v>
      </c>
      <c r="AY976" t="s">
        <v>74</v>
      </c>
      <c r="AZ976" t="s">
        <v>74</v>
      </c>
      <c r="BA976" t="s">
        <v>74</v>
      </c>
      <c r="BB976" t="s">
        <v>74</v>
      </c>
      <c r="BC976" t="s">
        <v>74</v>
      </c>
      <c r="BD976" t="s">
        <v>74</v>
      </c>
      <c r="BE976" t="s">
        <v>17894</v>
      </c>
      <c r="BF976" t="str">
        <f>HYPERLINK("http://dx.doi.org/10.1007/s00464-023-10322-4","http://dx.doi.org/10.1007/s00464-023-10322-4")</f>
        <v>http://dx.doi.org/10.1007/s00464-023-10322-4</v>
      </c>
      <c r="BG976" t="s">
        <v>74</v>
      </c>
      <c r="BH976" t="s">
        <v>10650</v>
      </c>
      <c r="BI976">
        <v>7</v>
      </c>
      <c r="BJ976" t="s">
        <v>2373</v>
      </c>
      <c r="BK976" t="s">
        <v>126</v>
      </c>
      <c r="BL976" t="s">
        <v>2373</v>
      </c>
      <c r="BM976" t="s">
        <v>17895</v>
      </c>
      <c r="BN976">
        <v>37580578</v>
      </c>
      <c r="BO976" t="s">
        <v>74</v>
      </c>
      <c r="BP976" t="s">
        <v>74</v>
      </c>
      <c r="BQ976" t="s">
        <v>74</v>
      </c>
      <c r="BR976" t="s">
        <v>99</v>
      </c>
      <c r="BS976" t="s">
        <v>17896</v>
      </c>
      <c r="BT976" t="str">
        <f>HYPERLINK("https%3A%2F%2Fwww.webofscience.com%2Fwos%2Fwoscc%2Ffull-record%2FWOS:001048688800007","View Full Record in Web of Science")</f>
        <v>View Full Record in Web of Science</v>
      </c>
    </row>
    <row r="977" spans="1:72" x14ac:dyDescent="0.15">
      <c r="A977" t="s">
        <v>72</v>
      </c>
      <c r="B977" t="s">
        <v>17897</v>
      </c>
      <c r="C977" t="s">
        <v>74</v>
      </c>
      <c r="D977" t="s">
        <v>74</v>
      </c>
      <c r="E977" t="s">
        <v>74</v>
      </c>
      <c r="F977" t="s">
        <v>17898</v>
      </c>
      <c r="G977" t="s">
        <v>74</v>
      </c>
      <c r="H977" t="s">
        <v>74</v>
      </c>
      <c r="I977" t="s">
        <v>17899</v>
      </c>
      <c r="J977" t="s">
        <v>16072</v>
      </c>
      <c r="K977" t="s">
        <v>74</v>
      </c>
      <c r="L977" t="s">
        <v>74</v>
      </c>
      <c r="M977" t="s">
        <v>78</v>
      </c>
      <c r="N977" t="s">
        <v>872</v>
      </c>
      <c r="O977" t="s">
        <v>74</v>
      </c>
      <c r="P977" t="s">
        <v>74</v>
      </c>
      <c r="Q977" t="s">
        <v>74</v>
      </c>
      <c r="R977" t="s">
        <v>74</v>
      </c>
      <c r="S977" t="s">
        <v>74</v>
      </c>
      <c r="T977" t="s">
        <v>74</v>
      </c>
      <c r="U977" t="s">
        <v>74</v>
      </c>
      <c r="V977" t="s">
        <v>74</v>
      </c>
      <c r="W977" t="s">
        <v>17900</v>
      </c>
      <c r="X977" t="s">
        <v>17901</v>
      </c>
      <c r="Y977" t="s">
        <v>17902</v>
      </c>
      <c r="Z977" t="s">
        <v>17903</v>
      </c>
      <c r="AA977" t="s">
        <v>74</v>
      </c>
      <c r="AB977" t="s">
        <v>74</v>
      </c>
      <c r="AC977" t="s">
        <v>74</v>
      </c>
      <c r="AD977" t="s">
        <v>74</v>
      </c>
      <c r="AE977" t="s">
        <v>74</v>
      </c>
      <c r="AF977" t="s">
        <v>74</v>
      </c>
      <c r="AG977">
        <v>1</v>
      </c>
      <c r="AH977">
        <v>0</v>
      </c>
      <c r="AI977">
        <v>0</v>
      </c>
      <c r="AJ977">
        <v>0</v>
      </c>
      <c r="AK977">
        <v>0</v>
      </c>
      <c r="AL977" t="s">
        <v>317</v>
      </c>
      <c r="AM977" t="s">
        <v>245</v>
      </c>
      <c r="AN977" t="s">
        <v>318</v>
      </c>
      <c r="AO977" t="s">
        <v>16085</v>
      </c>
      <c r="AP977" t="s">
        <v>16086</v>
      </c>
      <c r="AQ977" t="s">
        <v>74</v>
      </c>
      <c r="AR977" t="s">
        <v>16087</v>
      </c>
      <c r="AS977" t="s">
        <v>16088</v>
      </c>
      <c r="AT977" t="s">
        <v>94</v>
      </c>
      <c r="AU977">
        <v>2023</v>
      </c>
      <c r="AV977">
        <v>5</v>
      </c>
      <c r="AW977">
        <v>4</v>
      </c>
      <c r="AX977" t="s">
        <v>74</v>
      </c>
      <c r="AY977" t="s">
        <v>74</v>
      </c>
      <c r="AZ977" t="s">
        <v>74</v>
      </c>
      <c r="BA977" t="s">
        <v>74</v>
      </c>
      <c r="BB977">
        <v>608</v>
      </c>
      <c r="BC977">
        <v>608</v>
      </c>
      <c r="BD977" t="s">
        <v>74</v>
      </c>
      <c r="BE977" t="s">
        <v>17904</v>
      </c>
      <c r="BF977" t="str">
        <f>HYPERLINK("http://dx.doi.org/10.1007/s42864-023-00238-w","http://dx.doi.org/10.1007/s42864-023-00238-w")</f>
        <v>http://dx.doi.org/10.1007/s42864-023-00238-w</v>
      </c>
      <c r="BG977" t="s">
        <v>74</v>
      </c>
      <c r="BH977" t="s">
        <v>10650</v>
      </c>
      <c r="BI977">
        <v>1</v>
      </c>
      <c r="BJ977" t="s">
        <v>1443</v>
      </c>
      <c r="BK977" t="s">
        <v>97</v>
      </c>
      <c r="BL977" t="s">
        <v>1444</v>
      </c>
      <c r="BM977" t="s">
        <v>17905</v>
      </c>
      <c r="BN977" t="s">
        <v>74</v>
      </c>
      <c r="BO977" t="s">
        <v>762</v>
      </c>
      <c r="BP977" t="s">
        <v>74</v>
      </c>
      <c r="BQ977" t="s">
        <v>74</v>
      </c>
      <c r="BR977" t="s">
        <v>99</v>
      </c>
      <c r="BS977" t="s">
        <v>17906</v>
      </c>
      <c r="BT977" t="str">
        <f>HYPERLINK("https%3A%2F%2Fwww.webofscience.com%2Fwos%2Fwoscc%2Ffull-record%2FWOS:001050290100001","View Full Record in Web of Science")</f>
        <v>View Full Record in Web of Science</v>
      </c>
    </row>
    <row r="978" spans="1:72" x14ac:dyDescent="0.15">
      <c r="A978" t="s">
        <v>72</v>
      </c>
      <c r="B978" t="s">
        <v>17907</v>
      </c>
      <c r="C978" t="s">
        <v>74</v>
      </c>
      <c r="D978" t="s">
        <v>74</v>
      </c>
      <c r="E978" t="s">
        <v>74</v>
      </c>
      <c r="F978" t="s">
        <v>17908</v>
      </c>
      <c r="G978" t="s">
        <v>74</v>
      </c>
      <c r="H978" t="s">
        <v>74</v>
      </c>
      <c r="I978" t="s">
        <v>17909</v>
      </c>
      <c r="J978" t="s">
        <v>17910</v>
      </c>
      <c r="K978" t="s">
        <v>74</v>
      </c>
      <c r="L978" t="s">
        <v>74</v>
      </c>
      <c r="M978" t="s">
        <v>78</v>
      </c>
      <c r="N978" t="s">
        <v>79</v>
      </c>
      <c r="O978" t="s">
        <v>74</v>
      </c>
      <c r="P978" t="s">
        <v>74</v>
      </c>
      <c r="Q978" t="s">
        <v>74</v>
      </c>
      <c r="R978" t="s">
        <v>74</v>
      </c>
      <c r="S978" t="s">
        <v>74</v>
      </c>
      <c r="T978" t="s">
        <v>17911</v>
      </c>
      <c r="U978" t="s">
        <v>17912</v>
      </c>
      <c r="V978" t="s">
        <v>17913</v>
      </c>
      <c r="W978" t="s">
        <v>17914</v>
      </c>
      <c r="X978" t="s">
        <v>17915</v>
      </c>
      <c r="Y978" t="s">
        <v>17916</v>
      </c>
      <c r="Z978" t="s">
        <v>17917</v>
      </c>
      <c r="AA978" t="s">
        <v>74</v>
      </c>
      <c r="AB978" t="s">
        <v>74</v>
      </c>
      <c r="AC978" t="s">
        <v>74</v>
      </c>
      <c r="AD978" t="s">
        <v>74</v>
      </c>
      <c r="AE978" t="s">
        <v>74</v>
      </c>
      <c r="AF978" t="s">
        <v>74</v>
      </c>
      <c r="AG978">
        <v>19</v>
      </c>
      <c r="AH978">
        <v>0</v>
      </c>
      <c r="AI978">
        <v>0</v>
      </c>
      <c r="AJ978">
        <v>0</v>
      </c>
      <c r="AK978">
        <v>0</v>
      </c>
      <c r="AL978" t="s">
        <v>443</v>
      </c>
      <c r="AM978" t="s">
        <v>245</v>
      </c>
      <c r="AN978" t="s">
        <v>444</v>
      </c>
      <c r="AO978" t="s">
        <v>74</v>
      </c>
      <c r="AP978" t="s">
        <v>17918</v>
      </c>
      <c r="AQ978" t="s">
        <v>74</v>
      </c>
      <c r="AR978" t="s">
        <v>17919</v>
      </c>
      <c r="AS978" t="s">
        <v>17920</v>
      </c>
      <c r="AT978" t="s">
        <v>17773</v>
      </c>
      <c r="AU978">
        <v>2023</v>
      </c>
      <c r="AV978">
        <v>16</v>
      </c>
      <c r="AW978">
        <v>1</v>
      </c>
      <c r="AX978" t="s">
        <v>74</v>
      </c>
      <c r="AY978" t="s">
        <v>74</v>
      </c>
      <c r="AZ978" t="s">
        <v>74</v>
      </c>
      <c r="BA978" t="s">
        <v>74</v>
      </c>
      <c r="BB978" t="s">
        <v>74</v>
      </c>
      <c r="BC978" t="s">
        <v>74</v>
      </c>
      <c r="BD978">
        <v>32</v>
      </c>
      <c r="BE978" t="s">
        <v>17921</v>
      </c>
      <c r="BF978" t="str">
        <f>HYPERLINK("http://dx.doi.org/10.1186/s13044-023-00174-4","http://dx.doi.org/10.1186/s13044-023-00174-4")</f>
        <v>http://dx.doi.org/10.1186/s13044-023-00174-4</v>
      </c>
      <c r="BG978" t="s">
        <v>74</v>
      </c>
      <c r="BH978" t="s">
        <v>74</v>
      </c>
      <c r="BI978">
        <v>6</v>
      </c>
      <c r="BJ978" t="s">
        <v>5606</v>
      </c>
      <c r="BK978" t="s">
        <v>97</v>
      </c>
      <c r="BL978" t="s">
        <v>5606</v>
      </c>
      <c r="BM978" t="s">
        <v>17922</v>
      </c>
      <c r="BN978">
        <v>37580720</v>
      </c>
      <c r="BO978" t="s">
        <v>157</v>
      </c>
      <c r="BP978" t="s">
        <v>74</v>
      </c>
      <c r="BQ978" t="s">
        <v>74</v>
      </c>
      <c r="BR978" t="s">
        <v>99</v>
      </c>
      <c r="BS978" t="s">
        <v>17923</v>
      </c>
      <c r="BT978" t="str">
        <f>HYPERLINK("https%3A%2F%2Fwww.webofscience.com%2Fwos%2Fwoscc%2Ffull-record%2FWOS:001048701200001","View Full Record in Web of Science")</f>
        <v>View Full Record in Web of Science</v>
      </c>
    </row>
    <row r="979" spans="1:72" x14ac:dyDescent="0.15">
      <c r="A979" t="s">
        <v>72</v>
      </c>
      <c r="B979" t="s">
        <v>17924</v>
      </c>
      <c r="C979" t="s">
        <v>74</v>
      </c>
      <c r="D979" t="s">
        <v>74</v>
      </c>
      <c r="E979" t="s">
        <v>74</v>
      </c>
      <c r="F979" t="s">
        <v>17925</v>
      </c>
      <c r="G979" t="s">
        <v>74</v>
      </c>
      <c r="H979" t="s">
        <v>74</v>
      </c>
      <c r="I979" t="s">
        <v>17926</v>
      </c>
      <c r="J979" t="s">
        <v>17927</v>
      </c>
      <c r="K979" t="s">
        <v>74</v>
      </c>
      <c r="L979" t="s">
        <v>74</v>
      </c>
      <c r="M979" t="s">
        <v>78</v>
      </c>
      <c r="N979" t="s">
        <v>1246</v>
      </c>
      <c r="O979" t="s">
        <v>74</v>
      </c>
      <c r="P979" t="s">
        <v>74</v>
      </c>
      <c r="Q979" t="s">
        <v>74</v>
      </c>
      <c r="R979" t="s">
        <v>74</v>
      </c>
      <c r="S979" t="s">
        <v>74</v>
      </c>
      <c r="T979" t="s">
        <v>17928</v>
      </c>
      <c r="U979" t="s">
        <v>17929</v>
      </c>
      <c r="V979" t="s">
        <v>17930</v>
      </c>
      <c r="W979" t="s">
        <v>17931</v>
      </c>
      <c r="X979" t="s">
        <v>17932</v>
      </c>
      <c r="Y979" t="s">
        <v>17933</v>
      </c>
      <c r="Z979" t="s">
        <v>17934</v>
      </c>
      <c r="AA979" t="s">
        <v>74</v>
      </c>
      <c r="AB979" t="s">
        <v>74</v>
      </c>
      <c r="AC979" t="s">
        <v>17935</v>
      </c>
      <c r="AD979" t="s">
        <v>17936</v>
      </c>
      <c r="AE979" t="s">
        <v>17937</v>
      </c>
      <c r="AF979" t="s">
        <v>74</v>
      </c>
      <c r="AG979">
        <v>42</v>
      </c>
      <c r="AH979">
        <v>0</v>
      </c>
      <c r="AI979">
        <v>0</v>
      </c>
      <c r="AJ979">
        <v>7</v>
      </c>
      <c r="AK979">
        <v>7</v>
      </c>
      <c r="AL979" t="s">
        <v>172</v>
      </c>
      <c r="AM979" t="s">
        <v>173</v>
      </c>
      <c r="AN979" t="s">
        <v>174</v>
      </c>
      <c r="AO979" t="s">
        <v>17938</v>
      </c>
      <c r="AP979" t="s">
        <v>17939</v>
      </c>
      <c r="AQ979" t="s">
        <v>74</v>
      </c>
      <c r="AR979" t="s">
        <v>17940</v>
      </c>
      <c r="AS979" t="s">
        <v>17941</v>
      </c>
      <c r="AT979" t="s">
        <v>17793</v>
      </c>
      <c r="AU979">
        <v>2023</v>
      </c>
      <c r="AV979" t="s">
        <v>74</v>
      </c>
      <c r="AW979" t="s">
        <v>74</v>
      </c>
      <c r="AX979" t="s">
        <v>74</v>
      </c>
      <c r="AY979" t="s">
        <v>74</v>
      </c>
      <c r="AZ979" t="s">
        <v>74</v>
      </c>
      <c r="BA979" t="s">
        <v>74</v>
      </c>
      <c r="BB979" t="s">
        <v>74</v>
      </c>
      <c r="BC979" t="s">
        <v>74</v>
      </c>
      <c r="BD979" t="s">
        <v>74</v>
      </c>
      <c r="BE979" t="s">
        <v>17942</v>
      </c>
      <c r="BF979" t="str">
        <f>HYPERLINK("http://dx.doi.org/10.1007/s42461-023-00829-8","http://dx.doi.org/10.1007/s42461-023-00829-8")</f>
        <v>http://dx.doi.org/10.1007/s42461-023-00829-8</v>
      </c>
      <c r="BG979" t="s">
        <v>74</v>
      </c>
      <c r="BH979" t="s">
        <v>10650</v>
      </c>
      <c r="BI979">
        <v>21</v>
      </c>
      <c r="BJ979" t="s">
        <v>17943</v>
      </c>
      <c r="BK979" t="s">
        <v>126</v>
      </c>
      <c r="BL979" t="s">
        <v>17943</v>
      </c>
      <c r="BM979" t="s">
        <v>17944</v>
      </c>
      <c r="BN979" t="s">
        <v>74</v>
      </c>
      <c r="BO979" t="s">
        <v>74</v>
      </c>
      <c r="BP979" t="s">
        <v>74</v>
      </c>
      <c r="BQ979" t="s">
        <v>74</v>
      </c>
      <c r="BR979" t="s">
        <v>99</v>
      </c>
      <c r="BS979" t="s">
        <v>17945</v>
      </c>
      <c r="BT979" t="str">
        <f>HYPERLINK("https%3A%2F%2Fwww.webofscience.com%2Fwos%2Fwoscc%2Ffull-record%2FWOS:001048101800001","View Full Record in Web of Science")</f>
        <v>View Full Record in Web of Science</v>
      </c>
    </row>
    <row r="980" spans="1:72" x14ac:dyDescent="0.15">
      <c r="A980" t="s">
        <v>72</v>
      </c>
      <c r="B980" t="s">
        <v>17946</v>
      </c>
      <c r="C980" t="s">
        <v>74</v>
      </c>
      <c r="D980" t="s">
        <v>74</v>
      </c>
      <c r="E980" t="s">
        <v>74</v>
      </c>
      <c r="F980" t="s">
        <v>17947</v>
      </c>
      <c r="G980" t="s">
        <v>74</v>
      </c>
      <c r="H980" t="s">
        <v>74</v>
      </c>
      <c r="I980" t="s">
        <v>17948</v>
      </c>
      <c r="J980" t="s">
        <v>10071</v>
      </c>
      <c r="K980" t="s">
        <v>74</v>
      </c>
      <c r="L980" t="s">
        <v>74</v>
      </c>
      <c r="M980" t="s">
        <v>78</v>
      </c>
      <c r="N980" t="s">
        <v>79</v>
      </c>
      <c r="O980" t="s">
        <v>74</v>
      </c>
      <c r="P980" t="s">
        <v>74</v>
      </c>
      <c r="Q980" t="s">
        <v>74</v>
      </c>
      <c r="R980" t="s">
        <v>74</v>
      </c>
      <c r="S980" t="s">
        <v>74</v>
      </c>
      <c r="T980" t="s">
        <v>17949</v>
      </c>
      <c r="U980" t="s">
        <v>74</v>
      </c>
      <c r="V980" t="s">
        <v>17950</v>
      </c>
      <c r="W980" t="s">
        <v>17951</v>
      </c>
      <c r="X980" t="s">
        <v>17952</v>
      </c>
      <c r="Y980" t="s">
        <v>17953</v>
      </c>
      <c r="Z980" t="s">
        <v>17954</v>
      </c>
      <c r="AA980" t="s">
        <v>17955</v>
      </c>
      <c r="AB980" t="s">
        <v>17956</v>
      </c>
      <c r="AC980" t="s">
        <v>74</v>
      </c>
      <c r="AD980" t="s">
        <v>74</v>
      </c>
      <c r="AE980" t="s">
        <v>74</v>
      </c>
      <c r="AF980" t="s">
        <v>74</v>
      </c>
      <c r="AG980">
        <v>34</v>
      </c>
      <c r="AH980">
        <v>0</v>
      </c>
      <c r="AI980">
        <v>0</v>
      </c>
      <c r="AJ980">
        <v>0</v>
      </c>
      <c r="AK980">
        <v>0</v>
      </c>
      <c r="AL980" t="s">
        <v>117</v>
      </c>
      <c r="AM980" t="s">
        <v>118</v>
      </c>
      <c r="AN980" t="s">
        <v>119</v>
      </c>
      <c r="AO980" t="s">
        <v>10082</v>
      </c>
      <c r="AP980" t="s">
        <v>10083</v>
      </c>
      <c r="AQ980" t="s">
        <v>74</v>
      </c>
      <c r="AR980" t="s">
        <v>10084</v>
      </c>
      <c r="AS980" t="s">
        <v>10085</v>
      </c>
      <c r="AT980" t="s">
        <v>1275</v>
      </c>
      <c r="AU980">
        <v>2023</v>
      </c>
      <c r="AV980">
        <v>27</v>
      </c>
      <c r="AW980">
        <v>20</v>
      </c>
      <c r="AX980" t="s">
        <v>74</v>
      </c>
      <c r="AY980" t="s">
        <v>74</v>
      </c>
      <c r="AZ980" t="s">
        <v>74</v>
      </c>
      <c r="BA980" t="s">
        <v>74</v>
      </c>
      <c r="BB980">
        <v>14601</v>
      </c>
      <c r="BC980">
        <v>14619</v>
      </c>
      <c r="BD980" t="s">
        <v>74</v>
      </c>
      <c r="BE980" t="s">
        <v>17957</v>
      </c>
      <c r="BF980" t="str">
        <f>HYPERLINK("http://dx.doi.org/10.1007/s00500-023-09027-6","http://dx.doi.org/10.1007/s00500-023-09027-6")</f>
        <v>http://dx.doi.org/10.1007/s00500-023-09027-6</v>
      </c>
      <c r="BG980" t="s">
        <v>74</v>
      </c>
      <c r="BH980" t="s">
        <v>10650</v>
      </c>
      <c r="BI980">
        <v>19</v>
      </c>
      <c r="BJ980" t="s">
        <v>10087</v>
      </c>
      <c r="BK980" t="s">
        <v>126</v>
      </c>
      <c r="BL980" t="s">
        <v>1139</v>
      </c>
      <c r="BM980" t="s">
        <v>17958</v>
      </c>
      <c r="BN980" t="s">
        <v>74</v>
      </c>
      <c r="BO980" t="s">
        <v>74</v>
      </c>
      <c r="BP980" t="s">
        <v>74</v>
      </c>
      <c r="BQ980" t="s">
        <v>74</v>
      </c>
      <c r="BR980" t="s">
        <v>99</v>
      </c>
      <c r="BS980" t="s">
        <v>17959</v>
      </c>
      <c r="BT980" t="str">
        <f>HYPERLINK("https%3A%2F%2Fwww.webofscience.com%2Fwos%2Fwoscc%2Ffull-record%2FWOS:001048868100005","View Full Record in Web of Science")</f>
        <v>View Full Record in Web of Science</v>
      </c>
    </row>
    <row r="981" spans="1:72" x14ac:dyDescent="0.15">
      <c r="A981" t="s">
        <v>72</v>
      </c>
      <c r="B981" t="s">
        <v>17960</v>
      </c>
      <c r="C981" t="s">
        <v>74</v>
      </c>
      <c r="D981" t="s">
        <v>74</v>
      </c>
      <c r="E981" t="s">
        <v>74</v>
      </c>
      <c r="F981" t="s">
        <v>17961</v>
      </c>
      <c r="G981" t="s">
        <v>74</v>
      </c>
      <c r="H981" t="s">
        <v>74</v>
      </c>
      <c r="I981" t="s">
        <v>17962</v>
      </c>
      <c r="J981" t="s">
        <v>17963</v>
      </c>
      <c r="K981" t="s">
        <v>74</v>
      </c>
      <c r="L981" t="s">
        <v>74</v>
      </c>
      <c r="M981" t="s">
        <v>78</v>
      </c>
      <c r="N981" t="s">
        <v>2174</v>
      </c>
      <c r="O981" t="s">
        <v>74</v>
      </c>
      <c r="P981" t="s">
        <v>74</v>
      </c>
      <c r="Q981" t="s">
        <v>74</v>
      </c>
      <c r="R981" t="s">
        <v>74</v>
      </c>
      <c r="S981" t="s">
        <v>74</v>
      </c>
      <c r="T981" t="s">
        <v>17964</v>
      </c>
      <c r="U981" t="s">
        <v>74</v>
      </c>
      <c r="V981" t="s">
        <v>17965</v>
      </c>
      <c r="W981" t="s">
        <v>17966</v>
      </c>
      <c r="X981" t="s">
        <v>17967</v>
      </c>
      <c r="Y981" t="s">
        <v>17968</v>
      </c>
      <c r="Z981" t="s">
        <v>17969</v>
      </c>
      <c r="AA981" t="s">
        <v>17970</v>
      </c>
      <c r="AB981" t="s">
        <v>17971</v>
      </c>
      <c r="AC981" t="s">
        <v>17972</v>
      </c>
      <c r="AD981" t="s">
        <v>17972</v>
      </c>
      <c r="AE981" t="s">
        <v>17973</v>
      </c>
      <c r="AF981" t="s">
        <v>74</v>
      </c>
      <c r="AG981">
        <v>40</v>
      </c>
      <c r="AH981">
        <v>0</v>
      </c>
      <c r="AI981">
        <v>0</v>
      </c>
      <c r="AJ981">
        <v>1</v>
      </c>
      <c r="AK981">
        <v>1</v>
      </c>
      <c r="AL981" t="s">
        <v>117</v>
      </c>
      <c r="AM981" t="s">
        <v>118</v>
      </c>
      <c r="AN981" t="s">
        <v>119</v>
      </c>
      <c r="AO981" t="s">
        <v>17974</v>
      </c>
      <c r="AP981" t="s">
        <v>17975</v>
      </c>
      <c r="AQ981" t="s">
        <v>74</v>
      </c>
      <c r="AR981" t="s">
        <v>17976</v>
      </c>
      <c r="AS981" t="s">
        <v>17977</v>
      </c>
      <c r="AT981" t="s">
        <v>17793</v>
      </c>
      <c r="AU981">
        <v>2023</v>
      </c>
      <c r="AV981" t="s">
        <v>74</v>
      </c>
      <c r="AW981" t="s">
        <v>74</v>
      </c>
      <c r="AX981" t="s">
        <v>74</v>
      </c>
      <c r="AY981" t="s">
        <v>74</v>
      </c>
      <c r="AZ981" t="s">
        <v>74</v>
      </c>
      <c r="BA981" t="s">
        <v>74</v>
      </c>
      <c r="BB981" t="s">
        <v>74</v>
      </c>
      <c r="BC981" t="s">
        <v>74</v>
      </c>
      <c r="BD981" t="s">
        <v>74</v>
      </c>
      <c r="BE981" t="s">
        <v>17978</v>
      </c>
      <c r="BF981" t="str">
        <f>HYPERLINK("http://dx.doi.org/10.1007/s11469-023-01126-7","http://dx.doi.org/10.1007/s11469-023-01126-7")</f>
        <v>http://dx.doi.org/10.1007/s11469-023-01126-7</v>
      </c>
      <c r="BG981" t="s">
        <v>74</v>
      </c>
      <c r="BH981" t="s">
        <v>10650</v>
      </c>
      <c r="BI981">
        <v>17</v>
      </c>
      <c r="BJ981" t="s">
        <v>17979</v>
      </c>
      <c r="BK981" t="s">
        <v>2431</v>
      </c>
      <c r="BL981" t="s">
        <v>17980</v>
      </c>
      <c r="BM981" t="s">
        <v>17981</v>
      </c>
      <c r="BN981" t="s">
        <v>74</v>
      </c>
      <c r="BO981" t="s">
        <v>674</v>
      </c>
      <c r="BP981" t="s">
        <v>74</v>
      </c>
      <c r="BQ981" t="s">
        <v>74</v>
      </c>
      <c r="BR981" t="s">
        <v>99</v>
      </c>
      <c r="BS981" t="s">
        <v>17982</v>
      </c>
      <c r="BT981" t="str">
        <f>HYPERLINK("https%3A%2F%2Fwww.webofscience.com%2Fwos%2Fwoscc%2Ffull-record%2FWOS:001048084300002","View Full Record in Web of Science")</f>
        <v>View Full Record in Web of Science</v>
      </c>
    </row>
    <row r="982" spans="1:72" x14ac:dyDescent="0.15">
      <c r="A982" t="s">
        <v>72</v>
      </c>
      <c r="B982" t="s">
        <v>17983</v>
      </c>
      <c r="C982" t="s">
        <v>74</v>
      </c>
      <c r="D982" t="s">
        <v>74</v>
      </c>
      <c r="E982" t="s">
        <v>74</v>
      </c>
      <c r="F982" t="s">
        <v>17984</v>
      </c>
      <c r="G982" t="s">
        <v>74</v>
      </c>
      <c r="H982" t="s">
        <v>74</v>
      </c>
      <c r="I982" t="s">
        <v>17985</v>
      </c>
      <c r="J982" t="s">
        <v>17986</v>
      </c>
      <c r="K982" t="s">
        <v>74</v>
      </c>
      <c r="L982" t="s">
        <v>74</v>
      </c>
      <c r="M982" t="s">
        <v>78</v>
      </c>
      <c r="N982" t="s">
        <v>872</v>
      </c>
      <c r="O982" t="s">
        <v>74</v>
      </c>
      <c r="P982" t="s">
        <v>74</v>
      </c>
      <c r="Q982" t="s">
        <v>74</v>
      </c>
      <c r="R982" t="s">
        <v>74</v>
      </c>
      <c r="S982" t="s">
        <v>74</v>
      </c>
      <c r="T982" t="s">
        <v>74</v>
      </c>
      <c r="U982" t="s">
        <v>74</v>
      </c>
      <c r="V982" t="s">
        <v>74</v>
      </c>
      <c r="W982" t="s">
        <v>17987</v>
      </c>
      <c r="X982" t="s">
        <v>17988</v>
      </c>
      <c r="Y982" t="s">
        <v>17989</v>
      </c>
      <c r="Z982" t="s">
        <v>17990</v>
      </c>
      <c r="AA982" t="s">
        <v>17991</v>
      </c>
      <c r="AB982" t="s">
        <v>74</v>
      </c>
      <c r="AC982" t="s">
        <v>74</v>
      </c>
      <c r="AD982" t="s">
        <v>74</v>
      </c>
      <c r="AE982" t="s">
        <v>74</v>
      </c>
      <c r="AF982" t="s">
        <v>74</v>
      </c>
      <c r="AG982">
        <v>1</v>
      </c>
      <c r="AH982">
        <v>0</v>
      </c>
      <c r="AI982">
        <v>0</v>
      </c>
      <c r="AJ982">
        <v>0</v>
      </c>
      <c r="AK982">
        <v>0</v>
      </c>
      <c r="AL982" t="s">
        <v>443</v>
      </c>
      <c r="AM982" t="s">
        <v>245</v>
      </c>
      <c r="AN982" t="s">
        <v>444</v>
      </c>
      <c r="AO982" t="s">
        <v>17992</v>
      </c>
      <c r="AP982" t="s">
        <v>17993</v>
      </c>
      <c r="AQ982" t="s">
        <v>74</v>
      </c>
      <c r="AR982" t="s">
        <v>17994</v>
      </c>
      <c r="AS982" t="s">
        <v>17995</v>
      </c>
      <c r="AT982" t="s">
        <v>17773</v>
      </c>
      <c r="AU982">
        <v>2023</v>
      </c>
      <c r="AV982">
        <v>17</v>
      </c>
      <c r="AW982">
        <v>1</v>
      </c>
      <c r="AX982" t="s">
        <v>74</v>
      </c>
      <c r="AY982" t="s">
        <v>74</v>
      </c>
      <c r="AZ982" t="s">
        <v>74</v>
      </c>
      <c r="BA982" t="s">
        <v>74</v>
      </c>
      <c r="BB982" t="s">
        <v>74</v>
      </c>
      <c r="BC982" t="s">
        <v>74</v>
      </c>
      <c r="BD982">
        <v>74</v>
      </c>
      <c r="BE982" t="s">
        <v>17996</v>
      </c>
      <c r="BF982" t="str">
        <f>HYPERLINK("http://dx.doi.org/10.1186/s40246-023-00518-z","http://dx.doi.org/10.1186/s40246-023-00518-z")</f>
        <v>http://dx.doi.org/10.1186/s40246-023-00518-z</v>
      </c>
      <c r="BG982" t="s">
        <v>74</v>
      </c>
      <c r="BH982" t="s">
        <v>74</v>
      </c>
      <c r="BI982">
        <v>3</v>
      </c>
      <c r="BJ982" t="s">
        <v>3740</v>
      </c>
      <c r="BK982" t="s">
        <v>126</v>
      </c>
      <c r="BL982" t="s">
        <v>3740</v>
      </c>
      <c r="BM982" t="s">
        <v>17997</v>
      </c>
      <c r="BN982">
        <v>37580755</v>
      </c>
      <c r="BO982" t="s">
        <v>157</v>
      </c>
      <c r="BP982" t="s">
        <v>74</v>
      </c>
      <c r="BQ982" t="s">
        <v>74</v>
      </c>
      <c r="BR982" t="s">
        <v>99</v>
      </c>
      <c r="BS982" t="s">
        <v>17998</v>
      </c>
      <c r="BT982" t="str">
        <f>HYPERLINK("https%3A%2F%2Fwww.webofscience.com%2Fwos%2Fwoscc%2Ffull-record%2FWOS:001049162500001","View Full Record in Web of Science")</f>
        <v>View Full Record in Web of Science</v>
      </c>
    </row>
    <row r="983" spans="1:72" x14ac:dyDescent="0.15">
      <c r="A983" t="s">
        <v>72</v>
      </c>
      <c r="B983" t="s">
        <v>17999</v>
      </c>
      <c r="C983" t="s">
        <v>74</v>
      </c>
      <c r="D983" t="s">
        <v>74</v>
      </c>
      <c r="E983" t="s">
        <v>74</v>
      </c>
      <c r="F983" t="s">
        <v>18000</v>
      </c>
      <c r="G983" t="s">
        <v>74</v>
      </c>
      <c r="H983" t="s">
        <v>74</v>
      </c>
      <c r="I983" t="s">
        <v>18001</v>
      </c>
      <c r="J983" t="s">
        <v>1226</v>
      </c>
      <c r="K983" t="s">
        <v>74</v>
      </c>
      <c r="L983" t="s">
        <v>74</v>
      </c>
      <c r="M983" t="s">
        <v>78</v>
      </c>
      <c r="N983" t="s">
        <v>79</v>
      </c>
      <c r="O983" t="s">
        <v>74</v>
      </c>
      <c r="P983" t="s">
        <v>74</v>
      </c>
      <c r="Q983" t="s">
        <v>74</v>
      </c>
      <c r="R983" t="s">
        <v>74</v>
      </c>
      <c r="S983" t="s">
        <v>74</v>
      </c>
      <c r="T983" t="s">
        <v>18002</v>
      </c>
      <c r="U983" t="s">
        <v>74</v>
      </c>
      <c r="V983" t="s">
        <v>18003</v>
      </c>
      <c r="W983" t="s">
        <v>18004</v>
      </c>
      <c r="X983" t="s">
        <v>18005</v>
      </c>
      <c r="Y983" t="s">
        <v>18006</v>
      </c>
      <c r="Z983" t="s">
        <v>18007</v>
      </c>
      <c r="AA983" t="s">
        <v>74</v>
      </c>
      <c r="AB983" t="s">
        <v>74</v>
      </c>
      <c r="AC983" t="s">
        <v>74</v>
      </c>
      <c r="AD983" t="s">
        <v>74</v>
      </c>
      <c r="AE983" t="s">
        <v>74</v>
      </c>
      <c r="AF983" t="s">
        <v>74</v>
      </c>
      <c r="AG983">
        <v>5</v>
      </c>
      <c r="AH983">
        <v>0</v>
      </c>
      <c r="AI983">
        <v>0</v>
      </c>
      <c r="AJ983">
        <v>0</v>
      </c>
      <c r="AK983">
        <v>0</v>
      </c>
      <c r="AL983" t="s">
        <v>317</v>
      </c>
      <c r="AM983" t="s">
        <v>245</v>
      </c>
      <c r="AN983" t="s">
        <v>318</v>
      </c>
      <c r="AO983" t="s">
        <v>74</v>
      </c>
      <c r="AP983" t="s">
        <v>1232</v>
      </c>
      <c r="AQ983" t="s">
        <v>74</v>
      </c>
      <c r="AR983" t="s">
        <v>1233</v>
      </c>
      <c r="AS983" t="s">
        <v>1234</v>
      </c>
      <c r="AT983" t="s">
        <v>17773</v>
      </c>
      <c r="AU983">
        <v>2023</v>
      </c>
      <c r="AV983">
        <v>15</v>
      </c>
      <c r="AW983">
        <v>8</v>
      </c>
      <c r="AX983" t="s">
        <v>74</v>
      </c>
      <c r="AY983" t="s">
        <v>74</v>
      </c>
      <c r="AZ983" t="s">
        <v>74</v>
      </c>
      <c r="BA983" t="s">
        <v>74</v>
      </c>
      <c r="BB983" t="s">
        <v>74</v>
      </c>
      <c r="BC983" t="s">
        <v>74</v>
      </c>
      <c r="BD983" t="s">
        <v>18008</v>
      </c>
      <c r="BE983" t="s">
        <v>18009</v>
      </c>
      <c r="BF983" t="str">
        <f>HYPERLINK("http://dx.doi.org/10.7759/cureus.43467","http://dx.doi.org/10.7759/cureus.43467")</f>
        <v>http://dx.doi.org/10.7759/cureus.43467</v>
      </c>
      <c r="BG983" t="s">
        <v>74</v>
      </c>
      <c r="BH983" t="s">
        <v>74</v>
      </c>
      <c r="BI983">
        <v>3</v>
      </c>
      <c r="BJ983" t="s">
        <v>1238</v>
      </c>
      <c r="BK983" t="s">
        <v>97</v>
      </c>
      <c r="BL983" t="s">
        <v>1239</v>
      </c>
      <c r="BM983" t="s">
        <v>18010</v>
      </c>
      <c r="BN983">
        <v>37711925</v>
      </c>
      <c r="BO983" t="s">
        <v>157</v>
      </c>
      <c r="BP983" t="s">
        <v>74</v>
      </c>
      <c r="BQ983" t="s">
        <v>74</v>
      </c>
      <c r="BR983" t="s">
        <v>99</v>
      </c>
      <c r="BS983" t="s">
        <v>18011</v>
      </c>
      <c r="BT983" t="str">
        <f>HYPERLINK("https%3A%2F%2Fwww.webofscience.com%2Fwos%2Fwoscc%2Ffull-record%2FWOS:001058170800009","View Full Record in Web of Science")</f>
        <v>View Full Record in Web of Science</v>
      </c>
    </row>
    <row r="984" spans="1:72" x14ac:dyDescent="0.15">
      <c r="A984" t="s">
        <v>72</v>
      </c>
      <c r="B984" t="s">
        <v>18012</v>
      </c>
      <c r="C984" t="s">
        <v>74</v>
      </c>
      <c r="D984" t="s">
        <v>74</v>
      </c>
      <c r="E984" t="s">
        <v>74</v>
      </c>
      <c r="F984" t="s">
        <v>18013</v>
      </c>
      <c r="G984" t="s">
        <v>74</v>
      </c>
      <c r="H984" t="s">
        <v>74</v>
      </c>
      <c r="I984" t="s">
        <v>18014</v>
      </c>
      <c r="J984" t="s">
        <v>6175</v>
      </c>
      <c r="K984" t="s">
        <v>74</v>
      </c>
      <c r="L984" t="s">
        <v>74</v>
      </c>
      <c r="M984" t="s">
        <v>78</v>
      </c>
      <c r="N984" t="s">
        <v>1246</v>
      </c>
      <c r="O984" t="s">
        <v>74</v>
      </c>
      <c r="P984" t="s">
        <v>74</v>
      </c>
      <c r="Q984" t="s">
        <v>74</v>
      </c>
      <c r="R984" t="s">
        <v>74</v>
      </c>
      <c r="S984" t="s">
        <v>74</v>
      </c>
      <c r="T984" t="s">
        <v>74</v>
      </c>
      <c r="U984" t="s">
        <v>18015</v>
      </c>
      <c r="V984" t="s">
        <v>18016</v>
      </c>
      <c r="W984" t="s">
        <v>18017</v>
      </c>
      <c r="X984" t="s">
        <v>18018</v>
      </c>
      <c r="Y984" t="s">
        <v>18019</v>
      </c>
      <c r="Z984" t="s">
        <v>18020</v>
      </c>
      <c r="AA984" t="s">
        <v>74</v>
      </c>
      <c r="AB984" t="s">
        <v>74</v>
      </c>
      <c r="AC984" t="s">
        <v>74</v>
      </c>
      <c r="AD984" t="s">
        <v>74</v>
      </c>
      <c r="AE984" t="s">
        <v>74</v>
      </c>
      <c r="AF984" t="s">
        <v>74</v>
      </c>
      <c r="AG984">
        <v>23</v>
      </c>
      <c r="AH984">
        <v>0</v>
      </c>
      <c r="AI984">
        <v>0</v>
      </c>
      <c r="AJ984">
        <v>0</v>
      </c>
      <c r="AK984">
        <v>0</v>
      </c>
      <c r="AL984" t="s">
        <v>317</v>
      </c>
      <c r="AM984" t="s">
        <v>245</v>
      </c>
      <c r="AN984" t="s">
        <v>318</v>
      </c>
      <c r="AO984" t="s">
        <v>6183</v>
      </c>
      <c r="AP984" t="s">
        <v>6184</v>
      </c>
      <c r="AQ984" t="s">
        <v>74</v>
      </c>
      <c r="AR984" t="s">
        <v>6185</v>
      </c>
      <c r="AS984" t="s">
        <v>6186</v>
      </c>
      <c r="AT984" t="s">
        <v>17793</v>
      </c>
      <c r="AU984">
        <v>2023</v>
      </c>
      <c r="AV984" t="s">
        <v>74</v>
      </c>
      <c r="AW984" t="s">
        <v>74</v>
      </c>
      <c r="AX984" t="s">
        <v>74</v>
      </c>
      <c r="AY984" t="s">
        <v>74</v>
      </c>
      <c r="AZ984" t="s">
        <v>74</v>
      </c>
      <c r="BA984" t="s">
        <v>74</v>
      </c>
      <c r="BB984" t="s">
        <v>74</v>
      </c>
      <c r="BC984" t="s">
        <v>74</v>
      </c>
      <c r="BD984" t="s">
        <v>74</v>
      </c>
      <c r="BE984" t="s">
        <v>18021</v>
      </c>
      <c r="BF984" t="str">
        <f>HYPERLINK("http://dx.doi.org/10.1038/s41372-023-01747-9","http://dx.doi.org/10.1038/s41372-023-01747-9")</f>
        <v>http://dx.doi.org/10.1038/s41372-023-01747-9</v>
      </c>
      <c r="BG984" t="s">
        <v>74</v>
      </c>
      <c r="BH984" t="s">
        <v>10650</v>
      </c>
      <c r="BI984">
        <v>6</v>
      </c>
      <c r="BJ984" t="s">
        <v>6188</v>
      </c>
      <c r="BK984" t="s">
        <v>126</v>
      </c>
      <c r="BL984" t="s">
        <v>6188</v>
      </c>
      <c r="BM984" t="s">
        <v>18022</v>
      </c>
      <c r="BN984">
        <v>37580511</v>
      </c>
      <c r="BO984" t="s">
        <v>327</v>
      </c>
      <c r="BP984" t="s">
        <v>74</v>
      </c>
      <c r="BQ984" t="s">
        <v>74</v>
      </c>
      <c r="BR984" t="s">
        <v>99</v>
      </c>
      <c r="BS984" t="s">
        <v>18023</v>
      </c>
      <c r="BT984" t="str">
        <f>HYPERLINK("https%3A%2F%2Fwww.webofscience.com%2Fwos%2Fwoscc%2Ffull-record%2FWOS:001048065700001","View Full Record in Web of Science")</f>
        <v>View Full Record in Web of Science</v>
      </c>
    </row>
    <row r="985" spans="1:72" x14ac:dyDescent="0.15">
      <c r="A985" t="s">
        <v>72</v>
      </c>
      <c r="B985" t="s">
        <v>18024</v>
      </c>
      <c r="C985" t="s">
        <v>74</v>
      </c>
      <c r="D985" t="s">
        <v>74</v>
      </c>
      <c r="E985" t="s">
        <v>74</v>
      </c>
      <c r="F985" t="s">
        <v>18025</v>
      </c>
      <c r="G985" t="s">
        <v>74</v>
      </c>
      <c r="H985" t="s">
        <v>74</v>
      </c>
      <c r="I985" t="s">
        <v>18026</v>
      </c>
      <c r="J985" t="s">
        <v>18027</v>
      </c>
      <c r="K985" t="s">
        <v>74</v>
      </c>
      <c r="L985" t="s">
        <v>74</v>
      </c>
      <c r="M985" t="s">
        <v>78</v>
      </c>
      <c r="N985" t="s">
        <v>79</v>
      </c>
      <c r="O985" t="s">
        <v>74</v>
      </c>
      <c r="P985" t="s">
        <v>74</v>
      </c>
      <c r="Q985" t="s">
        <v>74</v>
      </c>
      <c r="R985" t="s">
        <v>74</v>
      </c>
      <c r="S985" t="s">
        <v>74</v>
      </c>
      <c r="T985" t="s">
        <v>18028</v>
      </c>
      <c r="U985" t="s">
        <v>18029</v>
      </c>
      <c r="V985" t="s">
        <v>18030</v>
      </c>
      <c r="W985" t="s">
        <v>18031</v>
      </c>
      <c r="X985" t="s">
        <v>6239</v>
      </c>
      <c r="Y985" t="s">
        <v>18032</v>
      </c>
      <c r="Z985" t="s">
        <v>18033</v>
      </c>
      <c r="AA985" t="s">
        <v>74</v>
      </c>
      <c r="AB985" t="s">
        <v>74</v>
      </c>
      <c r="AC985" t="s">
        <v>74</v>
      </c>
      <c r="AD985" t="s">
        <v>74</v>
      </c>
      <c r="AE985" t="s">
        <v>74</v>
      </c>
      <c r="AF985" t="s">
        <v>74</v>
      </c>
      <c r="AG985">
        <v>32</v>
      </c>
      <c r="AH985">
        <v>0</v>
      </c>
      <c r="AI985">
        <v>0</v>
      </c>
      <c r="AJ985">
        <v>1</v>
      </c>
      <c r="AK985">
        <v>1</v>
      </c>
      <c r="AL985" t="s">
        <v>443</v>
      </c>
      <c r="AM985" t="s">
        <v>245</v>
      </c>
      <c r="AN985" t="s">
        <v>444</v>
      </c>
      <c r="AO985" t="s">
        <v>18034</v>
      </c>
      <c r="AP985" t="s">
        <v>74</v>
      </c>
      <c r="AQ985" t="s">
        <v>74</v>
      </c>
      <c r="AR985" t="s">
        <v>18035</v>
      </c>
      <c r="AS985" t="s">
        <v>18036</v>
      </c>
      <c r="AT985" t="s">
        <v>17773</v>
      </c>
      <c r="AU985">
        <v>2023</v>
      </c>
      <c r="AV985">
        <v>18</v>
      </c>
      <c r="AW985">
        <v>1</v>
      </c>
      <c r="AX985" t="s">
        <v>74</v>
      </c>
      <c r="AY985" t="s">
        <v>74</v>
      </c>
      <c r="AZ985" t="s">
        <v>74</v>
      </c>
      <c r="BA985" t="s">
        <v>74</v>
      </c>
      <c r="BB985" t="s">
        <v>74</v>
      </c>
      <c r="BC985" t="s">
        <v>74</v>
      </c>
      <c r="BD985">
        <v>599</v>
      </c>
      <c r="BE985" t="s">
        <v>18037</v>
      </c>
      <c r="BF985" t="str">
        <f>HYPERLINK("http://dx.doi.org/10.1186/s13018-023-04088-7","http://dx.doi.org/10.1186/s13018-023-04088-7")</f>
        <v>http://dx.doi.org/10.1186/s13018-023-04088-7</v>
      </c>
      <c r="BG985" t="s">
        <v>74</v>
      </c>
      <c r="BH985" t="s">
        <v>74</v>
      </c>
      <c r="BI985">
        <v>7</v>
      </c>
      <c r="BJ985" t="s">
        <v>2512</v>
      </c>
      <c r="BK985" t="s">
        <v>126</v>
      </c>
      <c r="BL985" t="s">
        <v>2512</v>
      </c>
      <c r="BM985" t="s">
        <v>18038</v>
      </c>
      <c r="BN985">
        <v>37580775</v>
      </c>
      <c r="BO985" t="s">
        <v>157</v>
      </c>
      <c r="BP985" t="s">
        <v>74</v>
      </c>
      <c r="BQ985" t="s">
        <v>74</v>
      </c>
      <c r="BR985" t="s">
        <v>99</v>
      </c>
      <c r="BS985" t="s">
        <v>18039</v>
      </c>
      <c r="BT985" t="str">
        <f>HYPERLINK("https%3A%2F%2Fwww.webofscience.com%2Fwos%2Fwoscc%2Ffull-record%2FWOS:001049196400001","View Full Record in Web of Science")</f>
        <v>View Full Record in Web of Science</v>
      </c>
    </row>
    <row r="986" spans="1:72" x14ac:dyDescent="0.15">
      <c r="A986" t="s">
        <v>72</v>
      </c>
      <c r="B986" t="s">
        <v>18040</v>
      </c>
      <c r="C986" t="s">
        <v>74</v>
      </c>
      <c r="D986" t="s">
        <v>74</v>
      </c>
      <c r="E986" t="s">
        <v>74</v>
      </c>
      <c r="F986" t="s">
        <v>18041</v>
      </c>
      <c r="G986" t="s">
        <v>74</v>
      </c>
      <c r="H986" t="s">
        <v>74</v>
      </c>
      <c r="I986" t="s">
        <v>18042</v>
      </c>
      <c r="J986" t="s">
        <v>7288</v>
      </c>
      <c r="K986" t="s">
        <v>74</v>
      </c>
      <c r="L986" t="s">
        <v>74</v>
      </c>
      <c r="M986" t="s">
        <v>78</v>
      </c>
      <c r="N986" t="s">
        <v>1246</v>
      </c>
      <c r="O986" t="s">
        <v>74</v>
      </c>
      <c r="P986" t="s">
        <v>74</v>
      </c>
      <c r="Q986" t="s">
        <v>74</v>
      </c>
      <c r="R986" t="s">
        <v>74</v>
      </c>
      <c r="S986" t="s">
        <v>74</v>
      </c>
      <c r="T986" t="s">
        <v>18043</v>
      </c>
      <c r="U986" t="s">
        <v>18044</v>
      </c>
      <c r="V986" t="s">
        <v>18045</v>
      </c>
      <c r="W986" t="s">
        <v>18046</v>
      </c>
      <c r="X986" t="s">
        <v>18047</v>
      </c>
      <c r="Y986" t="s">
        <v>18048</v>
      </c>
      <c r="Z986" t="s">
        <v>18049</v>
      </c>
      <c r="AA986" t="s">
        <v>74</v>
      </c>
      <c r="AB986" t="s">
        <v>18050</v>
      </c>
      <c r="AC986" t="s">
        <v>74</v>
      </c>
      <c r="AD986" t="s">
        <v>74</v>
      </c>
      <c r="AE986" t="s">
        <v>74</v>
      </c>
      <c r="AF986" t="s">
        <v>74</v>
      </c>
      <c r="AG986">
        <v>37</v>
      </c>
      <c r="AH986">
        <v>0</v>
      </c>
      <c r="AI986">
        <v>0</v>
      </c>
      <c r="AJ986">
        <v>0</v>
      </c>
      <c r="AK986">
        <v>0</v>
      </c>
      <c r="AL986" t="s">
        <v>172</v>
      </c>
      <c r="AM986" t="s">
        <v>173</v>
      </c>
      <c r="AN986" t="s">
        <v>174</v>
      </c>
      <c r="AO986" t="s">
        <v>7298</v>
      </c>
      <c r="AP986" t="s">
        <v>7299</v>
      </c>
      <c r="AQ986" t="s">
        <v>74</v>
      </c>
      <c r="AR986" t="s">
        <v>7300</v>
      </c>
      <c r="AS986" t="s">
        <v>7301</v>
      </c>
      <c r="AT986" t="s">
        <v>17793</v>
      </c>
      <c r="AU986">
        <v>2023</v>
      </c>
      <c r="AV986" t="s">
        <v>74</v>
      </c>
      <c r="AW986" t="s">
        <v>74</v>
      </c>
      <c r="AX986" t="s">
        <v>74</v>
      </c>
      <c r="AY986" t="s">
        <v>74</v>
      </c>
      <c r="AZ986" t="s">
        <v>74</v>
      </c>
      <c r="BA986" t="s">
        <v>74</v>
      </c>
      <c r="BB986" t="s">
        <v>74</v>
      </c>
      <c r="BC986" t="s">
        <v>74</v>
      </c>
      <c r="BD986" t="s">
        <v>74</v>
      </c>
      <c r="BE986" t="s">
        <v>18051</v>
      </c>
      <c r="BF986" t="str">
        <f>HYPERLINK("http://dx.doi.org/10.1007/s13369-023-08189-7","http://dx.doi.org/10.1007/s13369-023-08189-7")</f>
        <v>http://dx.doi.org/10.1007/s13369-023-08189-7</v>
      </c>
      <c r="BG986" t="s">
        <v>74</v>
      </c>
      <c r="BH986" t="s">
        <v>10650</v>
      </c>
      <c r="BI986">
        <v>15</v>
      </c>
      <c r="BJ986" t="s">
        <v>1867</v>
      </c>
      <c r="BK986" t="s">
        <v>126</v>
      </c>
      <c r="BL986" t="s">
        <v>1868</v>
      </c>
      <c r="BM986" t="s">
        <v>18052</v>
      </c>
      <c r="BN986" t="s">
        <v>74</v>
      </c>
      <c r="BO986" t="s">
        <v>74</v>
      </c>
      <c r="BP986" t="s">
        <v>74</v>
      </c>
      <c r="BQ986" t="s">
        <v>74</v>
      </c>
      <c r="BR986" t="s">
        <v>99</v>
      </c>
      <c r="BS986" t="s">
        <v>18053</v>
      </c>
      <c r="BT986" t="str">
        <f>HYPERLINK("https%3A%2F%2Fwww.webofscience.com%2Fwos%2Fwoscc%2Ffull-record%2FWOS:001048808000003","View Full Record in Web of Science")</f>
        <v>View Full Record in Web of Science</v>
      </c>
    </row>
    <row r="987" spans="1:72" x14ac:dyDescent="0.15">
      <c r="A987" t="s">
        <v>72</v>
      </c>
      <c r="B987" t="s">
        <v>18054</v>
      </c>
      <c r="C987" t="s">
        <v>74</v>
      </c>
      <c r="D987" t="s">
        <v>74</v>
      </c>
      <c r="E987" t="s">
        <v>74</v>
      </c>
      <c r="F987" t="s">
        <v>18055</v>
      </c>
      <c r="G987" t="s">
        <v>74</v>
      </c>
      <c r="H987" t="s">
        <v>74</v>
      </c>
      <c r="I987" t="s">
        <v>18056</v>
      </c>
      <c r="J987" t="s">
        <v>18057</v>
      </c>
      <c r="K987" t="s">
        <v>74</v>
      </c>
      <c r="L987" t="s">
        <v>74</v>
      </c>
      <c r="M987" t="s">
        <v>78</v>
      </c>
      <c r="N987" t="s">
        <v>1246</v>
      </c>
      <c r="O987" t="s">
        <v>74</v>
      </c>
      <c r="P987" t="s">
        <v>74</v>
      </c>
      <c r="Q987" t="s">
        <v>74</v>
      </c>
      <c r="R987" t="s">
        <v>74</v>
      </c>
      <c r="S987" t="s">
        <v>74</v>
      </c>
      <c r="T987" t="s">
        <v>18058</v>
      </c>
      <c r="U987" t="s">
        <v>74</v>
      </c>
      <c r="V987" t="s">
        <v>18059</v>
      </c>
      <c r="W987" t="s">
        <v>18060</v>
      </c>
      <c r="X987" t="s">
        <v>74</v>
      </c>
      <c r="Y987" t="s">
        <v>18061</v>
      </c>
      <c r="Z987" t="s">
        <v>18062</v>
      </c>
      <c r="AA987" t="s">
        <v>18063</v>
      </c>
      <c r="AB987" t="s">
        <v>18064</v>
      </c>
      <c r="AC987" t="s">
        <v>74</v>
      </c>
      <c r="AD987" t="s">
        <v>74</v>
      </c>
      <c r="AE987" t="s">
        <v>74</v>
      </c>
      <c r="AF987" t="s">
        <v>74</v>
      </c>
      <c r="AG987">
        <v>15</v>
      </c>
      <c r="AH987">
        <v>0</v>
      </c>
      <c r="AI987">
        <v>0</v>
      </c>
      <c r="AJ987">
        <v>1</v>
      </c>
      <c r="AK987">
        <v>1</v>
      </c>
      <c r="AL987" t="s">
        <v>117</v>
      </c>
      <c r="AM987" t="s">
        <v>118</v>
      </c>
      <c r="AN987" t="s">
        <v>119</v>
      </c>
      <c r="AO987" t="s">
        <v>18065</v>
      </c>
      <c r="AP987" t="s">
        <v>18066</v>
      </c>
      <c r="AQ987" t="s">
        <v>74</v>
      </c>
      <c r="AR987" t="s">
        <v>18067</v>
      </c>
      <c r="AS987" t="s">
        <v>18068</v>
      </c>
      <c r="AT987" t="s">
        <v>17793</v>
      </c>
      <c r="AU987">
        <v>2023</v>
      </c>
      <c r="AV987" t="s">
        <v>74</v>
      </c>
      <c r="AW987" t="s">
        <v>74</v>
      </c>
      <c r="AX987" t="s">
        <v>74</v>
      </c>
      <c r="AY987" t="s">
        <v>74</v>
      </c>
      <c r="AZ987" t="s">
        <v>74</v>
      </c>
      <c r="BA987" t="s">
        <v>74</v>
      </c>
      <c r="BB987" t="s">
        <v>74</v>
      </c>
      <c r="BC987" t="s">
        <v>74</v>
      </c>
      <c r="BD987" t="s">
        <v>74</v>
      </c>
      <c r="BE987" t="s">
        <v>18069</v>
      </c>
      <c r="BF987" t="str">
        <f>HYPERLINK("http://dx.doi.org/10.1007/s11998-023-00804-4","http://dx.doi.org/10.1007/s11998-023-00804-4")</f>
        <v>http://dx.doi.org/10.1007/s11998-023-00804-4</v>
      </c>
      <c r="BG987" t="s">
        <v>74</v>
      </c>
      <c r="BH987" t="s">
        <v>10650</v>
      </c>
      <c r="BI987">
        <v>10</v>
      </c>
      <c r="BJ987" t="s">
        <v>18070</v>
      </c>
      <c r="BK987" t="s">
        <v>126</v>
      </c>
      <c r="BL987" t="s">
        <v>15077</v>
      </c>
      <c r="BM987" t="s">
        <v>18071</v>
      </c>
      <c r="BN987" t="s">
        <v>74</v>
      </c>
      <c r="BO987" t="s">
        <v>74</v>
      </c>
      <c r="BP987" t="s">
        <v>74</v>
      </c>
      <c r="BQ987" t="s">
        <v>74</v>
      </c>
      <c r="BR987" t="s">
        <v>99</v>
      </c>
      <c r="BS987" t="s">
        <v>18072</v>
      </c>
      <c r="BT987" t="str">
        <f>HYPERLINK("https%3A%2F%2Fwww.webofscience.com%2Fwos%2Fwoscc%2Ffull-record%2FWOS:001047746300002","View Full Record in Web of Science")</f>
        <v>View Full Record in Web of Science</v>
      </c>
    </row>
    <row r="988" spans="1:72" x14ac:dyDescent="0.15">
      <c r="A988" t="s">
        <v>72</v>
      </c>
      <c r="B988" t="s">
        <v>18073</v>
      </c>
      <c r="C988" t="s">
        <v>74</v>
      </c>
      <c r="D988" t="s">
        <v>74</v>
      </c>
      <c r="E988" t="s">
        <v>74</v>
      </c>
      <c r="F988" t="s">
        <v>18074</v>
      </c>
      <c r="G988" t="s">
        <v>74</v>
      </c>
      <c r="H988" t="s">
        <v>74</v>
      </c>
      <c r="I988" t="s">
        <v>18075</v>
      </c>
      <c r="J988" t="s">
        <v>11713</v>
      </c>
      <c r="K988" t="s">
        <v>74</v>
      </c>
      <c r="L988" t="s">
        <v>74</v>
      </c>
      <c r="M988" t="s">
        <v>78</v>
      </c>
      <c r="N988" t="s">
        <v>79</v>
      </c>
      <c r="O988" t="s">
        <v>74</v>
      </c>
      <c r="P988" t="s">
        <v>74</v>
      </c>
      <c r="Q988" t="s">
        <v>74</v>
      </c>
      <c r="R988" t="s">
        <v>74</v>
      </c>
      <c r="S988" t="s">
        <v>74</v>
      </c>
      <c r="T988" t="s">
        <v>18076</v>
      </c>
      <c r="U988" t="s">
        <v>18077</v>
      </c>
      <c r="V988" t="s">
        <v>18078</v>
      </c>
      <c r="W988" t="s">
        <v>18079</v>
      </c>
      <c r="X988" t="s">
        <v>18080</v>
      </c>
      <c r="Y988" t="s">
        <v>18081</v>
      </c>
      <c r="Z988" t="s">
        <v>18082</v>
      </c>
      <c r="AA988" t="s">
        <v>74</v>
      </c>
      <c r="AB988" t="s">
        <v>74</v>
      </c>
      <c r="AC988" t="s">
        <v>74</v>
      </c>
      <c r="AD988" t="s">
        <v>74</v>
      </c>
      <c r="AE988" t="s">
        <v>74</v>
      </c>
      <c r="AF988" t="s">
        <v>74</v>
      </c>
      <c r="AG988">
        <v>66</v>
      </c>
      <c r="AH988">
        <v>0</v>
      </c>
      <c r="AI988">
        <v>0</v>
      </c>
      <c r="AJ988">
        <v>1</v>
      </c>
      <c r="AK988">
        <v>1</v>
      </c>
      <c r="AL988" t="s">
        <v>443</v>
      </c>
      <c r="AM988" t="s">
        <v>245</v>
      </c>
      <c r="AN988" t="s">
        <v>444</v>
      </c>
      <c r="AO988" t="s">
        <v>74</v>
      </c>
      <c r="AP988" t="s">
        <v>11721</v>
      </c>
      <c r="AQ988" t="s">
        <v>74</v>
      </c>
      <c r="AR988" t="s">
        <v>11722</v>
      </c>
      <c r="AS988" t="s">
        <v>11723</v>
      </c>
      <c r="AT988" t="s">
        <v>17773</v>
      </c>
      <c r="AU988">
        <v>2023</v>
      </c>
      <c r="AV988">
        <v>23</v>
      </c>
      <c r="AW988">
        <v>1</v>
      </c>
      <c r="AX988" t="s">
        <v>74</v>
      </c>
      <c r="AY988" t="s">
        <v>74</v>
      </c>
      <c r="AZ988" t="s">
        <v>74</v>
      </c>
      <c r="BA988" t="s">
        <v>74</v>
      </c>
      <c r="BB988" t="s">
        <v>74</v>
      </c>
      <c r="BC988" t="s">
        <v>74</v>
      </c>
      <c r="BD988">
        <v>862</v>
      </c>
      <c r="BE988" t="s">
        <v>18083</v>
      </c>
      <c r="BF988" t="str">
        <f>HYPERLINK("http://dx.doi.org/10.1186/s12913-023-09882-x","http://dx.doi.org/10.1186/s12913-023-09882-x")</f>
        <v>http://dx.doi.org/10.1186/s12913-023-09882-x</v>
      </c>
      <c r="BG988" t="s">
        <v>74</v>
      </c>
      <c r="BH988" t="s">
        <v>74</v>
      </c>
      <c r="BI988">
        <v>13</v>
      </c>
      <c r="BJ988" t="s">
        <v>11725</v>
      </c>
      <c r="BK988" t="s">
        <v>126</v>
      </c>
      <c r="BL988" t="s">
        <v>11725</v>
      </c>
      <c r="BM988" t="s">
        <v>18084</v>
      </c>
      <c r="BN988">
        <v>37580718</v>
      </c>
      <c r="BO988" t="s">
        <v>157</v>
      </c>
      <c r="BP988" t="s">
        <v>74</v>
      </c>
      <c r="BQ988" t="s">
        <v>74</v>
      </c>
      <c r="BR988" t="s">
        <v>99</v>
      </c>
      <c r="BS988" t="s">
        <v>18085</v>
      </c>
      <c r="BT988" t="str">
        <f>HYPERLINK("https%3A%2F%2Fwww.webofscience.com%2Fwos%2Fwoscc%2Ffull-record%2FWOS:001048621000007","View Full Record in Web of Science")</f>
        <v>View Full Record in Web of Science</v>
      </c>
    </row>
    <row r="989" spans="1:72" x14ac:dyDescent="0.15">
      <c r="A989" t="s">
        <v>72</v>
      </c>
      <c r="B989" t="s">
        <v>18086</v>
      </c>
      <c r="C989" t="s">
        <v>74</v>
      </c>
      <c r="D989" t="s">
        <v>74</v>
      </c>
      <c r="E989" t="s">
        <v>74</v>
      </c>
      <c r="F989" t="s">
        <v>18087</v>
      </c>
      <c r="G989" t="s">
        <v>74</v>
      </c>
      <c r="H989" t="s">
        <v>74</v>
      </c>
      <c r="I989" t="s">
        <v>18088</v>
      </c>
      <c r="J989" t="s">
        <v>8171</v>
      </c>
      <c r="K989" t="s">
        <v>74</v>
      </c>
      <c r="L989" t="s">
        <v>74</v>
      </c>
      <c r="M989" t="s">
        <v>78</v>
      </c>
      <c r="N989" t="s">
        <v>2174</v>
      </c>
      <c r="O989" t="s">
        <v>74</v>
      </c>
      <c r="P989" t="s">
        <v>74</v>
      </c>
      <c r="Q989" t="s">
        <v>74</v>
      </c>
      <c r="R989" t="s">
        <v>74</v>
      </c>
      <c r="S989" t="s">
        <v>74</v>
      </c>
      <c r="T989" t="s">
        <v>18089</v>
      </c>
      <c r="U989" t="s">
        <v>18090</v>
      </c>
      <c r="V989" t="s">
        <v>18091</v>
      </c>
      <c r="W989" t="s">
        <v>18092</v>
      </c>
      <c r="X989" t="s">
        <v>18093</v>
      </c>
      <c r="Y989" t="s">
        <v>18094</v>
      </c>
      <c r="Z989" t="s">
        <v>18095</v>
      </c>
      <c r="AA989" t="s">
        <v>74</v>
      </c>
      <c r="AB989" t="s">
        <v>18096</v>
      </c>
      <c r="AC989" t="s">
        <v>18097</v>
      </c>
      <c r="AD989" t="s">
        <v>18097</v>
      </c>
      <c r="AE989" t="s">
        <v>18098</v>
      </c>
      <c r="AF989" t="s">
        <v>74</v>
      </c>
      <c r="AG989">
        <v>147</v>
      </c>
      <c r="AH989">
        <v>0</v>
      </c>
      <c r="AI989">
        <v>0</v>
      </c>
      <c r="AJ989">
        <v>1</v>
      </c>
      <c r="AK989">
        <v>1</v>
      </c>
      <c r="AL989" t="s">
        <v>117</v>
      </c>
      <c r="AM989" t="s">
        <v>627</v>
      </c>
      <c r="AN989" t="s">
        <v>628</v>
      </c>
      <c r="AO989" t="s">
        <v>8182</v>
      </c>
      <c r="AP989" t="s">
        <v>8183</v>
      </c>
      <c r="AQ989" t="s">
        <v>74</v>
      </c>
      <c r="AR989" t="s">
        <v>8184</v>
      </c>
      <c r="AS989" t="s">
        <v>8185</v>
      </c>
      <c r="AT989" t="s">
        <v>17793</v>
      </c>
      <c r="AU989">
        <v>2023</v>
      </c>
      <c r="AV989" t="s">
        <v>74</v>
      </c>
      <c r="AW989" t="s">
        <v>74</v>
      </c>
      <c r="AX989" t="s">
        <v>74</v>
      </c>
      <c r="AY989" t="s">
        <v>74</v>
      </c>
      <c r="AZ989" t="s">
        <v>74</v>
      </c>
      <c r="BA989" t="s">
        <v>74</v>
      </c>
      <c r="BB989" t="s">
        <v>74</v>
      </c>
      <c r="BC989" t="s">
        <v>74</v>
      </c>
      <c r="BD989" t="s">
        <v>74</v>
      </c>
      <c r="BE989" t="s">
        <v>18099</v>
      </c>
      <c r="BF989" t="str">
        <f>HYPERLINK("http://dx.doi.org/10.1007/s11033-023-08710-z","http://dx.doi.org/10.1007/s11033-023-08710-z")</f>
        <v>http://dx.doi.org/10.1007/s11033-023-08710-z</v>
      </c>
      <c r="BG989" t="s">
        <v>74</v>
      </c>
      <c r="BH989" t="s">
        <v>10650</v>
      </c>
      <c r="BI989">
        <v>17</v>
      </c>
      <c r="BJ989" t="s">
        <v>451</v>
      </c>
      <c r="BK989" t="s">
        <v>126</v>
      </c>
      <c r="BL989" t="s">
        <v>451</v>
      </c>
      <c r="BM989" t="s">
        <v>18100</v>
      </c>
      <c r="BN989">
        <v>37580496</v>
      </c>
      <c r="BO989" t="s">
        <v>74</v>
      </c>
      <c r="BP989" t="s">
        <v>74</v>
      </c>
      <c r="BQ989" t="s">
        <v>74</v>
      </c>
      <c r="BR989" t="s">
        <v>99</v>
      </c>
      <c r="BS989" t="s">
        <v>18101</v>
      </c>
      <c r="BT989" t="str">
        <f>HYPERLINK("https%3A%2F%2Fwww.webofscience.com%2Fwos%2Fwoscc%2Ffull-record%2FWOS:001048656300002","View Full Record in Web of Science")</f>
        <v>View Full Record in Web of Science</v>
      </c>
    </row>
    <row r="990" spans="1:72" x14ac:dyDescent="0.15">
      <c r="A990" t="s">
        <v>72</v>
      </c>
      <c r="B990" t="s">
        <v>18102</v>
      </c>
      <c r="C990" t="s">
        <v>74</v>
      </c>
      <c r="D990" t="s">
        <v>74</v>
      </c>
      <c r="E990" t="s">
        <v>74</v>
      </c>
      <c r="F990" t="s">
        <v>18103</v>
      </c>
      <c r="G990" t="s">
        <v>74</v>
      </c>
      <c r="H990" t="s">
        <v>74</v>
      </c>
      <c r="I990" t="s">
        <v>18104</v>
      </c>
      <c r="J990" t="s">
        <v>6156</v>
      </c>
      <c r="K990" t="s">
        <v>74</v>
      </c>
      <c r="L990" t="s">
        <v>74</v>
      </c>
      <c r="M990" t="s">
        <v>78</v>
      </c>
      <c r="N990" t="s">
        <v>872</v>
      </c>
      <c r="O990" t="s">
        <v>74</v>
      </c>
      <c r="P990" t="s">
        <v>74</v>
      </c>
      <c r="Q990" t="s">
        <v>74</v>
      </c>
      <c r="R990" t="s">
        <v>74</v>
      </c>
      <c r="S990" t="s">
        <v>74</v>
      </c>
      <c r="T990" t="s">
        <v>74</v>
      </c>
      <c r="U990" t="s">
        <v>74</v>
      </c>
      <c r="V990" t="s">
        <v>74</v>
      </c>
      <c r="W990" t="s">
        <v>18105</v>
      </c>
      <c r="X990" t="s">
        <v>18106</v>
      </c>
      <c r="Y990" t="s">
        <v>18107</v>
      </c>
      <c r="Z990" t="s">
        <v>18108</v>
      </c>
      <c r="AA990" t="s">
        <v>74</v>
      </c>
      <c r="AB990" t="s">
        <v>74</v>
      </c>
      <c r="AC990" t="s">
        <v>74</v>
      </c>
      <c r="AD990" t="s">
        <v>74</v>
      </c>
      <c r="AE990" t="s">
        <v>74</v>
      </c>
      <c r="AF990" t="s">
        <v>74</v>
      </c>
      <c r="AG990">
        <v>1</v>
      </c>
      <c r="AH990">
        <v>0</v>
      </c>
      <c r="AI990">
        <v>0</v>
      </c>
      <c r="AJ990">
        <v>1</v>
      </c>
      <c r="AK990">
        <v>1</v>
      </c>
      <c r="AL990" t="s">
        <v>443</v>
      </c>
      <c r="AM990" t="s">
        <v>245</v>
      </c>
      <c r="AN990" t="s">
        <v>444</v>
      </c>
      <c r="AO990" t="s">
        <v>74</v>
      </c>
      <c r="AP990" t="s">
        <v>6165</v>
      </c>
      <c r="AQ990" t="s">
        <v>74</v>
      </c>
      <c r="AR990" t="s">
        <v>6166</v>
      </c>
      <c r="AS990" t="s">
        <v>6167</v>
      </c>
      <c r="AT990" t="s">
        <v>17773</v>
      </c>
      <c r="AU990">
        <v>2023</v>
      </c>
      <c r="AV990">
        <v>16</v>
      </c>
      <c r="AW990">
        <v>1</v>
      </c>
      <c r="AX990" t="s">
        <v>74</v>
      </c>
      <c r="AY990" t="s">
        <v>74</v>
      </c>
      <c r="AZ990" t="s">
        <v>74</v>
      </c>
      <c r="BA990" t="s">
        <v>74</v>
      </c>
      <c r="BB990" t="s">
        <v>74</v>
      </c>
      <c r="BC990" t="s">
        <v>74</v>
      </c>
      <c r="BD990">
        <v>165</v>
      </c>
      <c r="BE990" t="s">
        <v>18109</v>
      </c>
      <c r="BF990" t="str">
        <f>HYPERLINK("http://dx.doi.org/10.1186/s13048-023-01256-5","http://dx.doi.org/10.1186/s13048-023-01256-5")</f>
        <v>http://dx.doi.org/10.1186/s13048-023-01256-5</v>
      </c>
      <c r="BG990" t="s">
        <v>74</v>
      </c>
      <c r="BH990" t="s">
        <v>74</v>
      </c>
      <c r="BI990">
        <v>1</v>
      </c>
      <c r="BJ990" t="s">
        <v>6169</v>
      </c>
      <c r="BK990" t="s">
        <v>126</v>
      </c>
      <c r="BL990" t="s">
        <v>6169</v>
      </c>
      <c r="BM990" t="s">
        <v>18110</v>
      </c>
      <c r="BN990">
        <v>37580754</v>
      </c>
      <c r="BO990" t="s">
        <v>157</v>
      </c>
      <c r="BP990" t="s">
        <v>74</v>
      </c>
      <c r="BQ990" t="s">
        <v>74</v>
      </c>
      <c r="BR990" t="s">
        <v>99</v>
      </c>
      <c r="BS990" t="s">
        <v>18111</v>
      </c>
      <c r="BT990" t="str">
        <f>HYPERLINK("https%3A%2F%2Fwww.webofscience.com%2Fwos%2Fwoscc%2Ffull-record%2FWOS:001049241900001","View Full Record in Web of Science")</f>
        <v>View Full Record in Web of Science</v>
      </c>
    </row>
    <row r="991" spans="1:72" x14ac:dyDescent="0.15">
      <c r="A991" t="s">
        <v>72</v>
      </c>
      <c r="B991" t="s">
        <v>18112</v>
      </c>
      <c r="C991" t="s">
        <v>74</v>
      </c>
      <c r="D991" t="s">
        <v>74</v>
      </c>
      <c r="E991" t="s">
        <v>74</v>
      </c>
      <c r="F991" t="s">
        <v>18113</v>
      </c>
      <c r="G991" t="s">
        <v>74</v>
      </c>
      <c r="H991" t="s">
        <v>74</v>
      </c>
      <c r="I991" t="s">
        <v>18114</v>
      </c>
      <c r="J991" t="s">
        <v>18115</v>
      </c>
      <c r="K991" t="s">
        <v>74</v>
      </c>
      <c r="L991" t="s">
        <v>74</v>
      </c>
      <c r="M991" t="s">
        <v>78</v>
      </c>
      <c r="N991" t="s">
        <v>79</v>
      </c>
      <c r="O991" t="s">
        <v>74</v>
      </c>
      <c r="P991" t="s">
        <v>74</v>
      </c>
      <c r="Q991" t="s">
        <v>74</v>
      </c>
      <c r="R991" t="s">
        <v>74</v>
      </c>
      <c r="S991" t="s">
        <v>74</v>
      </c>
      <c r="T991" t="s">
        <v>18116</v>
      </c>
      <c r="U991" t="s">
        <v>18117</v>
      </c>
      <c r="V991" t="s">
        <v>18118</v>
      </c>
      <c r="W991" t="s">
        <v>18119</v>
      </c>
      <c r="X991" t="s">
        <v>74</v>
      </c>
      <c r="Y991" t="s">
        <v>18120</v>
      </c>
      <c r="Z991" t="s">
        <v>18121</v>
      </c>
      <c r="AA991" t="s">
        <v>18122</v>
      </c>
      <c r="AB991" t="s">
        <v>18123</v>
      </c>
      <c r="AC991" t="s">
        <v>74</v>
      </c>
      <c r="AD991" t="s">
        <v>74</v>
      </c>
      <c r="AE991" t="s">
        <v>74</v>
      </c>
      <c r="AF991" t="s">
        <v>74</v>
      </c>
      <c r="AG991">
        <v>75</v>
      </c>
      <c r="AH991">
        <v>0</v>
      </c>
      <c r="AI991">
        <v>0</v>
      </c>
      <c r="AJ991">
        <v>0</v>
      </c>
      <c r="AK991">
        <v>0</v>
      </c>
      <c r="AL991" t="s">
        <v>5557</v>
      </c>
      <c r="AM991" t="s">
        <v>5558</v>
      </c>
      <c r="AN991" t="s">
        <v>5559</v>
      </c>
      <c r="AO991" t="s">
        <v>18124</v>
      </c>
      <c r="AP991" t="s">
        <v>18125</v>
      </c>
      <c r="AQ991" t="s">
        <v>74</v>
      </c>
      <c r="AR991" t="s">
        <v>18126</v>
      </c>
      <c r="AS991" t="s">
        <v>18127</v>
      </c>
      <c r="AT991" t="s">
        <v>17773</v>
      </c>
      <c r="AU991">
        <v>2023</v>
      </c>
      <c r="AV991">
        <v>80</v>
      </c>
      <c r="AW991">
        <v>1</v>
      </c>
      <c r="AX991" t="s">
        <v>74</v>
      </c>
      <c r="AY991" t="s">
        <v>74</v>
      </c>
      <c r="AZ991" t="s">
        <v>74</v>
      </c>
      <c r="BA991" t="s">
        <v>74</v>
      </c>
      <c r="BB991" t="s">
        <v>74</v>
      </c>
      <c r="BC991" t="s">
        <v>74</v>
      </c>
      <c r="BD991">
        <v>33</v>
      </c>
      <c r="BE991" t="s">
        <v>18128</v>
      </c>
      <c r="BF991" t="str">
        <f>HYPERLINK("http://dx.doi.org/10.1186/s13595-023-01202-x","http://dx.doi.org/10.1186/s13595-023-01202-x")</f>
        <v>http://dx.doi.org/10.1186/s13595-023-01202-x</v>
      </c>
      <c r="BG991" t="s">
        <v>74</v>
      </c>
      <c r="BH991" t="s">
        <v>74</v>
      </c>
      <c r="BI991">
        <v>17</v>
      </c>
      <c r="BJ991" t="s">
        <v>17160</v>
      </c>
      <c r="BK991" t="s">
        <v>126</v>
      </c>
      <c r="BL991" t="s">
        <v>17160</v>
      </c>
      <c r="BM991" t="s">
        <v>18129</v>
      </c>
      <c r="BN991" t="s">
        <v>74</v>
      </c>
      <c r="BO991" t="s">
        <v>302</v>
      </c>
      <c r="BP991" t="s">
        <v>74</v>
      </c>
      <c r="BQ991" t="s">
        <v>74</v>
      </c>
      <c r="BR991" t="s">
        <v>99</v>
      </c>
      <c r="BS991" t="s">
        <v>18130</v>
      </c>
      <c r="BT991" t="str">
        <f>HYPERLINK("https%3A%2F%2Fwww.webofscience.com%2Fwos%2Fwoscc%2Ffull-record%2FWOS:001048686100001","View Full Record in Web of Science")</f>
        <v>View Full Record in Web of Science</v>
      </c>
    </row>
    <row r="992" spans="1:72" x14ac:dyDescent="0.15">
      <c r="A992" t="s">
        <v>72</v>
      </c>
      <c r="B992" t="s">
        <v>18131</v>
      </c>
      <c r="C992" t="s">
        <v>74</v>
      </c>
      <c r="D992" t="s">
        <v>74</v>
      </c>
      <c r="E992" t="s">
        <v>74</v>
      </c>
      <c r="F992" t="s">
        <v>18132</v>
      </c>
      <c r="G992" t="s">
        <v>74</v>
      </c>
      <c r="H992" t="s">
        <v>74</v>
      </c>
      <c r="I992" t="s">
        <v>18133</v>
      </c>
      <c r="J992" t="s">
        <v>13358</v>
      </c>
      <c r="K992" t="s">
        <v>74</v>
      </c>
      <c r="L992" t="s">
        <v>74</v>
      </c>
      <c r="M992" t="s">
        <v>78</v>
      </c>
      <c r="N992" t="s">
        <v>1246</v>
      </c>
      <c r="O992" t="s">
        <v>74</v>
      </c>
      <c r="P992" t="s">
        <v>74</v>
      </c>
      <c r="Q992" t="s">
        <v>74</v>
      </c>
      <c r="R992" t="s">
        <v>74</v>
      </c>
      <c r="S992" t="s">
        <v>74</v>
      </c>
      <c r="T992" t="s">
        <v>18134</v>
      </c>
      <c r="U992" t="s">
        <v>18135</v>
      </c>
      <c r="V992" t="s">
        <v>18136</v>
      </c>
      <c r="W992" t="s">
        <v>18137</v>
      </c>
      <c r="X992" t="s">
        <v>18138</v>
      </c>
      <c r="Y992" t="s">
        <v>18139</v>
      </c>
      <c r="Z992" t="s">
        <v>18140</v>
      </c>
      <c r="AA992" t="s">
        <v>18141</v>
      </c>
      <c r="AB992" t="s">
        <v>18142</v>
      </c>
      <c r="AC992" t="s">
        <v>18143</v>
      </c>
      <c r="AD992" t="s">
        <v>7702</v>
      </c>
      <c r="AE992" t="s">
        <v>18144</v>
      </c>
      <c r="AF992" t="s">
        <v>74</v>
      </c>
      <c r="AG992">
        <v>82</v>
      </c>
      <c r="AH992">
        <v>0</v>
      </c>
      <c r="AI992">
        <v>0</v>
      </c>
      <c r="AJ992">
        <v>5</v>
      </c>
      <c r="AK992">
        <v>5</v>
      </c>
      <c r="AL992" t="s">
        <v>117</v>
      </c>
      <c r="AM992" t="s">
        <v>627</v>
      </c>
      <c r="AN992" t="s">
        <v>628</v>
      </c>
      <c r="AO992" t="s">
        <v>13369</v>
      </c>
      <c r="AP992" t="s">
        <v>13370</v>
      </c>
      <c r="AQ992" t="s">
        <v>74</v>
      </c>
      <c r="AR992" t="s">
        <v>13371</v>
      </c>
      <c r="AS992" t="s">
        <v>13372</v>
      </c>
      <c r="AT992" t="s">
        <v>17793</v>
      </c>
      <c r="AU992">
        <v>2023</v>
      </c>
      <c r="AV992" t="s">
        <v>74</v>
      </c>
      <c r="AW992" t="s">
        <v>74</v>
      </c>
      <c r="AX992" t="s">
        <v>74</v>
      </c>
      <c r="AY992" t="s">
        <v>74</v>
      </c>
      <c r="AZ992" t="s">
        <v>74</v>
      </c>
      <c r="BA992" t="s">
        <v>74</v>
      </c>
      <c r="BB992" t="s">
        <v>74</v>
      </c>
      <c r="BC992" t="s">
        <v>74</v>
      </c>
      <c r="BD992" t="s">
        <v>74</v>
      </c>
      <c r="BE992" t="s">
        <v>18145</v>
      </c>
      <c r="BF992" t="str">
        <f>HYPERLINK("http://dx.doi.org/10.1007/s10726-023-09849-7","http://dx.doi.org/10.1007/s10726-023-09849-7")</f>
        <v>http://dx.doi.org/10.1007/s10726-023-09849-7</v>
      </c>
      <c r="BG992" t="s">
        <v>74</v>
      </c>
      <c r="BH992" t="s">
        <v>10650</v>
      </c>
      <c r="BI992">
        <v>32</v>
      </c>
      <c r="BJ992" t="s">
        <v>13374</v>
      </c>
      <c r="BK992" t="s">
        <v>425</v>
      </c>
      <c r="BL992" t="s">
        <v>13375</v>
      </c>
      <c r="BM992" t="s">
        <v>18146</v>
      </c>
      <c r="BN992" t="s">
        <v>74</v>
      </c>
      <c r="BO992" t="s">
        <v>74</v>
      </c>
      <c r="BP992" t="s">
        <v>74</v>
      </c>
      <c r="BQ992" t="s">
        <v>74</v>
      </c>
      <c r="BR992" t="s">
        <v>99</v>
      </c>
      <c r="BS992" t="s">
        <v>18147</v>
      </c>
      <c r="BT992" t="str">
        <f>HYPERLINK("https%3A%2F%2Fwww.webofscience.com%2Fwos%2Fwoscc%2Ffull-record%2FWOS:001048062000003","View Full Record in Web of Science")</f>
        <v>View Full Record in Web of Science</v>
      </c>
    </row>
    <row r="993" spans="1:72" x14ac:dyDescent="0.15">
      <c r="A993" t="s">
        <v>72</v>
      </c>
      <c r="B993" t="s">
        <v>18148</v>
      </c>
      <c r="C993" t="s">
        <v>74</v>
      </c>
      <c r="D993" t="s">
        <v>74</v>
      </c>
      <c r="E993" t="s">
        <v>74</v>
      </c>
      <c r="F993" t="s">
        <v>18149</v>
      </c>
      <c r="G993" t="s">
        <v>74</v>
      </c>
      <c r="H993" t="s">
        <v>74</v>
      </c>
      <c r="I993" t="s">
        <v>18150</v>
      </c>
      <c r="J993" t="s">
        <v>1226</v>
      </c>
      <c r="K993" t="s">
        <v>74</v>
      </c>
      <c r="L993" t="s">
        <v>74</v>
      </c>
      <c r="M993" t="s">
        <v>78</v>
      </c>
      <c r="N993" t="s">
        <v>79</v>
      </c>
      <c r="O993" t="s">
        <v>74</v>
      </c>
      <c r="P993" t="s">
        <v>74</v>
      </c>
      <c r="Q993" t="s">
        <v>74</v>
      </c>
      <c r="R993" t="s">
        <v>74</v>
      </c>
      <c r="S993" t="s">
        <v>74</v>
      </c>
      <c r="T993" t="s">
        <v>18151</v>
      </c>
      <c r="U993" t="s">
        <v>18152</v>
      </c>
      <c r="V993" t="s">
        <v>18153</v>
      </c>
      <c r="W993" t="s">
        <v>18154</v>
      </c>
      <c r="X993" t="s">
        <v>18155</v>
      </c>
      <c r="Y993" t="s">
        <v>18156</v>
      </c>
      <c r="Z993" t="s">
        <v>18157</v>
      </c>
      <c r="AA993" t="s">
        <v>18158</v>
      </c>
      <c r="AB993" t="s">
        <v>74</v>
      </c>
      <c r="AC993" t="s">
        <v>74</v>
      </c>
      <c r="AD993" t="s">
        <v>74</v>
      </c>
      <c r="AE993" t="s">
        <v>74</v>
      </c>
      <c r="AF993" t="s">
        <v>74</v>
      </c>
      <c r="AG993">
        <v>52</v>
      </c>
      <c r="AH993">
        <v>0</v>
      </c>
      <c r="AI993">
        <v>0</v>
      </c>
      <c r="AJ993">
        <v>0</v>
      </c>
      <c r="AK993">
        <v>0</v>
      </c>
      <c r="AL993" t="s">
        <v>317</v>
      </c>
      <c r="AM993" t="s">
        <v>245</v>
      </c>
      <c r="AN993" t="s">
        <v>318</v>
      </c>
      <c r="AO993" t="s">
        <v>74</v>
      </c>
      <c r="AP993" t="s">
        <v>1232</v>
      </c>
      <c r="AQ993" t="s">
        <v>74</v>
      </c>
      <c r="AR993" t="s">
        <v>1233</v>
      </c>
      <c r="AS993" t="s">
        <v>1234</v>
      </c>
      <c r="AT993" t="s">
        <v>17773</v>
      </c>
      <c r="AU993">
        <v>2023</v>
      </c>
      <c r="AV993">
        <v>15</v>
      </c>
      <c r="AW993">
        <v>8</v>
      </c>
      <c r="AX993" t="s">
        <v>74</v>
      </c>
      <c r="AY993" t="s">
        <v>74</v>
      </c>
      <c r="AZ993" t="s">
        <v>74</v>
      </c>
      <c r="BA993" t="s">
        <v>74</v>
      </c>
      <c r="BB993" t="s">
        <v>74</v>
      </c>
      <c r="BC993" t="s">
        <v>74</v>
      </c>
      <c r="BD993" t="s">
        <v>18159</v>
      </c>
      <c r="BE993" t="s">
        <v>18160</v>
      </c>
      <c r="BF993" t="str">
        <f>HYPERLINK("http://dx.doi.org/10.7759/cureus.43496","http://dx.doi.org/10.7759/cureus.43496")</f>
        <v>http://dx.doi.org/10.7759/cureus.43496</v>
      </c>
      <c r="BG993" t="s">
        <v>74</v>
      </c>
      <c r="BH993" t="s">
        <v>74</v>
      </c>
      <c r="BI993">
        <v>9</v>
      </c>
      <c r="BJ993" t="s">
        <v>1238</v>
      </c>
      <c r="BK993" t="s">
        <v>97</v>
      </c>
      <c r="BL993" t="s">
        <v>1239</v>
      </c>
      <c r="BM993" t="s">
        <v>17776</v>
      </c>
      <c r="BN993">
        <v>37719489</v>
      </c>
      <c r="BO993" t="s">
        <v>157</v>
      </c>
      <c r="BP993" t="s">
        <v>74</v>
      </c>
      <c r="BQ993" t="s">
        <v>74</v>
      </c>
      <c r="BR993" t="s">
        <v>99</v>
      </c>
      <c r="BS993" t="s">
        <v>18161</v>
      </c>
      <c r="BT993" t="str">
        <f>HYPERLINK("https%3A%2F%2Fwww.webofscience.com%2Fwos%2Fwoscc%2Ffull-record%2FWOS:001058405100007","View Full Record in Web of Science")</f>
        <v>View Full Record in Web of Science</v>
      </c>
    </row>
    <row r="994" spans="1:72" x14ac:dyDescent="0.15">
      <c r="A994" t="s">
        <v>72</v>
      </c>
      <c r="B994" t="s">
        <v>18162</v>
      </c>
      <c r="C994" t="s">
        <v>74</v>
      </c>
      <c r="D994" t="s">
        <v>74</v>
      </c>
      <c r="E994" t="s">
        <v>74</v>
      </c>
      <c r="F994" t="s">
        <v>18163</v>
      </c>
      <c r="G994" t="s">
        <v>74</v>
      </c>
      <c r="H994" t="s">
        <v>74</v>
      </c>
      <c r="I994" t="s">
        <v>18164</v>
      </c>
      <c r="J994" t="s">
        <v>7023</v>
      </c>
      <c r="K994" t="s">
        <v>74</v>
      </c>
      <c r="L994" t="s">
        <v>74</v>
      </c>
      <c r="M994" t="s">
        <v>78</v>
      </c>
      <c r="N994" t="s">
        <v>79</v>
      </c>
      <c r="O994" t="s">
        <v>74</v>
      </c>
      <c r="P994" t="s">
        <v>74</v>
      </c>
      <c r="Q994" t="s">
        <v>74</v>
      </c>
      <c r="R994" t="s">
        <v>74</v>
      </c>
      <c r="S994" t="s">
        <v>74</v>
      </c>
      <c r="T994" t="s">
        <v>18165</v>
      </c>
      <c r="U994" t="s">
        <v>18166</v>
      </c>
      <c r="V994" t="s">
        <v>18167</v>
      </c>
      <c r="W994" t="s">
        <v>18168</v>
      </c>
      <c r="X994" t="s">
        <v>18169</v>
      </c>
      <c r="Y994" t="s">
        <v>18170</v>
      </c>
      <c r="Z994" t="s">
        <v>18171</v>
      </c>
      <c r="AA994" t="s">
        <v>74</v>
      </c>
      <c r="AB994" t="s">
        <v>18172</v>
      </c>
      <c r="AC994" t="s">
        <v>74</v>
      </c>
      <c r="AD994" t="s">
        <v>74</v>
      </c>
      <c r="AE994" t="s">
        <v>74</v>
      </c>
      <c r="AF994" t="s">
        <v>74</v>
      </c>
      <c r="AG994">
        <v>30</v>
      </c>
      <c r="AH994">
        <v>0</v>
      </c>
      <c r="AI994">
        <v>0</v>
      </c>
      <c r="AJ994">
        <v>1</v>
      </c>
      <c r="AK994">
        <v>1</v>
      </c>
      <c r="AL994" t="s">
        <v>117</v>
      </c>
      <c r="AM994" t="s">
        <v>627</v>
      </c>
      <c r="AN994" t="s">
        <v>628</v>
      </c>
      <c r="AO994" t="s">
        <v>7033</v>
      </c>
      <c r="AP994" t="s">
        <v>7034</v>
      </c>
      <c r="AQ994" t="s">
        <v>74</v>
      </c>
      <c r="AR994" t="s">
        <v>7035</v>
      </c>
      <c r="AS994" t="s">
        <v>7036</v>
      </c>
      <c r="AT994" t="s">
        <v>1275</v>
      </c>
      <c r="AU994">
        <v>2023</v>
      </c>
      <c r="AV994">
        <v>43</v>
      </c>
      <c r="AW994">
        <v>10</v>
      </c>
      <c r="AX994" t="s">
        <v>74</v>
      </c>
      <c r="AY994" t="s">
        <v>74</v>
      </c>
      <c r="AZ994" t="s">
        <v>74</v>
      </c>
      <c r="BA994" t="s">
        <v>74</v>
      </c>
      <c r="BB994">
        <v>3841</v>
      </c>
      <c r="BC994">
        <v>3852</v>
      </c>
      <c r="BD994" t="s">
        <v>74</v>
      </c>
      <c r="BE994" t="s">
        <v>18173</v>
      </c>
      <c r="BF994" t="str">
        <f>HYPERLINK("http://dx.doi.org/10.1007/s10792-023-02839-3","http://dx.doi.org/10.1007/s10792-023-02839-3")</f>
        <v>http://dx.doi.org/10.1007/s10792-023-02839-3</v>
      </c>
      <c r="BG994" t="s">
        <v>74</v>
      </c>
      <c r="BH994" t="s">
        <v>10650</v>
      </c>
      <c r="BI994">
        <v>12</v>
      </c>
      <c r="BJ994" t="s">
        <v>7038</v>
      </c>
      <c r="BK994" t="s">
        <v>126</v>
      </c>
      <c r="BL994" t="s">
        <v>7038</v>
      </c>
      <c r="BM994" t="s">
        <v>18174</v>
      </c>
      <c r="BN994">
        <v>37578548</v>
      </c>
      <c r="BO994" t="s">
        <v>74</v>
      </c>
      <c r="BP994" t="s">
        <v>74</v>
      </c>
      <c r="BQ994" t="s">
        <v>74</v>
      </c>
      <c r="BR994" t="s">
        <v>99</v>
      </c>
      <c r="BS994" t="s">
        <v>18175</v>
      </c>
      <c r="BT994" t="str">
        <f>HYPERLINK("https%3A%2F%2Fwww.webofscience.com%2Fwos%2Fwoscc%2Ffull-record%2FWOS:001050907900001","View Full Record in Web of Science")</f>
        <v>View Full Record in Web of Science</v>
      </c>
    </row>
    <row r="995" spans="1:72" x14ac:dyDescent="0.15">
      <c r="A995" t="s">
        <v>72</v>
      </c>
      <c r="B995" t="s">
        <v>18176</v>
      </c>
      <c r="C995" t="s">
        <v>74</v>
      </c>
      <c r="D995" t="s">
        <v>74</v>
      </c>
      <c r="E995" t="s">
        <v>74</v>
      </c>
      <c r="F995" t="s">
        <v>18177</v>
      </c>
      <c r="G995" t="s">
        <v>74</v>
      </c>
      <c r="H995" t="s">
        <v>74</v>
      </c>
      <c r="I995" t="s">
        <v>18178</v>
      </c>
      <c r="J995" t="s">
        <v>10071</v>
      </c>
      <c r="K995" t="s">
        <v>74</v>
      </c>
      <c r="L995" t="s">
        <v>74</v>
      </c>
      <c r="M995" t="s">
        <v>78</v>
      </c>
      <c r="N995" t="s">
        <v>1246</v>
      </c>
      <c r="O995" t="s">
        <v>74</v>
      </c>
      <c r="P995" t="s">
        <v>74</v>
      </c>
      <c r="Q995" t="s">
        <v>74</v>
      </c>
      <c r="R995" t="s">
        <v>74</v>
      </c>
      <c r="S995" t="s">
        <v>74</v>
      </c>
      <c r="T995" t="s">
        <v>18179</v>
      </c>
      <c r="U995" t="s">
        <v>18180</v>
      </c>
      <c r="V995" t="s">
        <v>18181</v>
      </c>
      <c r="W995" t="s">
        <v>18182</v>
      </c>
      <c r="X995" t="s">
        <v>18183</v>
      </c>
      <c r="Y995" t="s">
        <v>18184</v>
      </c>
      <c r="Z995" t="s">
        <v>18185</v>
      </c>
      <c r="AA995" t="s">
        <v>74</v>
      </c>
      <c r="AB995" t="s">
        <v>74</v>
      </c>
      <c r="AC995" t="s">
        <v>18186</v>
      </c>
      <c r="AD995" t="s">
        <v>18187</v>
      </c>
      <c r="AE995" t="s">
        <v>18188</v>
      </c>
      <c r="AF995" t="s">
        <v>74</v>
      </c>
      <c r="AG995">
        <v>15</v>
      </c>
      <c r="AH995">
        <v>0</v>
      </c>
      <c r="AI995">
        <v>0</v>
      </c>
      <c r="AJ995">
        <v>1</v>
      </c>
      <c r="AK995">
        <v>1</v>
      </c>
      <c r="AL995" t="s">
        <v>117</v>
      </c>
      <c r="AM995" t="s">
        <v>118</v>
      </c>
      <c r="AN995" t="s">
        <v>119</v>
      </c>
      <c r="AO995" t="s">
        <v>10082</v>
      </c>
      <c r="AP995" t="s">
        <v>10083</v>
      </c>
      <c r="AQ995" t="s">
        <v>74</v>
      </c>
      <c r="AR995" t="s">
        <v>10084</v>
      </c>
      <c r="AS995" t="s">
        <v>10085</v>
      </c>
      <c r="AT995" t="s">
        <v>17793</v>
      </c>
      <c r="AU995">
        <v>2023</v>
      </c>
      <c r="AV995" t="s">
        <v>74</v>
      </c>
      <c r="AW995" t="s">
        <v>74</v>
      </c>
      <c r="AX995" t="s">
        <v>74</v>
      </c>
      <c r="AY995" t="s">
        <v>74</v>
      </c>
      <c r="AZ995" t="s">
        <v>74</v>
      </c>
      <c r="BA995" t="s">
        <v>74</v>
      </c>
      <c r="BB995" t="s">
        <v>74</v>
      </c>
      <c r="BC995" t="s">
        <v>74</v>
      </c>
      <c r="BD995" t="s">
        <v>74</v>
      </c>
      <c r="BE995" t="s">
        <v>18189</v>
      </c>
      <c r="BF995" t="str">
        <f>HYPERLINK("http://dx.doi.org/10.1007/s00500-023-09120-w","http://dx.doi.org/10.1007/s00500-023-09120-w")</f>
        <v>http://dx.doi.org/10.1007/s00500-023-09120-w</v>
      </c>
      <c r="BG995" t="s">
        <v>74</v>
      </c>
      <c r="BH995" t="s">
        <v>10650</v>
      </c>
      <c r="BI995">
        <v>10</v>
      </c>
      <c r="BJ995" t="s">
        <v>10087</v>
      </c>
      <c r="BK995" t="s">
        <v>126</v>
      </c>
      <c r="BL995" t="s">
        <v>1139</v>
      </c>
      <c r="BM995" t="s">
        <v>18190</v>
      </c>
      <c r="BN995" t="s">
        <v>74</v>
      </c>
      <c r="BO995" t="s">
        <v>74</v>
      </c>
      <c r="BP995" t="s">
        <v>74</v>
      </c>
      <c r="BQ995" t="s">
        <v>74</v>
      </c>
      <c r="BR995" t="s">
        <v>99</v>
      </c>
      <c r="BS995" t="s">
        <v>18191</v>
      </c>
      <c r="BT995" t="str">
        <f>HYPERLINK("https%3A%2F%2Fwww.webofscience.com%2Fwos%2Fwoscc%2Ffull-record%2FWOS:001048868100006","View Full Record in Web of Science")</f>
        <v>View Full Record in Web of Science</v>
      </c>
    </row>
    <row r="996" spans="1:72" x14ac:dyDescent="0.15">
      <c r="A996" t="s">
        <v>72</v>
      </c>
      <c r="B996" t="s">
        <v>18192</v>
      </c>
      <c r="C996" t="s">
        <v>74</v>
      </c>
      <c r="D996" t="s">
        <v>74</v>
      </c>
      <c r="E996" t="s">
        <v>74</v>
      </c>
      <c r="F996" t="s">
        <v>18193</v>
      </c>
      <c r="G996" t="s">
        <v>74</v>
      </c>
      <c r="H996" t="s">
        <v>74</v>
      </c>
      <c r="I996" t="s">
        <v>18194</v>
      </c>
      <c r="J996" t="s">
        <v>5375</v>
      </c>
      <c r="K996" t="s">
        <v>74</v>
      </c>
      <c r="L996" t="s">
        <v>74</v>
      </c>
      <c r="M996" t="s">
        <v>78</v>
      </c>
      <c r="N996" t="s">
        <v>1246</v>
      </c>
      <c r="O996" t="s">
        <v>74</v>
      </c>
      <c r="P996" t="s">
        <v>74</v>
      </c>
      <c r="Q996" t="s">
        <v>74</v>
      </c>
      <c r="R996" t="s">
        <v>74</v>
      </c>
      <c r="S996" t="s">
        <v>74</v>
      </c>
      <c r="T996" t="s">
        <v>18195</v>
      </c>
      <c r="U996" t="s">
        <v>18196</v>
      </c>
      <c r="V996" t="s">
        <v>18197</v>
      </c>
      <c r="W996" t="s">
        <v>18198</v>
      </c>
      <c r="X996" t="s">
        <v>18199</v>
      </c>
      <c r="Y996" t="s">
        <v>18200</v>
      </c>
      <c r="Z996" t="s">
        <v>18201</v>
      </c>
      <c r="AA996" t="s">
        <v>18202</v>
      </c>
      <c r="AB996" t="s">
        <v>18203</v>
      </c>
      <c r="AC996" t="s">
        <v>74</v>
      </c>
      <c r="AD996" t="s">
        <v>74</v>
      </c>
      <c r="AE996" t="s">
        <v>74</v>
      </c>
      <c r="AF996" t="s">
        <v>74</v>
      </c>
      <c r="AG996">
        <v>150</v>
      </c>
      <c r="AH996">
        <v>0</v>
      </c>
      <c r="AI996">
        <v>0</v>
      </c>
      <c r="AJ996">
        <v>1</v>
      </c>
      <c r="AK996">
        <v>1</v>
      </c>
      <c r="AL996" t="s">
        <v>244</v>
      </c>
      <c r="AM996" t="s">
        <v>245</v>
      </c>
      <c r="AN996" t="s">
        <v>246</v>
      </c>
      <c r="AO996" t="s">
        <v>5385</v>
      </c>
      <c r="AP996" t="s">
        <v>5386</v>
      </c>
      <c r="AQ996" t="s">
        <v>74</v>
      </c>
      <c r="AR996" t="s">
        <v>5387</v>
      </c>
      <c r="AS996" t="s">
        <v>5388</v>
      </c>
      <c r="AT996" t="s">
        <v>18204</v>
      </c>
      <c r="AU996">
        <v>2023</v>
      </c>
      <c r="AV996" t="s">
        <v>74</v>
      </c>
      <c r="AW996" t="s">
        <v>74</v>
      </c>
      <c r="AX996" t="s">
        <v>74</v>
      </c>
      <c r="AY996" t="s">
        <v>74</v>
      </c>
      <c r="AZ996" t="s">
        <v>74</v>
      </c>
      <c r="BA996" t="s">
        <v>74</v>
      </c>
      <c r="BB996" t="s">
        <v>74</v>
      </c>
      <c r="BC996" t="s">
        <v>74</v>
      </c>
      <c r="BD996" t="s">
        <v>74</v>
      </c>
      <c r="BE996" t="s">
        <v>18205</v>
      </c>
      <c r="BF996" t="str">
        <f>HYPERLINK("http://dx.doi.org/10.1007/s00521-023-08933-y","http://dx.doi.org/10.1007/s00521-023-08933-y")</f>
        <v>http://dx.doi.org/10.1007/s00521-023-08933-y</v>
      </c>
      <c r="BG996" t="s">
        <v>74</v>
      </c>
      <c r="BH996" t="s">
        <v>10650</v>
      </c>
      <c r="BI996">
        <v>19</v>
      </c>
      <c r="BJ996" t="s">
        <v>5390</v>
      </c>
      <c r="BK996" t="s">
        <v>126</v>
      </c>
      <c r="BL996" t="s">
        <v>1139</v>
      </c>
      <c r="BM996" t="s">
        <v>18206</v>
      </c>
      <c r="BN996" t="s">
        <v>74</v>
      </c>
      <c r="BO996" t="s">
        <v>74</v>
      </c>
      <c r="BP996" t="s">
        <v>74</v>
      </c>
      <c r="BQ996" t="s">
        <v>74</v>
      </c>
      <c r="BR996" t="s">
        <v>99</v>
      </c>
      <c r="BS996" t="s">
        <v>18207</v>
      </c>
      <c r="BT996" t="str">
        <f>HYPERLINK("https%3A%2F%2Fwww.webofscience.com%2Fwos%2Fwoscc%2Ffull-record%2FWOS:001050289300002","View Full Record in Web of Science")</f>
        <v>View Full Record in Web of Science</v>
      </c>
    </row>
    <row r="997" spans="1:72" x14ac:dyDescent="0.15">
      <c r="A997" t="s">
        <v>72</v>
      </c>
      <c r="B997" t="s">
        <v>18208</v>
      </c>
      <c r="C997" t="s">
        <v>74</v>
      </c>
      <c r="D997" t="s">
        <v>74</v>
      </c>
      <c r="E997" t="s">
        <v>74</v>
      </c>
      <c r="F997" t="s">
        <v>18209</v>
      </c>
      <c r="G997" t="s">
        <v>74</v>
      </c>
      <c r="H997" t="s">
        <v>74</v>
      </c>
      <c r="I997" t="s">
        <v>18210</v>
      </c>
      <c r="J997" t="s">
        <v>5433</v>
      </c>
      <c r="K997" t="s">
        <v>74</v>
      </c>
      <c r="L997" t="s">
        <v>74</v>
      </c>
      <c r="M997" t="s">
        <v>78</v>
      </c>
      <c r="N997" t="s">
        <v>79</v>
      </c>
      <c r="O997" t="s">
        <v>74</v>
      </c>
      <c r="P997" t="s">
        <v>74</v>
      </c>
      <c r="Q997" t="s">
        <v>74</v>
      </c>
      <c r="R997" t="s">
        <v>74</v>
      </c>
      <c r="S997" t="s">
        <v>74</v>
      </c>
      <c r="T997" t="s">
        <v>18211</v>
      </c>
      <c r="U997" t="s">
        <v>18212</v>
      </c>
      <c r="V997" t="s">
        <v>18213</v>
      </c>
      <c r="W997" t="s">
        <v>18214</v>
      </c>
      <c r="X997" t="s">
        <v>18215</v>
      </c>
      <c r="Y997" t="s">
        <v>18216</v>
      </c>
      <c r="Z997" t="s">
        <v>18217</v>
      </c>
      <c r="AA997" t="s">
        <v>74</v>
      </c>
      <c r="AB997" t="s">
        <v>18218</v>
      </c>
      <c r="AC997" t="s">
        <v>74</v>
      </c>
      <c r="AD997" t="s">
        <v>74</v>
      </c>
      <c r="AE997" t="s">
        <v>74</v>
      </c>
      <c r="AF997" t="s">
        <v>74</v>
      </c>
      <c r="AG997">
        <v>22</v>
      </c>
      <c r="AH997">
        <v>0</v>
      </c>
      <c r="AI997">
        <v>0</v>
      </c>
      <c r="AJ997">
        <v>1</v>
      </c>
      <c r="AK997">
        <v>1</v>
      </c>
      <c r="AL997" t="s">
        <v>443</v>
      </c>
      <c r="AM997" t="s">
        <v>245</v>
      </c>
      <c r="AN997" t="s">
        <v>444</v>
      </c>
      <c r="AO997" t="s">
        <v>74</v>
      </c>
      <c r="AP997" t="s">
        <v>5442</v>
      </c>
      <c r="AQ997" t="s">
        <v>74</v>
      </c>
      <c r="AR997" t="s">
        <v>5443</v>
      </c>
      <c r="AS997" t="s">
        <v>5444</v>
      </c>
      <c r="AT997" t="s">
        <v>18219</v>
      </c>
      <c r="AU997">
        <v>2023</v>
      </c>
      <c r="AV997">
        <v>21</v>
      </c>
      <c r="AW997">
        <v>1</v>
      </c>
      <c r="AX997" t="s">
        <v>74</v>
      </c>
      <c r="AY997" t="s">
        <v>74</v>
      </c>
      <c r="AZ997" t="s">
        <v>74</v>
      </c>
      <c r="BA997" t="s">
        <v>74</v>
      </c>
      <c r="BB997" t="s">
        <v>74</v>
      </c>
      <c r="BC997" t="s">
        <v>74</v>
      </c>
      <c r="BD997">
        <v>83</v>
      </c>
      <c r="BE997" t="s">
        <v>18220</v>
      </c>
      <c r="BF997" t="str">
        <f>HYPERLINK("http://dx.doi.org/10.1186/s12969-023-00870-3","http://dx.doi.org/10.1186/s12969-023-00870-3")</f>
        <v>http://dx.doi.org/10.1186/s12969-023-00870-3</v>
      </c>
      <c r="BG997" t="s">
        <v>74</v>
      </c>
      <c r="BH997" t="s">
        <v>74</v>
      </c>
      <c r="BI997">
        <v>6</v>
      </c>
      <c r="BJ997" t="s">
        <v>5446</v>
      </c>
      <c r="BK997" t="s">
        <v>126</v>
      </c>
      <c r="BL997" t="s">
        <v>5446</v>
      </c>
      <c r="BM997" t="s">
        <v>18221</v>
      </c>
      <c r="BN997">
        <v>37574559</v>
      </c>
      <c r="BO997" t="s">
        <v>981</v>
      </c>
      <c r="BP997" t="s">
        <v>74</v>
      </c>
      <c r="BQ997" t="s">
        <v>74</v>
      </c>
      <c r="BR997" t="s">
        <v>99</v>
      </c>
      <c r="BS997" t="s">
        <v>18222</v>
      </c>
      <c r="BT997" t="str">
        <f>HYPERLINK("https%3A%2F%2Fwww.webofscience.com%2Fwos%2Fwoscc%2Ffull-record%2FWOS:001048251400001","View Full Record in Web of Science")</f>
        <v>View Full Record in Web of Science</v>
      </c>
    </row>
    <row r="998" spans="1:72" x14ac:dyDescent="0.15">
      <c r="A998" t="s">
        <v>72</v>
      </c>
      <c r="B998" t="s">
        <v>18223</v>
      </c>
      <c r="C998" t="s">
        <v>74</v>
      </c>
      <c r="D998" t="s">
        <v>74</v>
      </c>
      <c r="E998" t="s">
        <v>74</v>
      </c>
      <c r="F998" t="s">
        <v>18224</v>
      </c>
      <c r="G998" t="s">
        <v>74</v>
      </c>
      <c r="H998" t="s">
        <v>74</v>
      </c>
      <c r="I998" t="s">
        <v>18225</v>
      </c>
      <c r="J998" t="s">
        <v>18226</v>
      </c>
      <c r="K998" t="s">
        <v>74</v>
      </c>
      <c r="L998" t="s">
        <v>74</v>
      </c>
      <c r="M998" t="s">
        <v>78</v>
      </c>
      <c r="N998" t="s">
        <v>105</v>
      </c>
      <c r="O998" t="s">
        <v>74</v>
      </c>
      <c r="P998" t="s">
        <v>74</v>
      </c>
      <c r="Q998" t="s">
        <v>74</v>
      </c>
      <c r="R998" t="s">
        <v>74</v>
      </c>
      <c r="S998" t="s">
        <v>74</v>
      </c>
      <c r="T998" t="s">
        <v>18227</v>
      </c>
      <c r="U998" t="s">
        <v>18228</v>
      </c>
      <c r="V998" t="s">
        <v>18229</v>
      </c>
      <c r="W998" t="s">
        <v>18230</v>
      </c>
      <c r="X998" t="s">
        <v>18231</v>
      </c>
      <c r="Y998" t="s">
        <v>18232</v>
      </c>
      <c r="Z998" t="s">
        <v>18233</v>
      </c>
      <c r="AA998" t="s">
        <v>74</v>
      </c>
      <c r="AB998" t="s">
        <v>74</v>
      </c>
      <c r="AC998" t="s">
        <v>18234</v>
      </c>
      <c r="AD998" t="s">
        <v>18235</v>
      </c>
      <c r="AE998" t="s">
        <v>18236</v>
      </c>
      <c r="AF998" t="s">
        <v>74</v>
      </c>
      <c r="AG998">
        <v>33</v>
      </c>
      <c r="AH998">
        <v>0</v>
      </c>
      <c r="AI998">
        <v>0</v>
      </c>
      <c r="AJ998">
        <v>6</v>
      </c>
      <c r="AK998">
        <v>6</v>
      </c>
      <c r="AL998" t="s">
        <v>317</v>
      </c>
      <c r="AM998" t="s">
        <v>245</v>
      </c>
      <c r="AN998" t="s">
        <v>318</v>
      </c>
      <c r="AO998" t="s">
        <v>18237</v>
      </c>
      <c r="AP998" t="s">
        <v>18238</v>
      </c>
      <c r="AQ998" t="s">
        <v>74</v>
      </c>
      <c r="AR998" t="s">
        <v>18239</v>
      </c>
      <c r="AS998" t="s">
        <v>18240</v>
      </c>
      <c r="AT998" t="s">
        <v>18219</v>
      </c>
      <c r="AU998">
        <v>2023</v>
      </c>
      <c r="AV998">
        <v>23</v>
      </c>
      <c r="AW998">
        <v>4</v>
      </c>
      <c r="AX998" t="s">
        <v>74</v>
      </c>
      <c r="AY998" t="s">
        <v>74</v>
      </c>
      <c r="AZ998" t="s">
        <v>74</v>
      </c>
      <c r="BA998" t="s">
        <v>74</v>
      </c>
      <c r="BB998" t="s">
        <v>74</v>
      </c>
      <c r="BC998" t="s">
        <v>74</v>
      </c>
      <c r="BD998">
        <v>220</v>
      </c>
      <c r="BE998" t="s">
        <v>18241</v>
      </c>
      <c r="BF998" t="str">
        <f>HYPERLINK("http://dx.doi.org/10.1007/s43452-023-00753-0","http://dx.doi.org/10.1007/s43452-023-00753-0")</f>
        <v>http://dx.doi.org/10.1007/s43452-023-00753-0</v>
      </c>
      <c r="BG998" t="s">
        <v>74</v>
      </c>
      <c r="BH998" t="s">
        <v>74</v>
      </c>
      <c r="BI998">
        <v>20</v>
      </c>
      <c r="BJ998" t="s">
        <v>18242</v>
      </c>
      <c r="BK998" t="s">
        <v>126</v>
      </c>
      <c r="BL998" t="s">
        <v>8393</v>
      </c>
      <c r="BM998" t="s">
        <v>18243</v>
      </c>
      <c r="BN998" t="s">
        <v>74</v>
      </c>
      <c r="BO998" t="s">
        <v>74</v>
      </c>
      <c r="BP998" t="s">
        <v>74</v>
      </c>
      <c r="BQ998" t="s">
        <v>74</v>
      </c>
      <c r="BR998" t="s">
        <v>99</v>
      </c>
      <c r="BS998" t="s">
        <v>18244</v>
      </c>
      <c r="BT998" t="str">
        <f>HYPERLINK("https%3A%2F%2Fwww.webofscience.com%2Fwos%2Fwoscc%2Ffull-record%2FWOS:001050398700001","View Full Record in Web of Science")</f>
        <v>View Full Record in Web of Science</v>
      </c>
    </row>
    <row r="999" spans="1:72" x14ac:dyDescent="0.15">
      <c r="A999" t="s">
        <v>72</v>
      </c>
      <c r="B999" t="s">
        <v>18245</v>
      </c>
      <c r="C999" t="s">
        <v>74</v>
      </c>
      <c r="D999" t="s">
        <v>74</v>
      </c>
      <c r="E999" t="s">
        <v>74</v>
      </c>
      <c r="F999" t="s">
        <v>18246</v>
      </c>
      <c r="G999" t="s">
        <v>74</v>
      </c>
      <c r="H999" t="s">
        <v>74</v>
      </c>
      <c r="I999" t="s">
        <v>18247</v>
      </c>
      <c r="J999" t="s">
        <v>12344</v>
      </c>
      <c r="K999" t="s">
        <v>74</v>
      </c>
      <c r="L999" t="s">
        <v>74</v>
      </c>
      <c r="M999" t="s">
        <v>78</v>
      </c>
      <c r="N999" t="s">
        <v>1246</v>
      </c>
      <c r="O999" t="s">
        <v>74</v>
      </c>
      <c r="P999" t="s">
        <v>74</v>
      </c>
      <c r="Q999" t="s">
        <v>74</v>
      </c>
      <c r="R999" t="s">
        <v>74</v>
      </c>
      <c r="S999" t="s">
        <v>74</v>
      </c>
      <c r="T999" t="s">
        <v>18248</v>
      </c>
      <c r="U999" t="s">
        <v>18249</v>
      </c>
      <c r="V999" t="s">
        <v>18250</v>
      </c>
      <c r="W999" t="s">
        <v>18251</v>
      </c>
      <c r="X999" t="s">
        <v>7519</v>
      </c>
      <c r="Y999" t="s">
        <v>18252</v>
      </c>
      <c r="Z999" t="s">
        <v>18253</v>
      </c>
      <c r="AA999" t="s">
        <v>74</v>
      </c>
      <c r="AB999" t="s">
        <v>74</v>
      </c>
      <c r="AC999" t="s">
        <v>74</v>
      </c>
      <c r="AD999" t="s">
        <v>74</v>
      </c>
      <c r="AE999" t="s">
        <v>74</v>
      </c>
      <c r="AF999" t="s">
        <v>74</v>
      </c>
      <c r="AG999">
        <v>42</v>
      </c>
      <c r="AH999">
        <v>0</v>
      </c>
      <c r="AI999">
        <v>0</v>
      </c>
      <c r="AJ999">
        <v>0</v>
      </c>
      <c r="AK999">
        <v>0</v>
      </c>
      <c r="AL999" t="s">
        <v>117</v>
      </c>
      <c r="AM999" t="s">
        <v>627</v>
      </c>
      <c r="AN999" t="s">
        <v>628</v>
      </c>
      <c r="AO999" t="s">
        <v>12354</v>
      </c>
      <c r="AP999" t="s">
        <v>12355</v>
      </c>
      <c r="AQ999" t="s">
        <v>74</v>
      </c>
      <c r="AR999" t="s">
        <v>12344</v>
      </c>
      <c r="AS999" t="s">
        <v>12356</v>
      </c>
      <c r="AT999" t="s">
        <v>18204</v>
      </c>
      <c r="AU999">
        <v>2023</v>
      </c>
      <c r="AV999" t="s">
        <v>74</v>
      </c>
      <c r="AW999" t="s">
        <v>74</v>
      </c>
      <c r="AX999" t="s">
        <v>74</v>
      </c>
      <c r="AY999" t="s">
        <v>74</v>
      </c>
      <c r="AZ999" t="s">
        <v>74</v>
      </c>
      <c r="BA999" t="s">
        <v>74</v>
      </c>
      <c r="BB999" t="s">
        <v>74</v>
      </c>
      <c r="BC999" t="s">
        <v>74</v>
      </c>
      <c r="BD999" t="s">
        <v>74</v>
      </c>
      <c r="BE999" t="s">
        <v>18254</v>
      </c>
      <c r="BF999" t="str">
        <f>HYPERLINK("http://dx.doi.org/10.1007/s11127-023-01096-3","http://dx.doi.org/10.1007/s11127-023-01096-3")</f>
        <v>http://dx.doi.org/10.1007/s11127-023-01096-3</v>
      </c>
      <c r="BG999" t="s">
        <v>74</v>
      </c>
      <c r="BH999" t="s">
        <v>10650</v>
      </c>
      <c r="BI999">
        <v>13</v>
      </c>
      <c r="BJ999" t="s">
        <v>12358</v>
      </c>
      <c r="BK999" t="s">
        <v>425</v>
      </c>
      <c r="BL999" t="s">
        <v>11892</v>
      </c>
      <c r="BM999" t="s">
        <v>18255</v>
      </c>
      <c r="BN999" t="s">
        <v>74</v>
      </c>
      <c r="BO999" t="s">
        <v>889</v>
      </c>
      <c r="BP999" t="s">
        <v>74</v>
      </c>
      <c r="BQ999" t="s">
        <v>74</v>
      </c>
      <c r="BR999" t="s">
        <v>99</v>
      </c>
      <c r="BS999" t="s">
        <v>18256</v>
      </c>
      <c r="BT999" t="str">
        <f>HYPERLINK("https%3A%2F%2Fwww.webofscience.com%2Fwos%2Fwoscc%2Ffull-record%2FWOS:001048818400002","View Full Record in Web of Science")</f>
        <v>View Full Record in Web of Science</v>
      </c>
    </row>
    <row r="1000" spans="1:72" x14ac:dyDescent="0.15">
      <c r="A1000" t="s">
        <v>72</v>
      </c>
      <c r="B1000" t="s">
        <v>18257</v>
      </c>
      <c r="C1000" t="s">
        <v>74</v>
      </c>
      <c r="D1000" t="s">
        <v>74</v>
      </c>
      <c r="E1000" t="s">
        <v>74</v>
      </c>
      <c r="F1000" t="s">
        <v>18258</v>
      </c>
      <c r="G1000" t="s">
        <v>74</v>
      </c>
      <c r="H1000" t="s">
        <v>74</v>
      </c>
      <c r="I1000" t="s">
        <v>18259</v>
      </c>
      <c r="J1000" t="s">
        <v>18260</v>
      </c>
      <c r="K1000" t="s">
        <v>74</v>
      </c>
      <c r="L1000" t="s">
        <v>74</v>
      </c>
      <c r="M1000" t="s">
        <v>78</v>
      </c>
      <c r="N1000" t="s">
        <v>1246</v>
      </c>
      <c r="O1000" t="s">
        <v>74</v>
      </c>
      <c r="P1000" t="s">
        <v>74</v>
      </c>
      <c r="Q1000" t="s">
        <v>74</v>
      </c>
      <c r="R1000" t="s">
        <v>74</v>
      </c>
      <c r="S1000" t="s">
        <v>74</v>
      </c>
      <c r="T1000" t="s">
        <v>18261</v>
      </c>
      <c r="U1000" t="s">
        <v>18262</v>
      </c>
      <c r="V1000" t="s">
        <v>18263</v>
      </c>
      <c r="W1000" t="s">
        <v>18264</v>
      </c>
      <c r="X1000" t="s">
        <v>18265</v>
      </c>
      <c r="Y1000" t="s">
        <v>18266</v>
      </c>
      <c r="Z1000" t="s">
        <v>18267</v>
      </c>
      <c r="AA1000" t="s">
        <v>18268</v>
      </c>
      <c r="AB1000" t="s">
        <v>74</v>
      </c>
      <c r="AC1000" t="s">
        <v>18269</v>
      </c>
      <c r="AD1000" t="s">
        <v>18270</v>
      </c>
      <c r="AE1000" t="s">
        <v>18271</v>
      </c>
      <c r="AF1000" t="s">
        <v>74</v>
      </c>
      <c r="AG1000">
        <v>64</v>
      </c>
      <c r="AH1000">
        <v>0</v>
      </c>
      <c r="AI1000">
        <v>0</v>
      </c>
      <c r="AJ1000">
        <v>1</v>
      </c>
      <c r="AK1000">
        <v>1</v>
      </c>
      <c r="AL1000" t="s">
        <v>117</v>
      </c>
      <c r="AM1000" t="s">
        <v>627</v>
      </c>
      <c r="AN1000" t="s">
        <v>628</v>
      </c>
      <c r="AO1000" t="s">
        <v>18272</v>
      </c>
      <c r="AP1000" t="s">
        <v>18273</v>
      </c>
      <c r="AQ1000" t="s">
        <v>74</v>
      </c>
      <c r="AR1000" t="s">
        <v>18274</v>
      </c>
      <c r="AS1000" t="s">
        <v>18275</v>
      </c>
      <c r="AT1000" t="s">
        <v>18204</v>
      </c>
      <c r="AU1000">
        <v>2023</v>
      </c>
      <c r="AV1000" t="s">
        <v>74</v>
      </c>
      <c r="AW1000" t="s">
        <v>74</v>
      </c>
      <c r="AX1000" t="s">
        <v>74</v>
      </c>
      <c r="AY1000" t="s">
        <v>74</v>
      </c>
      <c r="AZ1000" t="s">
        <v>74</v>
      </c>
      <c r="BA1000" t="s">
        <v>74</v>
      </c>
      <c r="BB1000" t="s">
        <v>74</v>
      </c>
      <c r="BC1000" t="s">
        <v>74</v>
      </c>
      <c r="BD1000" t="s">
        <v>74</v>
      </c>
      <c r="BE1000" t="s">
        <v>18276</v>
      </c>
      <c r="BF1000" t="str">
        <f>HYPERLINK("http://dx.doi.org/10.1007/s10722-023-01647-z","http://dx.doi.org/10.1007/s10722-023-01647-z")</f>
        <v>http://dx.doi.org/10.1007/s10722-023-01647-z</v>
      </c>
      <c r="BG1000" t="s">
        <v>74</v>
      </c>
      <c r="BH1000" t="s">
        <v>10650</v>
      </c>
      <c r="BI1000">
        <v>14</v>
      </c>
      <c r="BJ1000" t="s">
        <v>18277</v>
      </c>
      <c r="BK1000" t="s">
        <v>126</v>
      </c>
      <c r="BL1000" t="s">
        <v>18278</v>
      </c>
      <c r="BM1000" t="s">
        <v>18279</v>
      </c>
      <c r="BN1000" t="s">
        <v>74</v>
      </c>
      <c r="BO1000" t="s">
        <v>327</v>
      </c>
      <c r="BP1000" t="s">
        <v>74</v>
      </c>
      <c r="BQ1000" t="s">
        <v>74</v>
      </c>
      <c r="BR1000" t="s">
        <v>99</v>
      </c>
      <c r="BS1000" t="s">
        <v>18280</v>
      </c>
      <c r="BT1000" t="str">
        <f>HYPERLINK("https%3A%2F%2Fwww.webofscience.com%2Fwos%2Fwoscc%2Ffull-record%2FWOS:001049781700003","View Full Record in Web of Science")</f>
        <v>View Full Record in Web of Science</v>
      </c>
    </row>
    <row r="1001" spans="1:72" x14ac:dyDescent="0.15">
      <c r="A1001" t="s">
        <v>72</v>
      </c>
      <c r="B1001" t="s">
        <v>18281</v>
      </c>
      <c r="C1001" t="s">
        <v>74</v>
      </c>
      <c r="D1001" t="s">
        <v>74</v>
      </c>
      <c r="E1001" t="s">
        <v>74</v>
      </c>
      <c r="F1001" t="s">
        <v>18282</v>
      </c>
      <c r="G1001" t="s">
        <v>74</v>
      </c>
      <c r="H1001" t="s">
        <v>74</v>
      </c>
      <c r="I1001" t="s">
        <v>18283</v>
      </c>
      <c r="J1001" t="s">
        <v>18284</v>
      </c>
      <c r="K1001" t="s">
        <v>74</v>
      </c>
      <c r="L1001" t="s">
        <v>74</v>
      </c>
      <c r="M1001" t="s">
        <v>78</v>
      </c>
      <c r="N1001" t="s">
        <v>1246</v>
      </c>
      <c r="O1001" t="s">
        <v>74</v>
      </c>
      <c r="P1001" t="s">
        <v>74</v>
      </c>
      <c r="Q1001" t="s">
        <v>74</v>
      </c>
      <c r="R1001" t="s">
        <v>74</v>
      </c>
      <c r="S1001" t="s">
        <v>74</v>
      </c>
      <c r="T1001" t="s">
        <v>18285</v>
      </c>
      <c r="U1001" t="s">
        <v>18286</v>
      </c>
      <c r="V1001" t="s">
        <v>18287</v>
      </c>
      <c r="W1001" t="s">
        <v>18288</v>
      </c>
      <c r="X1001" t="s">
        <v>18289</v>
      </c>
      <c r="Y1001" t="s">
        <v>18290</v>
      </c>
      <c r="Z1001" t="s">
        <v>18291</v>
      </c>
      <c r="AA1001" t="s">
        <v>74</v>
      </c>
      <c r="AB1001" t="s">
        <v>18292</v>
      </c>
      <c r="AC1001" t="s">
        <v>74</v>
      </c>
      <c r="AD1001" t="s">
        <v>74</v>
      </c>
      <c r="AE1001" t="s">
        <v>74</v>
      </c>
      <c r="AF1001" t="s">
        <v>74</v>
      </c>
      <c r="AG1001">
        <v>59</v>
      </c>
      <c r="AH1001">
        <v>0</v>
      </c>
      <c r="AI1001">
        <v>0</v>
      </c>
      <c r="AJ1001">
        <v>2</v>
      </c>
      <c r="AK1001">
        <v>2</v>
      </c>
      <c r="AL1001" t="s">
        <v>172</v>
      </c>
      <c r="AM1001" t="s">
        <v>173</v>
      </c>
      <c r="AN1001" t="s">
        <v>174</v>
      </c>
      <c r="AO1001" t="s">
        <v>18293</v>
      </c>
      <c r="AP1001" t="s">
        <v>18294</v>
      </c>
      <c r="AQ1001" t="s">
        <v>74</v>
      </c>
      <c r="AR1001" t="s">
        <v>18284</v>
      </c>
      <c r="AS1001" t="s">
        <v>18295</v>
      </c>
      <c r="AT1001" t="s">
        <v>18296</v>
      </c>
      <c r="AU1001">
        <v>2023</v>
      </c>
      <c r="AV1001" t="s">
        <v>74</v>
      </c>
      <c r="AW1001" t="s">
        <v>74</v>
      </c>
      <c r="AX1001" t="s">
        <v>74</v>
      </c>
      <c r="AY1001" t="s">
        <v>74</v>
      </c>
      <c r="AZ1001" t="s">
        <v>74</v>
      </c>
      <c r="BA1001" t="s">
        <v>74</v>
      </c>
      <c r="BB1001" t="s">
        <v>74</v>
      </c>
      <c r="BC1001" t="s">
        <v>74</v>
      </c>
      <c r="BD1001" t="s">
        <v>74</v>
      </c>
      <c r="BE1001" t="s">
        <v>18297</v>
      </c>
      <c r="BF1001" t="str">
        <f>HYPERLINK("http://dx.doi.org/10.1007/s10346-023-02122-7","http://dx.doi.org/10.1007/s10346-023-02122-7")</f>
        <v>http://dx.doi.org/10.1007/s10346-023-02122-7</v>
      </c>
      <c r="BG1001" t="s">
        <v>74</v>
      </c>
      <c r="BH1001" t="s">
        <v>10650</v>
      </c>
      <c r="BI1001">
        <v>24</v>
      </c>
      <c r="BJ1001" t="s">
        <v>8943</v>
      </c>
      <c r="BK1001" t="s">
        <v>126</v>
      </c>
      <c r="BL1001" t="s">
        <v>1657</v>
      </c>
      <c r="BM1001" t="s">
        <v>18298</v>
      </c>
      <c r="BN1001" t="s">
        <v>74</v>
      </c>
      <c r="BO1001" t="s">
        <v>74</v>
      </c>
      <c r="BP1001" t="s">
        <v>74</v>
      </c>
      <c r="BQ1001" t="s">
        <v>74</v>
      </c>
      <c r="BR1001" t="s">
        <v>99</v>
      </c>
      <c r="BS1001" t="s">
        <v>18299</v>
      </c>
      <c r="BT1001" t="str">
        <f>HYPERLINK("https%3A%2F%2Fwww.webofscience.com%2Fwos%2Fwoscc%2Ffull-record%2FWOS:001046943600001","View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Zubcic</cp:lastModifiedBy>
  <dcterms:created xsi:type="dcterms:W3CDTF">2023-10-16T10:55:01Z</dcterms:created>
  <dcterms:modified xsi:type="dcterms:W3CDTF">2023-10-16T10:55:01Z</dcterms:modified>
</cp:coreProperties>
</file>